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25124dfb2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cast" sheetId="1" r:id="R779a2fa4a9674c25"/>
    <x:sheet xmlns:r="http://schemas.openxmlformats.org/officeDocument/2006/relationships" name="Monthly check-in" sheetId="2" r:id="R94b39cc147524e9c"/>
    <x:sheet xmlns:r="http://schemas.openxmlformats.org/officeDocument/2006/relationships" name="Debt strategy" sheetId="3" r:id="R52ef29158c304515"/>
    <x:sheet xmlns:r="http://schemas.openxmlformats.org/officeDocument/2006/relationships" name="Snowball schedule" sheetId="4" r:id="R490f46facc4b480b"/>
    <x:sheet xmlns:r="http://schemas.openxmlformats.org/officeDocument/2006/relationships" name="Avalanche schedule" sheetId="5" r:id="R8f5c6d8a31164e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$#,##0;($#,##0);&quot;-&quot;"/>
    <x:numFmt numFmtId="202" formatCode="mmm-yy"/>
    <x:numFmt numFmtId="203" formatCode="0"/>
  </x:numFmts>
  <x:fonts count="7">
    <x:font>
      <x:sz val="11"/>
      <x:name val="Carlito"/>
    </x:font>
    <x:font>
      <x:sz val="10"/>
      <x:color rgb="FF202A24"/>
      <x:name val="Arial"/>
    </x:font>
    <x:font>
      <x:b/>
      <x:sz val="16"/>
      <x:color rgb="FF202A24"/>
      <x:name val="Arial"/>
    </x:font>
    <x:font>
      <x:i/>
      <x:sz val="10"/>
      <x:color rgb="FF657064"/>
      <x:name val="Arial"/>
    </x:font>
    <x:font>
      <x:sz val="10"/>
      <x:color rgb="FF2058A0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EF4FB"/>
      </x:patternFill>
    </x:fill>
    <x:fill>
      <x:patternFill patternType="solid">
        <x:fgColor rgb="FF263E31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 applyProtection="1">
      <x:alignment vertical="center"/>
      <x:protection locked="0"/>
    </x:xf>
    <x:xf numFmtId="201" fontId="4" fillId="2" borderId="0" xfId="0" applyNumberFormat="1" applyFont="1" applyFill="1" applyBorder="1" applyAlignment="1" applyProtection="1">
      <x:alignment vertical="center"/>
      <x:protection locked="0"/>
    </x:xf>
    <x:xf numFmtId="0" fontId="4" fillId="2" borderId="0" xfId="0" applyNumberFormat="1" applyFont="1" applyFill="1" applyBorder="1" applyAlignment="1" applyProtection="1">
      <x:alignment vertical="center"/>
      <x:protection locked="0"/>
    </x:xf>
    <x:xf numFmtId="200" fontId="4" fillId="2" borderId="0" xfId="0" applyNumberFormat="1" applyFont="1" applyFill="1" applyBorder="1" applyAlignment="1" applyProtection="1">
      <x:alignment vertical="center"/>
      <x:protection locked="0"/>
    </x:xf>
  </x:cellXfs>
  <x:cellStyles count="1">
    <x:cellStyle name="Normal" xfId="0"/>
  </x:cellStyles>
  <x:dxfs count="1">
    <x:dxf>
      <x:font>
        <x:b/>
        <x:color rgb="FFA73F29"/>
      </x:font>
      <x:fill>
        <x:patternFill patternType="solid">
          <x:bgColor rgb="FFF9E6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c397628444234" /><Relationship Type="http://schemas.openxmlformats.org/officeDocument/2006/relationships/theme" Target="/xl/theme/theme1.xml" Id="Rad7596762bdb4ac6" /><Relationship Type="http://schemas.openxmlformats.org/officeDocument/2006/relationships/sharedStrings" Target="/xl/sharedStrings.xml" Id="Rcf04153cc5b64285" /><Relationship Type="http://schemas.openxmlformats.org/officeDocument/2006/relationships/worksheet" Target="/xl/worksheets/sheet1.xml" Id="R779a2fa4a9674c25" /><Relationship Type="http://schemas.openxmlformats.org/officeDocument/2006/relationships/worksheet" Target="/xl/worksheets/sheet2.xml" Id="R94b39cc147524e9c" /><Relationship Type="http://schemas.openxmlformats.org/officeDocument/2006/relationships/worksheet" Target="/xl/worksheets/sheet3.xml" Id="R52ef29158c304515" /><Relationship Type="http://schemas.openxmlformats.org/officeDocument/2006/relationships/worksheet" Target="/xl/worksheets/sheet4.xml" Id="R490f46facc4b480b" /><Relationship Type="http://schemas.openxmlformats.org/officeDocument/2006/relationships/worksheet" Target="/xl/worksheets/sheet5.xml" Id="R8f5c6d8a31164e5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6869b8597034e8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Projected available cash (USD)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Closing cash</c:v>
          </c:tx>
          <c:spPr>
            <a:ln xmlns:a="http://schemas.openxmlformats.org/drawingml/2006/main" w="19050">
              <a:solidFill>
                <a:srgbClr val="657D5D"/>
              </a:solidFill>
              <a:prstDash val="solid"/>
            </a:ln>
          </c:spPr>
          <c:marker>
            <c:symbol val="none"/>
          </c:marker>
          <c:cat>
            <c:strRef>
              <c:f>'Forecast'!$P$13:$P$24</c:f>
              <c:strCache>
                <c:ptCount val="0"/>
              </c:strCache>
            </c:strRef>
          </c:cat>
          <c:val>
            <c:numRef>
              <c:f>'Forecast'!$Q$13:$Q$24</c:f>
              <c:numCache>
                <c:formatCode>$#,##0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29</xdr:row>
      <xdr:rowOff>0</xdr:rowOff>
    </xdr:from>
    <xdr:to>
      <xdr:col>14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6869b8597034e8b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85915b9a41246b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tabColor rgb="FF657D5D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3" hidden="0" customWidth="1"/>
    <x:col min="2" max="2" width="3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6" max="16" width="14" hidden="0" customWidth="1"/>
    <x:col min="17" max="17" width="14" hidden="0" customWidth="1"/>
  </x:cols>
  <x:sheetData>
    <x:row r="2" ht="23" customHeight="1">
      <x:c r="B2" s="3" t="str">
        <x:v>FireFolio financial wellbeing workbook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B3" s="4" t="str">
        <x:v>Example inputs in blue. Change every month as needed. USD; no interest or returns.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B5" s="2" t="str">
        <x:v>Cash after 12 months</x:v>
      </x:c>
      <x:c r="C5" s="2"/>
      <x:c r="D5" s="6" t="n">
        <x:f>N25</x:f>
        <x:v>17000</x:v>
      </x:c>
      <x:c r="E5" s="6"/>
      <x:c r="F5" s="6" t="str">
        <x:v>Lowest cash</x:v>
      </x:c>
      <x:c r="G5" s="6" t="n">
        <x:f>MIN(C9,C25:N25)</x:f>
        <x:v>8000</x:v>
      </x:c>
      <x:c r="H5" s="2"/>
      <x:c r="I5" s="2" t="str">
        <x:v>Savings / income</x:v>
      </x:c>
      <x:c r="J5" s="2"/>
      <x:c r="K5" s="5" t="n">
        <x:f>IF(SUM(C13:N13)=0,"n.a.",SUM(C22:N22)/SUM(C13:N13))</x:f>
        <x:v>0.15</x:v>
      </x:c>
      <x:c r="L5" s="2"/>
      <x:c r="M5" s="2"/>
      <x:c r="N5" s="2"/>
    </x:row>
    <x:row r="6" ht="23" customHeight="1"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3" customHeight="1"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3" customHeight="1">
      <x:c r="B8" s="2" t="str">
        <x:v>First month</x:v>
      </x:c>
      <x:c r="C8" s="28" t="n">
        <x:v>46266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23" customHeight="1">
      <x:c r="B9" s="2" t="str">
        <x:v>Starting available cash</x:v>
      </x:c>
      <x:c r="C9" s="29" t="n">
        <x:v>8000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3" customHeight="1"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23" customHeight="1"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23" customHeight="1">
      <x:c r="B12" s="17"/>
      <x:c r="C12" s="18" t="n">
        <x:f>$C$8</x:f>
        <x:v>46266</x:v>
      </x:c>
      <x:c r="D12" s="18" t="n">
        <x:f>EDATE(C12,1)</x:f>
        <x:v>46296</x:v>
      </x:c>
      <x:c r="E12" s="18" t="n">
        <x:f>EDATE(D12,1)</x:f>
        <x:v>46327</x:v>
      </x:c>
      <x:c r="F12" s="18" t="n">
        <x:f>EDATE(E12,1)</x:f>
        <x:v>46357</x:v>
      </x:c>
      <x:c r="G12" s="18" t="n">
        <x:f>EDATE(F12,1)</x:f>
        <x:v>46388</x:v>
      </x:c>
      <x:c r="H12" s="18" t="n">
        <x:f>EDATE(G12,1)</x:f>
        <x:v>46419</x:v>
      </x:c>
      <x:c r="I12" s="18" t="n">
        <x:f>EDATE(H12,1)</x:f>
        <x:v>46447</x:v>
      </x:c>
      <x:c r="J12" s="18" t="n">
        <x:f>EDATE(I12,1)</x:f>
        <x:v>46478</x:v>
      </x:c>
      <x:c r="K12" s="18" t="n">
        <x:f>EDATE(J12,1)</x:f>
        <x:v>46508</x:v>
      </x:c>
      <x:c r="L12" s="18" t="n">
        <x:f>EDATE(K12,1)</x:f>
        <x:v>46539</x:v>
      </x:c>
      <x:c r="M12" s="18" t="n">
        <x:f>EDATE(L12,1)</x:f>
        <x:v>46569</x:v>
      </x:c>
      <x:c r="N12" s="18" t="n">
        <x:f>EDATE(M12,1)</x:f>
        <x:v>46600</x:v>
      </x:c>
      <x:c r="P12" t="str">
        <x:v>Month</x:v>
      </x:c>
      <x:c r="Q12" t="str">
        <x:v>Closing cash</x:v>
      </x:c>
    </x:row>
    <x:row r="13" ht="23" customHeight="1">
      <x:c r="B13" s="2" t="str">
        <x:v>Take-home income</x:v>
      </x:c>
      <x:c r="C13" s="29" t="n">
        <x:v>5000</x:v>
      </x:c>
      <x:c r="D13" s="29" t="n">
        <x:v>5000</x:v>
      </x:c>
      <x:c r="E13" s="29" t="n">
        <x:v>5000</x:v>
      </x:c>
      <x:c r="F13" s="29" t="n">
        <x:v>5000</x:v>
      </x:c>
      <x:c r="G13" s="29" t="n">
        <x:v>5000</x:v>
      </x:c>
      <x:c r="H13" s="29" t="n">
        <x:v>5000</x:v>
      </x:c>
      <x:c r="I13" s="29" t="n">
        <x:v>5000</x:v>
      </x:c>
      <x:c r="J13" s="29" t="n">
        <x:v>5000</x:v>
      </x:c>
      <x:c r="K13" s="29" t="n">
        <x:v>5000</x:v>
      </x:c>
      <x:c r="L13" s="29" t="n">
        <x:v>5000</x:v>
      </x:c>
      <x:c r="M13" s="29" t="n">
        <x:v>5000</x:v>
      </x:c>
      <x:c r="N13" s="29" t="n">
        <x:v>5000</x:v>
      </x:c>
      <x:c r="P13" t="str">
        <x:f>C28</x:f>
        <x:v>Sep-26</x:v>
      </x:c>
      <x:c r="Q13" t="n">
        <x:f>C25</x:f>
        <x:v>8750</x:v>
      </x:c>
    </x:row>
    <x:row r="14" ht="23" customHeight="1">
      <x:c r="B14" s="2" t="str">
        <x:v>Housing</x:v>
      </x:c>
      <x:c r="C14" s="29" t="n">
        <x:v>1500</x:v>
      </x:c>
      <x:c r="D14" s="29" t="n">
        <x:v>1500</x:v>
      </x:c>
      <x:c r="E14" s="29" t="n">
        <x:v>1500</x:v>
      </x:c>
      <x:c r="F14" s="29" t="n">
        <x:v>1500</x:v>
      </x:c>
      <x:c r="G14" s="29" t="n">
        <x:v>1500</x:v>
      </x:c>
      <x:c r="H14" s="29" t="n">
        <x:v>1500</x:v>
      </x:c>
      <x:c r="I14" s="29" t="n">
        <x:v>1500</x:v>
      </x:c>
      <x:c r="J14" s="29" t="n">
        <x:v>1500</x:v>
      </x:c>
      <x:c r="K14" s="29" t="n">
        <x:v>1500</x:v>
      </x:c>
      <x:c r="L14" s="29" t="n">
        <x:v>1500</x:v>
      </x:c>
      <x:c r="M14" s="29" t="n">
        <x:v>1500</x:v>
      </x:c>
      <x:c r="N14" s="29" t="n">
        <x:v>1500</x:v>
      </x:c>
      <x:c r="P14" t="str">
        <x:f>D28</x:f>
        <x:v>Oct-26</x:v>
      </x:c>
      <x:c r="Q14" t="n">
        <x:f>D25</x:f>
        <x:v>9500</x:v>
      </x:c>
    </x:row>
    <x:row r="15" ht="23" customHeight="1">
      <x:c r="B15" s="2" t="str">
        <x:v>Food</x:v>
      </x:c>
      <x:c r="C15" s="29" t="n">
        <x:v>500</x:v>
      </x:c>
      <x:c r="D15" s="29" t="n">
        <x:v>500</x:v>
      </x:c>
      <x:c r="E15" s="29" t="n">
        <x:v>500</x:v>
      </x:c>
      <x:c r="F15" s="29" t="n">
        <x:v>500</x:v>
      </x:c>
      <x:c r="G15" s="29" t="n">
        <x:v>500</x:v>
      </x:c>
      <x:c r="H15" s="29" t="n">
        <x:v>500</x:v>
      </x:c>
      <x:c r="I15" s="29" t="n">
        <x:v>500</x:v>
      </x:c>
      <x:c r="J15" s="29" t="n">
        <x:v>500</x:v>
      </x:c>
      <x:c r="K15" s="29" t="n">
        <x:v>500</x:v>
      </x:c>
      <x:c r="L15" s="29" t="n">
        <x:v>500</x:v>
      </x:c>
      <x:c r="M15" s="29" t="n">
        <x:v>500</x:v>
      </x:c>
      <x:c r="N15" s="29" t="n">
        <x:v>500</x:v>
      </x:c>
      <x:c r="P15" t="str">
        <x:f>E28</x:f>
        <x:v>Nov-26</x:v>
      </x:c>
      <x:c r="Q15" t="n">
        <x:f>E25</x:f>
        <x:v>10250</x:v>
      </x:c>
    </x:row>
    <x:row r="16" ht="23" customHeight="1">
      <x:c r="B16" s="2" t="str">
        <x:v>Transport</x:v>
      </x:c>
      <x:c r="C16" s="29" t="n">
        <x:v>250</x:v>
      </x:c>
      <x:c r="D16" s="29" t="n">
        <x:v>250</x:v>
      </x:c>
      <x:c r="E16" s="29" t="n">
        <x:v>250</x:v>
      </x:c>
      <x:c r="F16" s="29" t="n">
        <x:v>250</x:v>
      </x:c>
      <x:c r="G16" s="29" t="n">
        <x:v>250</x:v>
      </x:c>
      <x:c r="H16" s="29" t="n">
        <x:v>250</x:v>
      </x:c>
      <x:c r="I16" s="29" t="n">
        <x:v>250</x:v>
      </x:c>
      <x:c r="J16" s="29" t="n">
        <x:v>250</x:v>
      </x:c>
      <x:c r="K16" s="29" t="n">
        <x:v>250</x:v>
      </x:c>
      <x:c r="L16" s="29" t="n">
        <x:v>250</x:v>
      </x:c>
      <x:c r="M16" s="29" t="n">
        <x:v>250</x:v>
      </x:c>
      <x:c r="N16" s="29" t="n">
        <x:v>250</x:v>
      </x:c>
      <x:c r="P16" t="str">
        <x:f>F28</x:f>
        <x:v>Dec-26</x:v>
      </x:c>
      <x:c r="Q16" t="n">
        <x:f>F25</x:f>
        <x:v>11000</x:v>
      </x:c>
    </x:row>
    <x:row r="17" ht="23" customHeight="1">
      <x:c r="B17" s="2" t="str">
        <x:v>Health</x:v>
      </x:c>
      <x:c r="C17" s="29" t="n">
        <x:v>150</x:v>
      </x:c>
      <x:c r="D17" s="29" t="n">
        <x:v>150</x:v>
      </x:c>
      <x:c r="E17" s="29" t="n">
        <x:v>150</x:v>
      </x:c>
      <x:c r="F17" s="29" t="n">
        <x:v>150</x:v>
      </x:c>
      <x:c r="G17" s="29" t="n">
        <x:v>150</x:v>
      </x:c>
      <x:c r="H17" s="29" t="n">
        <x:v>150</x:v>
      </x:c>
      <x:c r="I17" s="29" t="n">
        <x:v>150</x:v>
      </x:c>
      <x:c r="J17" s="29" t="n">
        <x:v>150</x:v>
      </x:c>
      <x:c r="K17" s="29" t="n">
        <x:v>150</x:v>
      </x:c>
      <x:c r="L17" s="29" t="n">
        <x:v>150</x:v>
      </x:c>
      <x:c r="M17" s="29" t="n">
        <x:v>150</x:v>
      </x:c>
      <x:c r="N17" s="29" t="n">
        <x:v>150</x:v>
      </x:c>
      <x:c r="P17" t="str">
        <x:f>G28</x:f>
        <x:v>Jan-27</x:v>
      </x:c>
      <x:c r="Q17" t="n">
        <x:f>G25</x:f>
        <x:v>11750</x:v>
      </x:c>
    </x:row>
    <x:row r="18" ht="23" customHeight="1">
      <x:c r="B18" s="2" t="str">
        <x:v>Bills</x:v>
      </x:c>
      <x:c r="C18" s="29" t="n">
        <x:v>250</x:v>
      </x:c>
      <x:c r="D18" s="29" t="n">
        <x:v>250</x:v>
      </x:c>
      <x:c r="E18" s="29" t="n">
        <x:v>250</x:v>
      </x:c>
      <x:c r="F18" s="29" t="n">
        <x:v>250</x:v>
      </x:c>
      <x:c r="G18" s="29" t="n">
        <x:v>250</x:v>
      </x:c>
      <x:c r="H18" s="29" t="n">
        <x:v>250</x:v>
      </x:c>
      <x:c r="I18" s="29" t="n">
        <x:v>250</x:v>
      </x:c>
      <x:c r="J18" s="29" t="n">
        <x:v>250</x:v>
      </x:c>
      <x:c r="K18" s="29" t="n">
        <x:v>250</x:v>
      </x:c>
      <x:c r="L18" s="29" t="n">
        <x:v>250</x:v>
      </x:c>
      <x:c r="M18" s="29" t="n">
        <x:v>250</x:v>
      </x:c>
      <x:c r="N18" s="29" t="n">
        <x:v>250</x:v>
      </x:c>
      <x:c r="P18" t="str">
        <x:f>H28</x:f>
        <x:v>Feb-27</x:v>
      </x:c>
      <x:c r="Q18" t="n">
        <x:f>H25</x:f>
        <x:v>12500</x:v>
      </x:c>
    </x:row>
    <x:row r="19" ht="23" customHeight="1">
      <x:c r="B19" s="2" t="str">
        <x:v>Lifestyle</x:v>
      </x:c>
      <x:c r="C19" s="29" t="n">
        <x:v>300</x:v>
      </x:c>
      <x:c r="D19" s="29" t="n">
        <x:v>300</x:v>
      </x:c>
      <x:c r="E19" s="29" t="n">
        <x:v>300</x:v>
      </x:c>
      <x:c r="F19" s="29" t="n">
        <x:v>300</x:v>
      </x:c>
      <x:c r="G19" s="29" t="n">
        <x:v>300</x:v>
      </x:c>
      <x:c r="H19" s="29" t="n">
        <x:v>300</x:v>
      </x:c>
      <x:c r="I19" s="29" t="n">
        <x:v>300</x:v>
      </x:c>
      <x:c r="J19" s="29" t="n">
        <x:v>300</x:v>
      </x:c>
      <x:c r="K19" s="29" t="n">
        <x:v>300</x:v>
      </x:c>
      <x:c r="L19" s="29" t="n">
        <x:v>300</x:v>
      </x:c>
      <x:c r="M19" s="29" t="n">
        <x:v>300</x:v>
      </x:c>
      <x:c r="N19" s="29" t="n">
        <x:v>300</x:v>
      </x:c>
      <x:c r="P19" t="str">
        <x:f>I28</x:f>
        <x:v>Mar-27</x:v>
      </x:c>
      <x:c r="Q19" t="n">
        <x:f>I25</x:f>
        <x:v>13250</x:v>
      </x:c>
    </x:row>
    <x:row r="20" ht="23" customHeight="1">
      <x:c r="B20" s="2" t="str">
        <x:v>Other</x:v>
      </x:c>
      <x:c r="C20" s="29" t="n">
        <x:v>150</x:v>
      </x:c>
      <x:c r="D20" s="29" t="n">
        <x:v>150</x:v>
      </x:c>
      <x:c r="E20" s="29" t="n">
        <x:v>150</x:v>
      </x:c>
      <x:c r="F20" s="29" t="n">
        <x:v>150</x:v>
      </x:c>
      <x:c r="G20" s="29" t="n">
        <x:v>150</x:v>
      </x:c>
      <x:c r="H20" s="29" t="n">
        <x:v>150</x:v>
      </x:c>
      <x:c r="I20" s="29" t="n">
        <x:v>150</x:v>
      </x:c>
      <x:c r="J20" s="29" t="n">
        <x:v>150</x:v>
      </x:c>
      <x:c r="K20" s="29" t="n">
        <x:v>150</x:v>
      </x:c>
      <x:c r="L20" s="29" t="n">
        <x:v>150</x:v>
      </x:c>
      <x:c r="M20" s="29" t="n">
        <x:v>150</x:v>
      </x:c>
      <x:c r="N20" s="29" t="n">
        <x:v>150</x:v>
      </x:c>
      <x:c r="P20" t="str">
        <x:f>J28</x:f>
        <x:v>Apr-27</x:v>
      </x:c>
      <x:c r="Q20" t="n">
        <x:f>J25</x:f>
        <x:v>14000</x:v>
      </x:c>
    </x:row>
    <x:row r="21" ht="23" customHeight="1">
      <x:c r="B21" s="2" t="str">
        <x:v>Debt payments</x:v>
      </x:c>
      <x:c r="C21" s="29" t="n">
        <x:v>400</x:v>
      </x:c>
      <x:c r="D21" s="29" t="n">
        <x:v>400</x:v>
      </x:c>
      <x:c r="E21" s="29" t="n">
        <x:v>400</x:v>
      </x:c>
      <x:c r="F21" s="29" t="n">
        <x:v>400</x:v>
      </x:c>
      <x:c r="G21" s="29" t="n">
        <x:v>400</x:v>
      </x:c>
      <x:c r="H21" s="29" t="n">
        <x:v>400</x:v>
      </x:c>
      <x:c r="I21" s="29" t="n">
        <x:v>400</x:v>
      </x:c>
      <x:c r="J21" s="29" t="n">
        <x:v>400</x:v>
      </x:c>
      <x:c r="K21" s="29" t="n">
        <x:v>400</x:v>
      </x:c>
      <x:c r="L21" s="29" t="n">
        <x:v>400</x:v>
      </x:c>
      <x:c r="M21" s="29" t="n">
        <x:v>400</x:v>
      </x:c>
      <x:c r="N21" s="29" t="n">
        <x:v>400</x:v>
      </x:c>
      <x:c r="P21" t="str">
        <x:f>K28</x:f>
        <x:v>May-27</x:v>
      </x:c>
      <x:c r="Q21" t="n">
        <x:f>K25</x:f>
        <x:v>14750</x:v>
      </x:c>
    </x:row>
    <x:row r="22" ht="23" customHeight="1">
      <x:c r="B22" s="2" t="str">
        <x:v>Savings transfers</x:v>
      </x:c>
      <x:c r="C22" s="29" t="n">
        <x:v>750</x:v>
      </x:c>
      <x:c r="D22" s="29" t="n">
        <x:v>750</x:v>
      </x:c>
      <x:c r="E22" s="29" t="n">
        <x:v>750</x:v>
      </x:c>
      <x:c r="F22" s="29" t="n">
        <x:v>750</x:v>
      </x:c>
      <x:c r="G22" s="29" t="n">
        <x:v>750</x:v>
      </x:c>
      <x:c r="H22" s="29" t="n">
        <x:v>750</x:v>
      </x:c>
      <x:c r="I22" s="29" t="n">
        <x:v>750</x:v>
      </x:c>
      <x:c r="J22" s="29" t="n">
        <x:v>750</x:v>
      </x:c>
      <x:c r="K22" s="29" t="n">
        <x:v>750</x:v>
      </x:c>
      <x:c r="L22" s="29" t="n">
        <x:v>750</x:v>
      </x:c>
      <x:c r="M22" s="29" t="n">
        <x:v>750</x:v>
      </x:c>
      <x:c r="N22" s="29" t="n">
        <x:v>750</x:v>
      </x:c>
      <x:c r="P22" t="str">
        <x:f>L28</x:f>
        <x:v>Jun-27</x:v>
      </x:c>
      <x:c r="Q22" t="n">
        <x:f>L25</x:f>
        <x:v>15500</x:v>
      </x:c>
    </x:row>
    <x:row r="23" ht="23" customHeight="1">
      <x:c r="B23" s="2" t="str">
        <x:v>Total living costs</x:v>
      </x:c>
      <x:c r="C23" s="6" t="n">
        <x:f>SUM(C14:C20)</x:f>
        <x:v>3100</x:v>
      </x:c>
      <x:c r="D23" s="6" t="n">
        <x:f>SUM(D14:D20)</x:f>
        <x:v>3100</x:v>
      </x:c>
      <x:c r="E23" s="6" t="n">
        <x:f>SUM(E14:E20)</x:f>
        <x:v>3100</x:v>
      </x:c>
      <x:c r="F23" s="6" t="n">
        <x:f>SUM(F14:F20)</x:f>
        <x:v>3100</x:v>
      </x:c>
      <x:c r="G23" s="6" t="n">
        <x:f>SUM(G14:G20)</x:f>
        <x:v>3100</x:v>
      </x:c>
      <x:c r="H23" s="6" t="n">
        <x:f>SUM(H14:H20)</x:f>
        <x:v>3100</x:v>
      </x:c>
      <x:c r="I23" s="6" t="n">
        <x:f>SUM(I14:I20)</x:f>
        <x:v>3100</x:v>
      </x:c>
      <x:c r="J23" s="6" t="n">
        <x:f>SUM(J14:J20)</x:f>
        <x:v>3100</x:v>
      </x:c>
      <x:c r="K23" s="6" t="n">
        <x:f>SUM(K14:K20)</x:f>
        <x:v>3100</x:v>
      </x:c>
      <x:c r="L23" s="6" t="n">
        <x:f>SUM(L14:L20)</x:f>
        <x:v>3100</x:v>
      </x:c>
      <x:c r="M23" s="6" t="n">
        <x:f>SUM(M14:M20)</x:f>
        <x:v>3100</x:v>
      </x:c>
      <x:c r="N23" s="6" t="n">
        <x:f>SUM(N14:N20)</x:f>
        <x:v>3100</x:v>
      </x:c>
      <x:c r="P23" t="str">
        <x:f>M28</x:f>
        <x:v>Jul-27</x:v>
      </x:c>
      <x:c r="Q23" t="n">
        <x:f>M25</x:f>
        <x:v>16250</x:v>
      </x:c>
    </x:row>
    <x:row r="24" ht="23" customHeight="1">
      <x:c r="B24" s="2" t="str">
        <x:v>Cash change</x:v>
      </x:c>
      <x:c r="C24" s="6" t="n">
        <x:f>C13-C23-C21-C22</x:f>
        <x:v>750</x:v>
      </x:c>
      <x:c r="D24" s="6" t="n">
        <x:f>D13-D23-D21-D22</x:f>
        <x:v>750</x:v>
      </x:c>
      <x:c r="E24" s="6" t="n">
        <x:f>E13-E23-E21-E22</x:f>
        <x:v>750</x:v>
      </x:c>
      <x:c r="F24" s="6" t="n">
        <x:f>F13-F23-F21-F22</x:f>
        <x:v>750</x:v>
      </x:c>
      <x:c r="G24" s="6" t="n">
        <x:f>G13-G23-G21-G22</x:f>
        <x:v>750</x:v>
      </x:c>
      <x:c r="H24" s="6" t="n">
        <x:f>H13-H23-H21-H22</x:f>
        <x:v>750</x:v>
      </x:c>
      <x:c r="I24" s="6" t="n">
        <x:f>I13-I23-I21-I22</x:f>
        <x:v>750</x:v>
      </x:c>
      <x:c r="J24" s="6" t="n">
        <x:f>J13-J23-J21-J22</x:f>
        <x:v>750</x:v>
      </x:c>
      <x:c r="K24" s="6" t="n">
        <x:f>K13-K23-K21-K22</x:f>
        <x:v>750</x:v>
      </x:c>
      <x:c r="L24" s="6" t="n">
        <x:f>L13-L23-L21-L22</x:f>
        <x:v>750</x:v>
      </x:c>
      <x:c r="M24" s="6" t="n">
        <x:f>M13-M23-M21-M22</x:f>
        <x:v>750</x:v>
      </x:c>
      <x:c r="N24" s="6" t="n">
        <x:f>N13-N23-N21-N22</x:f>
        <x:v>750</x:v>
      </x:c>
      <x:c r="P24" t="str">
        <x:f>N28</x:f>
        <x:v>Aug-27</x:v>
      </x:c>
      <x:c r="Q24" t="n">
        <x:f>N25</x:f>
        <x:v>17000</x:v>
      </x:c>
    </x:row>
    <x:row r="25" ht="23" customHeight="1">
      <x:c r="B25" s="17" t="str">
        <x:v>Closing cash</x:v>
      </x:c>
      <x:c r="C25" s="21" t="n">
        <x:f>$C$9+C24</x:f>
        <x:v>8750</x:v>
      </x:c>
      <x:c r="D25" s="21" t="n">
        <x:f>C25+D24</x:f>
        <x:v>9500</x:v>
      </x:c>
      <x:c r="E25" s="21" t="n">
        <x:f>D25+E24</x:f>
        <x:v>10250</x:v>
      </x:c>
      <x:c r="F25" s="21" t="n">
        <x:f>E25+F24</x:f>
        <x:v>11000</x:v>
      </x:c>
      <x:c r="G25" s="21" t="n">
        <x:f>F25+G24</x:f>
        <x:v>11750</x:v>
      </x:c>
      <x:c r="H25" s="21" t="n">
        <x:f>G25+H24</x:f>
        <x:v>12500</x:v>
      </x:c>
      <x:c r="I25" s="21" t="n">
        <x:f>H25+I24</x:f>
        <x:v>13250</x:v>
      </x:c>
      <x:c r="J25" s="21" t="n">
        <x:f>I25+J24</x:f>
        <x:v>14000</x:v>
      </x:c>
      <x:c r="K25" s="21" t="n">
        <x:f>J25+K24</x:f>
        <x:v>14750</x:v>
      </x:c>
      <x:c r="L25" s="21" t="n">
        <x:f>K25+L24</x:f>
        <x:v>15500</x:v>
      </x:c>
      <x:c r="M25" s="21" t="n">
        <x:f>L25+M24</x:f>
        <x:v>16250</x:v>
      </x:c>
      <x:c r="N25" s="21" t="n">
        <x:f>M25+N24</x:f>
        <x:v>17000</x:v>
      </x:c>
    </x:row>
    <x:row r="26" ht="23" customHeight="1">
      <x:c r="B26" s="2" t="str">
        <x:v>Savings / income</x:v>
      </x:c>
      <x:c r="C26" s="5" t="n">
        <x:f>IF(C13=0,"n.a.",C22/C13)</x:f>
        <x:v>0.15</x:v>
      </x:c>
      <x:c r="D26" s="5" t="n">
        <x:f>IF(D13=0,"n.a.",D22/D13)</x:f>
        <x:v>0.15</x:v>
      </x:c>
      <x:c r="E26" s="5" t="n">
        <x:f>IF(E13=0,"n.a.",E22/E13)</x:f>
        <x:v>0.15</x:v>
      </x:c>
      <x:c r="F26" s="5" t="n">
        <x:f>IF(F13=0,"n.a.",F22/F13)</x:f>
        <x:v>0.15</x:v>
      </x:c>
      <x:c r="G26" s="5" t="n">
        <x:f>IF(G13=0,"n.a.",G22/G13)</x:f>
        <x:v>0.15</x:v>
      </x:c>
      <x:c r="H26" s="5" t="n">
        <x:f>IF(H13=0,"n.a.",H22/H13)</x:f>
        <x:v>0.15</x:v>
      </x:c>
      <x:c r="I26" s="5" t="n">
        <x:f>IF(I13=0,"n.a.",I22/I13)</x:f>
        <x:v>0.15</x:v>
      </x:c>
      <x:c r="J26" s="5" t="n">
        <x:f>IF(J13=0,"n.a.",J22/J13)</x:f>
        <x:v>0.15</x:v>
      </x:c>
      <x:c r="K26" s="5" t="n">
        <x:f>IF(K13=0,"n.a.",K22/K13)</x:f>
        <x:v>0.15</x:v>
      </x:c>
      <x:c r="L26" s="5" t="n">
        <x:f>IF(L13=0,"n.a.",L22/L13)</x:f>
        <x:v>0.15</x:v>
      </x:c>
      <x:c r="M26" s="5" t="n">
        <x:f>IF(M13=0,"n.a.",M22/M13)</x:f>
        <x:v>0.15</x:v>
      </x:c>
      <x:c r="N26" s="5" t="n">
        <x:f>IF(N13=0,"n.a.",N22/N13)</x:f>
        <x:v>0.15</x:v>
      </x:c>
    </x:row>
    <x:row r="27" ht="23" customHeight="1"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B28" s="2"/>
      <x:c r="C28" s="2" t="str">
        <x:f>TEXT(C12,"mmm-yy")</x:f>
        <x:v>Sep-26</x:v>
      </x:c>
      <x:c r="D28" s="2" t="str">
        <x:f>TEXT(D12,"mmm-yy")</x:f>
        <x:v>Oct-26</x:v>
      </x:c>
      <x:c r="E28" s="2" t="str">
        <x:f>TEXT(E12,"mmm-yy")</x:f>
        <x:v>Nov-26</x:v>
      </x:c>
      <x:c r="F28" s="2" t="str">
        <x:f>TEXT(F12,"mmm-yy")</x:f>
        <x:v>Dec-26</x:v>
      </x:c>
      <x:c r="G28" s="2" t="str">
        <x:f>TEXT(G12,"mmm-yy")</x:f>
        <x:v>Jan-27</x:v>
      </x:c>
      <x:c r="H28" s="2" t="str">
        <x:f>TEXT(H12,"mmm-yy")</x:f>
        <x:v>Feb-27</x:v>
      </x:c>
      <x:c r="I28" s="2" t="str">
        <x:f>TEXT(I12,"mmm-yy")</x:f>
        <x:v>Mar-27</x:v>
      </x:c>
      <x:c r="J28" s="2" t="str">
        <x:f>TEXT(J12,"mmm-yy")</x:f>
        <x:v>Apr-27</x:v>
      </x:c>
      <x:c r="K28" s="2" t="str">
        <x:f>TEXT(K12,"mmm-yy")</x:f>
        <x:v>May-27</x:v>
      </x:c>
      <x:c r="L28" s="2" t="str">
        <x:f>TEXT(L12,"mmm-yy")</x:f>
        <x:v>Jun-27</x:v>
      </x:c>
      <x:c r="M28" s="2" t="str">
        <x:f>TEXT(M12,"mmm-yy")</x:f>
        <x:v>Jul-27</x:v>
      </x:c>
      <x:c r="N28" s="2" t="str">
        <x:f>TEXT(N12,"mmm-yy")</x:f>
        <x:v>Aug-27</x:v>
      </x:c>
    </x:row>
    <x:row r="29" ht="23" customHeight="1"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3" customHeight="1"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3" customHeight="1"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3" customHeight="1"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 ht="23" customHeight="1"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 ht="23" customHeight="1"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 ht="23" customHeight="1"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 ht="23" customHeight="1"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 ht="23" customHeight="1"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 ht="23" customHeight="1"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 ht="23" customHeight="1"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 ht="23" customHeight="1"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 ht="23" customHeight="1"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 ht="23" customHeight="1"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 ht="23" customHeight="1"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 ht="23" customHeight="1"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>
      <x:c r="B45" t="str">
        <x:v>Savings transfers leave available cash. They are not living expenses. Adjust debt payments manually after payoff.</x:v>
      </x:c>
    </x:row>
    <x:row r="47">
      <x:c r="B47" t="str">
        <x:v>Start here: replace the example, review low-cash months, then record actuals on Monthly check-in.</x:v>
      </x:c>
    </x:row>
    <x:row r="48">
      <x:c r="B48" t="str">
        <x:v>In Google Sheets: upload to Drive, open with Sheets. Formatting and protection may vary.</x:v>
      </x:c>
    </x:row>
    <x:row r="49">
      <x:c r="B49" t="str">
        <x:v>Blue cells are editable. Formula protection prevents accidents; use Review &gt; Unprotect Sheet to change the layout.</x:v>
      </x:c>
    </x:row>
    <x:row r="50">
      <x:c r="B50" t="str">
        <x:v>Downloads are separate from browser drafts. Keep your own backup. https://www.firefolio.com/toolkit</x:v>
      </x:c>
    </x:row>
  </x:sheetData>
  <x:sheetProtection sheet="1" objects="1" scenarios="1" selectLockedCells="0" selectUnlockedCells="0"/>
  <x:conditionalFormatting sqref="C25:N25">
    <x:cfRule type="cellIs" dxfId="0" priority="1" operator="lessThan">
      <x:formula>0</x:formula>
    </x:cfRule>
  </x:conditionalFormatting>
  <x:pageMargins left="0.7" right="0.7" top="0.75" bottom="0.75" header="0.3" footer="0.3"/>
  <x:drawing r:id="R585915b9a41246b3"/>
</x:worksheet>
</file>

<file path=xl/worksheets/sheet2.xml><?xml version="1.0" encoding="utf-8"?>
<x:worksheet xmlns:x="http://schemas.openxmlformats.org/spreadsheetml/2006/main">
  <x:sheetPr>
    <x:tabColor rgb="FF657D5D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3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2" ht="23" customHeight="1">
      <x:c r="B2" s="3" t="str">
        <x:v>Monthly check-in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23" customHeight="1">
      <x:c r="B3" s="4" t="str">
        <x:v>Enter actuals in blue. Blank means not entered; enter 0 for a confirmed zero.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3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3" customHeight="1"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3" customHeight="1"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3" customHeight="1"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23" customHeight="1">
      <x:c r="B8" s="17"/>
      <x:c r="C8" s="18" t="n">
        <x:f>'Forecast'!C12</x:f>
        <x:v>46266</x:v>
      </x:c>
      <x:c r="D8" s="18" t="n">
        <x:f>'Forecast'!D12</x:f>
        <x:v>46296</x:v>
      </x:c>
      <x:c r="E8" s="18" t="n">
        <x:f>'Forecast'!E12</x:f>
        <x:v>46327</x:v>
      </x:c>
      <x:c r="F8" s="18" t="n">
        <x:f>'Forecast'!F12</x:f>
        <x:v>46357</x:v>
      </x:c>
      <x:c r="G8" s="18" t="n">
        <x:f>'Forecast'!G12</x:f>
        <x:v>46388</x:v>
      </x:c>
      <x:c r="H8" s="18" t="n">
        <x:f>'Forecast'!H12</x:f>
        <x:v>46419</x:v>
      </x:c>
      <x:c r="I8" s="18" t="n">
        <x:f>'Forecast'!I12</x:f>
        <x:v>46447</x:v>
      </x:c>
      <x:c r="J8" s="18" t="n">
        <x:f>'Forecast'!J12</x:f>
        <x:v>46478</x:v>
      </x:c>
      <x:c r="K8" s="18" t="n">
        <x:f>'Forecast'!K12</x:f>
        <x:v>46508</x:v>
      </x:c>
      <x:c r="L8" s="18" t="n">
        <x:f>'Forecast'!L12</x:f>
        <x:v>46539</x:v>
      </x:c>
      <x:c r="M8" s="18" t="n">
        <x:f>'Forecast'!M12</x:f>
        <x:v>46569</x:v>
      </x:c>
      <x:c r="N8" s="18" t="n">
        <x:f>'Forecast'!N12</x:f>
        <x:v>46600</x:v>
      </x:c>
    </x:row>
    <x:row r="9" ht="23" customHeight="1"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23" customHeight="1">
      <x:c r="B10" s="2" t="str">
        <x:v>Actual income</x:v>
      </x:c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</x:row>
    <x:row r="11" ht="23" customHeight="1">
      <x:c r="B11" s="2" t="str">
        <x:v>Housing</x:v>
      </x:c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</x:row>
    <x:row r="12" ht="23" customHeight="1">
      <x:c r="B12" s="2" t="str">
        <x:v>Food</x:v>
      </x:c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</x:row>
    <x:row r="13" ht="23" customHeight="1">
      <x:c r="B13" s="2" t="str">
        <x:v>Transport</x:v>
      </x:c>
      <x:c r="C13" s="29"/>
      <x:c r="D13" s="29"/>
      <x:c r="E13" s="29"/>
      <x:c r="F13" s="29"/>
      <x:c r="G13" s="29"/>
      <x:c r="H13" s="29"/>
      <x:c r="I13" s="29"/>
      <x:c r="J13" s="29"/>
      <x:c r="K13" s="29"/>
      <x:c r="L13" s="29"/>
      <x:c r="M13" s="29"/>
      <x:c r="N13" s="29"/>
    </x:row>
    <x:row r="14" ht="23" customHeight="1">
      <x:c r="B14" s="2" t="str">
        <x:v>Health</x:v>
      </x:c>
      <x:c r="C14" s="29"/>
      <x:c r="D14" s="29"/>
      <x:c r="E14" s="29"/>
      <x:c r="F14" s="29"/>
      <x:c r="G14" s="29"/>
      <x:c r="H14" s="29"/>
      <x:c r="I14" s="29"/>
      <x:c r="J14" s="29"/>
      <x:c r="K14" s="29"/>
      <x:c r="L14" s="29"/>
      <x:c r="M14" s="29"/>
      <x:c r="N14" s="29"/>
    </x:row>
    <x:row r="15" ht="23" customHeight="1">
      <x:c r="B15" s="2" t="str">
        <x:v>Bills</x:v>
      </x:c>
      <x:c r="C15" s="29"/>
      <x:c r="D15" s="29"/>
      <x:c r="E15" s="29"/>
      <x:c r="F15" s="29"/>
      <x:c r="G15" s="29"/>
      <x:c r="H15" s="29"/>
      <x:c r="I15" s="29"/>
      <x:c r="J15" s="29"/>
      <x:c r="K15" s="29"/>
      <x:c r="L15" s="29"/>
      <x:c r="M15" s="29"/>
      <x:c r="N15" s="29"/>
    </x:row>
    <x:row r="16" ht="23" customHeight="1">
      <x:c r="B16" s="2" t="str">
        <x:v>Lifestyle</x:v>
      </x:c>
      <x:c r="C16" s="29"/>
      <x:c r="D16" s="29"/>
      <x:c r="E16" s="29"/>
      <x:c r="F16" s="29"/>
      <x:c r="G16" s="29"/>
      <x:c r="H16" s="29"/>
      <x:c r="I16" s="29"/>
      <x:c r="J16" s="29"/>
      <x:c r="K16" s="29"/>
      <x:c r="L16" s="29"/>
      <x:c r="M16" s="29"/>
      <x:c r="N16" s="29"/>
    </x:row>
    <x:row r="17" ht="23" customHeight="1">
      <x:c r="B17" s="2" t="str">
        <x:v>Other</x:v>
      </x:c>
      <x:c r="C17" s="29"/>
      <x:c r="D17" s="29"/>
      <x:c r="E17" s="29"/>
      <x:c r="F17" s="29"/>
      <x:c r="G17" s="29"/>
      <x:c r="H17" s="29"/>
      <x:c r="I17" s="29"/>
      <x:c r="J17" s="29"/>
      <x:c r="K17" s="29"/>
      <x:c r="L17" s="29"/>
      <x:c r="M17" s="29"/>
      <x:c r="N17" s="29"/>
    </x:row>
    <x:row r="18" ht="23" customHeight="1">
      <x:c r="B18" s="2" t="str">
        <x:v>Actual debt payments</x:v>
      </x:c>
      <x:c r="C18" s="29"/>
      <x:c r="D18" s="29"/>
      <x:c r="E18" s="29"/>
      <x:c r="F18" s="29"/>
      <x:c r="G18" s="29"/>
      <x:c r="H18" s="29"/>
      <x:c r="I18" s="29"/>
      <x:c r="J18" s="29"/>
      <x:c r="K18" s="29"/>
      <x:c r="L18" s="29"/>
      <x:c r="M18" s="29"/>
      <x:c r="N18" s="29"/>
    </x:row>
    <x:row r="19" ht="23" customHeight="1">
      <x:c r="B19" s="2" t="str">
        <x:v>Actual savings transfers</x:v>
      </x:c>
      <x:c r="C19" s="29"/>
      <x:c r="D19" s="29"/>
      <x:c r="E19" s="29"/>
      <x:c r="F19" s="29"/>
      <x:c r="G19" s="29"/>
      <x:c r="H19" s="29"/>
      <x:c r="I19" s="29"/>
      <x:c r="J19" s="29"/>
      <x:c r="K19" s="29"/>
      <x:c r="L19" s="29"/>
      <x:c r="M19" s="29"/>
      <x:c r="N19" s="29"/>
    </x:row>
    <x:row r="20" ht="23" customHeight="1">
      <x:c r="B20" s="2" t="str">
        <x:v>Total assets</x:v>
      </x:c>
      <x:c r="C20" s="29"/>
      <x:c r="D20" s="29"/>
      <x:c r="E20" s="29"/>
      <x:c r="F20" s="29"/>
      <x:c r="G20" s="29"/>
      <x:c r="H20" s="29"/>
      <x:c r="I20" s="29"/>
      <x:c r="J20" s="29"/>
      <x:c r="K20" s="29"/>
      <x:c r="L20" s="29"/>
      <x:c r="M20" s="29"/>
      <x:c r="N20" s="29"/>
    </x:row>
    <x:row r="21" ht="23" customHeight="1">
      <x:c r="B21" s="2" t="str">
        <x:v>Total liabilities</x:v>
      </x:c>
      <x:c r="C21" s="29"/>
      <x:c r="D21" s="29"/>
      <x:c r="E21" s="29"/>
      <x:c r="F21" s="29"/>
      <x:c r="G21" s="29"/>
      <x:c r="H21" s="29"/>
      <x:c r="I21" s="29"/>
      <x:c r="J21" s="29"/>
      <x:c r="K21" s="29"/>
      <x:c r="L21" s="29"/>
      <x:c r="M21" s="29"/>
      <x:c r="N21" s="29"/>
    </x:row>
    <x:row r="22" ht="23" customHeight="1">
      <x:c r="B22" s="2"/>
      <x:c r="C22" s="6"/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</x:row>
    <x:row r="23" ht="23" customHeight="1">
      <x:c r="B23" s="2" t="str">
        <x:v>Actual living costs</x:v>
      </x:c>
      <x:c r="C23" s="6" t="str">
        <x:f>IF(COUNT(C11:C17)=7,SUM(C11:C17),"Not entered")</x:f>
        <x:v>Not entered</x:v>
      </x:c>
      <x:c r="D23" s="6" t="str">
        <x:f>IF(COUNT(D11:D17)=7,SUM(D11:D17),"Not entered")</x:f>
        <x:v>Not entered</x:v>
      </x:c>
      <x:c r="E23" s="6" t="str">
        <x:f>IF(COUNT(E11:E17)=7,SUM(E11:E17),"Not entered")</x:f>
        <x:v>Not entered</x:v>
      </x:c>
      <x:c r="F23" s="6" t="str">
        <x:f>IF(COUNT(F11:F17)=7,SUM(F11:F17),"Not entered")</x:f>
        <x:v>Not entered</x:v>
      </x:c>
      <x:c r="G23" s="6" t="str">
        <x:f>IF(COUNT(G11:G17)=7,SUM(G11:G17),"Not entered")</x:f>
        <x:v>Not entered</x:v>
      </x:c>
      <x:c r="H23" s="6" t="str">
        <x:f>IF(COUNT(H11:H17)=7,SUM(H11:H17),"Not entered")</x:f>
        <x:v>Not entered</x:v>
      </x:c>
      <x:c r="I23" s="6" t="str">
        <x:f>IF(COUNT(I11:I17)=7,SUM(I11:I17),"Not entered")</x:f>
        <x:v>Not entered</x:v>
      </x:c>
      <x:c r="J23" s="6" t="str">
        <x:f>IF(COUNT(J11:J17)=7,SUM(J11:J17),"Not entered")</x:f>
        <x:v>Not entered</x:v>
      </x:c>
      <x:c r="K23" s="6" t="str">
        <x:f>IF(COUNT(K11:K17)=7,SUM(K11:K17),"Not entered")</x:f>
        <x:v>Not entered</x:v>
      </x:c>
      <x:c r="L23" s="6" t="str">
        <x:f>IF(COUNT(L11:L17)=7,SUM(L11:L17),"Not entered")</x:f>
        <x:v>Not entered</x:v>
      </x:c>
      <x:c r="M23" s="6" t="str">
        <x:f>IF(COUNT(M11:M17)=7,SUM(M11:M17),"Not entered")</x:f>
        <x:v>Not entered</x:v>
      </x:c>
      <x:c r="N23" s="6" t="str">
        <x:f>IF(COUNT(N11:N17)=7,SUM(N11:N17),"Not entered")</x:f>
        <x:v>Not entered</x:v>
      </x:c>
    </x:row>
    <x:row r="24" ht="23" customHeight="1">
      <x:c r="B24" s="2" t="str">
        <x:v>Budget less actual living costs</x:v>
      </x:c>
      <x:c r="C24" s="6" t="str">
        <x:f>IF(ISNUMBER(C23),'Forecast'!C23-C23,"Not entered")</x:f>
        <x:v>Not entered</x:v>
      </x:c>
      <x:c r="D24" s="6" t="str">
        <x:f>IF(ISNUMBER(D23),'Forecast'!D23-D23,"Not entered")</x:f>
        <x:v>Not entered</x:v>
      </x:c>
      <x:c r="E24" s="6" t="str">
        <x:f>IF(ISNUMBER(E23),'Forecast'!E23-E23,"Not entered")</x:f>
        <x:v>Not entered</x:v>
      </x:c>
      <x:c r="F24" s="6" t="str">
        <x:f>IF(ISNUMBER(F23),'Forecast'!F23-F23,"Not entered")</x:f>
        <x:v>Not entered</x:v>
      </x:c>
      <x:c r="G24" s="6" t="str">
        <x:f>IF(ISNUMBER(G23),'Forecast'!G23-G23,"Not entered")</x:f>
        <x:v>Not entered</x:v>
      </x:c>
      <x:c r="H24" s="6" t="str">
        <x:f>IF(ISNUMBER(H23),'Forecast'!H23-H23,"Not entered")</x:f>
        <x:v>Not entered</x:v>
      </x:c>
      <x:c r="I24" s="6" t="str">
        <x:f>IF(ISNUMBER(I23),'Forecast'!I23-I23,"Not entered")</x:f>
        <x:v>Not entered</x:v>
      </x:c>
      <x:c r="J24" s="6" t="str">
        <x:f>IF(ISNUMBER(J23),'Forecast'!J23-J23,"Not entered")</x:f>
        <x:v>Not entered</x:v>
      </x:c>
      <x:c r="K24" s="6" t="str">
        <x:f>IF(ISNUMBER(K23),'Forecast'!K23-K23,"Not entered")</x:f>
        <x:v>Not entered</x:v>
      </x:c>
      <x:c r="L24" s="6" t="str">
        <x:f>IF(ISNUMBER(L23),'Forecast'!L23-L23,"Not entered")</x:f>
        <x:v>Not entered</x:v>
      </x:c>
      <x:c r="M24" s="6" t="str">
        <x:f>IF(ISNUMBER(M23),'Forecast'!M23-M23,"Not entered")</x:f>
        <x:v>Not entered</x:v>
      </x:c>
      <x:c r="N24" s="6" t="str">
        <x:f>IF(ISNUMBER(N23),'Forecast'!N23-N23,"Not entered")</x:f>
        <x:v>Not entered</x:v>
      </x:c>
    </x:row>
    <x:row r="25" ht="23" customHeight="1">
      <x:c r="B25" s="2" t="str">
        <x:v>Cash remaining after transfers</x:v>
      </x:c>
      <x:c r="C25" s="6" t="str">
        <x:f>IF(COUNT(C10:C19)=10,C10-SUM(C11:C19),"Not entered")</x:f>
        <x:v>Not entered</x:v>
      </x:c>
      <x:c r="D25" s="6" t="str">
        <x:f>IF(COUNT(D10:D19)=10,D10-SUM(D11:D19),"Not entered")</x:f>
        <x:v>Not entered</x:v>
      </x:c>
      <x:c r="E25" s="6" t="str">
        <x:f>IF(COUNT(E10:E19)=10,E10-SUM(E11:E19),"Not entered")</x:f>
        <x:v>Not entered</x:v>
      </x:c>
      <x:c r="F25" s="6" t="str">
        <x:f>IF(COUNT(F10:F19)=10,F10-SUM(F11:F19),"Not entered")</x:f>
        <x:v>Not entered</x:v>
      </x:c>
      <x:c r="G25" s="6" t="str">
        <x:f>IF(COUNT(G10:G19)=10,G10-SUM(G11:G19),"Not entered")</x:f>
        <x:v>Not entered</x:v>
      </x:c>
      <x:c r="H25" s="6" t="str">
        <x:f>IF(COUNT(H10:H19)=10,H10-SUM(H11:H19),"Not entered")</x:f>
        <x:v>Not entered</x:v>
      </x:c>
      <x:c r="I25" s="6" t="str">
        <x:f>IF(COUNT(I10:I19)=10,I10-SUM(I11:I19),"Not entered")</x:f>
        <x:v>Not entered</x:v>
      </x:c>
      <x:c r="J25" s="6" t="str">
        <x:f>IF(COUNT(J10:J19)=10,J10-SUM(J11:J19),"Not entered")</x:f>
        <x:v>Not entered</x:v>
      </x:c>
      <x:c r="K25" s="6" t="str">
        <x:f>IF(COUNT(K10:K19)=10,K10-SUM(K11:K19),"Not entered")</x:f>
        <x:v>Not entered</x:v>
      </x:c>
      <x:c r="L25" s="6" t="str">
        <x:f>IF(COUNT(L10:L19)=10,L10-SUM(L11:L19),"Not entered")</x:f>
        <x:v>Not entered</x:v>
      </x:c>
      <x:c r="M25" s="6" t="str">
        <x:f>IF(COUNT(M10:M19)=10,M10-SUM(M11:M19),"Not entered")</x:f>
        <x:v>Not entered</x:v>
      </x:c>
      <x:c r="N25" s="6" t="str">
        <x:f>IF(COUNT(N10:N19)=10,N10-SUM(N11:N19),"Not entered")</x:f>
        <x:v>Not entered</x:v>
      </x:c>
    </x:row>
    <x:row r="26" ht="23" customHeight="1">
      <x:c r="B26" s="17" t="str">
        <x:v>Net worth</x:v>
      </x:c>
      <x:c r="C26" s="21" t="str">
        <x:f>IF(COUNT(C20:C21)=2,C20-C21,"Not entered")</x:f>
        <x:v>Not entered</x:v>
      </x:c>
      <x:c r="D26" s="21" t="str">
        <x:f>IF(COUNT(D20:D21)=2,D20-D21,"Not entered")</x:f>
        <x:v>Not entered</x:v>
      </x:c>
      <x:c r="E26" s="21" t="str">
        <x:f>IF(COUNT(E20:E21)=2,E20-E21,"Not entered")</x:f>
        <x:v>Not entered</x:v>
      </x:c>
      <x:c r="F26" s="21" t="str">
        <x:f>IF(COUNT(F20:F21)=2,F20-F21,"Not entered")</x:f>
        <x:v>Not entered</x:v>
      </x:c>
      <x:c r="G26" s="21" t="str">
        <x:f>IF(COUNT(G20:G21)=2,G20-G21,"Not entered")</x:f>
        <x:v>Not entered</x:v>
      </x:c>
      <x:c r="H26" s="21" t="str">
        <x:f>IF(COUNT(H20:H21)=2,H20-H21,"Not entered")</x:f>
        <x:v>Not entered</x:v>
      </x:c>
      <x:c r="I26" s="21" t="str">
        <x:f>IF(COUNT(I20:I21)=2,I20-I21,"Not entered")</x:f>
        <x:v>Not entered</x:v>
      </x:c>
      <x:c r="J26" s="21" t="str">
        <x:f>IF(COUNT(J20:J21)=2,J20-J21,"Not entered")</x:f>
        <x:v>Not entered</x:v>
      </x:c>
      <x:c r="K26" s="21" t="str">
        <x:f>IF(COUNT(K20:K21)=2,K20-K21,"Not entered")</x:f>
        <x:v>Not entered</x:v>
      </x:c>
      <x:c r="L26" s="21" t="str">
        <x:f>IF(COUNT(L20:L21)=2,L20-L21,"Not entered")</x:f>
        <x:v>Not entered</x:v>
      </x:c>
      <x:c r="M26" s="21" t="str">
        <x:f>IF(COUNT(M20:M21)=2,M20-M21,"Not entered")</x:f>
        <x:v>Not entered</x:v>
      </x:c>
      <x:c r="N26" s="21" t="str">
        <x:f>IF(COUNT(N20:N21)=2,N20-N21,"Not entered")</x:f>
        <x:v>Not entered</x:v>
      </x:c>
    </x:row>
    <x:row r="27" ht="23" customHeight="1"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 ht="23" customHeight="1"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 ht="23" customHeight="1">
      <x:c r="B29" s="2" t="str">
        <x:v>Actuals do not change the forecast. Include each asset and liability once. Savings transfers are not living costs.</x:v>
      </x:c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 ht="23" customHeight="1"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 ht="23" customHeight="1">
      <x:c r="B31" s="2" t="str">
        <x:v>Next month I will change:</x:v>
      </x:c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 ht="23" customHeight="1">
      <x:c r="B32" s="2"/>
      <x:c r="C32" s="30"/>
      <x:c r="D32" s="30"/>
      <x:c r="E32" s="30"/>
      <x:c r="F32" s="30"/>
      <x:c r="G32" s="30"/>
      <x:c r="H32" s="30"/>
      <x:c r="I32" s="30"/>
      <x:c r="J32" s="30"/>
      <x:c r="K32" s="30"/>
      <x:c r="L32" s="30"/>
      <x:c r="M32" s="30"/>
      <x:c r="N32" s="30"/>
    </x:row>
    <x:row r="33" ht="23" customHeight="1">
      <x:c r="B33" s="2"/>
      <x:c r="C33" s="30"/>
      <x:c r="D33" s="30"/>
      <x:c r="E33" s="30"/>
      <x:c r="F33" s="30"/>
      <x:c r="G33" s="30"/>
      <x:c r="H33" s="30"/>
      <x:c r="I33" s="30"/>
      <x:c r="J33" s="30"/>
      <x:c r="K33" s="30"/>
      <x:c r="L33" s="30"/>
      <x:c r="M33" s="30"/>
      <x:c r="N33" s="30"/>
    </x:row>
    <x:row r="34" ht="23" customHeight="1">
      <x:c r="B34" s="2"/>
      <x:c r="C34" s="30"/>
      <x:c r="D34" s="30"/>
      <x:c r="E34" s="30"/>
      <x:c r="F34" s="30"/>
      <x:c r="G34" s="30"/>
      <x:c r="H34" s="30"/>
      <x:c r="I34" s="30"/>
      <x:c r="J34" s="30"/>
      <x:c r="K34" s="30"/>
      <x:c r="L34" s="30"/>
      <x:c r="M34" s="30"/>
      <x:c r="N34" s="30"/>
    </x:row>
  </x:sheetData>
  <x:sheetProtection sheet="1" objects="1" scenarios="1" selectLockedCells="0" selectUnlockedCells="0"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57D5D"/>
  </x:sheetPr>
  <x:sheetViews>
    <x:sheetView showGridLines="0" workbookViewId="0"/>
  </x:sheetViews>
  <x:sheetFormatPr defaultRowHeight="15"/>
  <x:cols>
    <x:col min="1" max="1" width="3" hidden="0" customWidth="1"/>
    <x:col min="2" max="2" width="33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2" ht="23" customHeight="1">
      <x:c r="B2" s="3" t="str">
        <x:v>Choose your debt strategy</x:v>
      </x:c>
      <x:c r="C2" s="2"/>
      <x:c r="D2" s="2"/>
      <x:c r="E2" s="2"/>
      <x:c r="F2" s="2"/>
      <x:c r="G2" s="2"/>
      <x:c r="H2" s="2"/>
      <x:c r="I2" s="2"/>
      <x:c r="J2" s="2"/>
    </x:row>
    <x:row r="3" ht="23" customHeight="1">
      <x:c r="B3" s="4" t="str">
        <x:v>Example debts. Edit up to five loans. Fixed APR, month-end payments, no new debt or fees.</x:v>
      </x:c>
      <x:c r="C3" s="2"/>
      <x:c r="D3" s="2"/>
      <x:c r="E3" s="2"/>
      <x:c r="F3" s="2"/>
      <x:c r="G3" s="2"/>
      <x:c r="H3" s="2"/>
      <x:c r="I3" s="2"/>
      <x:c r="J3" s="2"/>
    </x:row>
    <x:row r="4" ht="23" customHeight="1">
      <x:c r="B4" s="2"/>
      <x:c r="C4" s="2"/>
      <x:c r="D4" s="2"/>
      <x:c r="E4" s="2"/>
      <x:c r="F4" s="2"/>
      <x:c r="G4" s="2"/>
      <x:c r="H4" s="2"/>
      <x:c r="I4" s="2"/>
      <x:c r="J4" s="2"/>
    </x:row>
    <x:row r="5" ht="23" customHeight="1">
      <x:c r="B5" s="2" t="str">
        <x:v>Total monthly payment budget</x:v>
      </x:c>
      <x:c r="C5" s="30" t="n">
        <x:v>400</x:v>
      </x:c>
      <x:c r="D5" s="2"/>
      <x:c r="E5" s="2"/>
      <x:c r="F5" s="2"/>
      <x:c r="G5" s="2"/>
      <x:c r="H5" s="2"/>
      <x:c r="I5" s="2"/>
      <x:c r="J5" s="2"/>
    </x:row>
    <x:row r="6" ht="23" customHeight="1">
      <x:c r="B6" s="2"/>
      <x:c r="C6" s="2"/>
      <x:c r="D6" s="2"/>
      <x:c r="E6" s="2"/>
      <x:c r="F6" s="2"/>
      <x:c r="G6" s="2"/>
      <x:c r="H6" s="2"/>
      <x:c r="I6" s="2"/>
      <x:c r="J6" s="2"/>
    </x:row>
    <x:row r="7" ht="23" customHeight="1">
      <x:c r="B7" s="2"/>
      <x:c r="C7" s="2"/>
      <x:c r="D7" s="2"/>
      <x:c r="E7" s="2"/>
      <x:c r="F7" s="2"/>
      <x:c r="G7" s="2"/>
      <x:c r="H7" s="2"/>
      <x:c r="I7" s="2"/>
      <x:c r="J7" s="2"/>
    </x:row>
    <x:row r="8" ht="23" customHeight="1">
      <x:c r="B8" s="17" t="str">
        <x:v>Debt</x:v>
      </x:c>
      <x:c r="C8" s="17" t="str">
        <x:v>Balance</x:v>
      </x:c>
      <x:c r="D8" s="17" t="str">
        <x:v>APR</x:v>
      </x:c>
      <x:c r="E8" s="17" t="str">
        <x:v>Minimum payment</x:v>
      </x:c>
      <x:c r="F8" s="2"/>
      <x:c r="G8" s="2"/>
      <x:c r="H8" s="2"/>
      <x:c r="I8" s="2"/>
      <x:c r="J8" s="2"/>
    </x:row>
    <x:row r="9" ht="23" customHeight="1">
      <x:c r="B9" s="30" t="str">
        <x:v>Credit card</x:v>
      </x:c>
      <x:c r="C9" s="29" t="n">
        <x:v>3500</x:v>
      </x:c>
      <x:c r="D9" s="31" t="n">
        <x:v>0.22</x:v>
      </x:c>
      <x:c r="E9" s="29" t="n">
        <x:v>100</x:v>
      </x:c>
      <x:c r="F9" s="2"/>
      <x:c r="G9" s="2"/>
      <x:c r="H9" s="2"/>
      <x:c r="I9" s="2"/>
      <x:c r="J9" s="2"/>
    </x:row>
    <x:row r="10" ht="23" customHeight="1">
      <x:c r="B10" s="30" t="str">
        <x:v>Personal loan</x:v>
      </x:c>
      <x:c r="C10" s="29" t="n">
        <x:v>5000</x:v>
      </x:c>
      <x:c r="D10" s="31" t="n">
        <x:v>0.08</x:v>
      </x:c>
      <x:c r="E10" s="29" t="n">
        <x:v>150</x:v>
      </x:c>
      <x:c r="F10" s="2"/>
      <x:c r="G10" s="2"/>
      <x:c r="H10" s="2"/>
      <x:c r="I10" s="2"/>
      <x:c r="J10" s="2"/>
    </x:row>
    <x:row r="11" ht="23" customHeight="1">
      <x:c r="B11" s="30" t="str">
        <x:v>Medical bill</x:v>
      </x:c>
      <x:c r="C11" s="29" t="n">
        <x:v>600</x:v>
      </x:c>
      <x:c r="D11" s="31" t="n">
        <x:v>0</x:v>
      </x:c>
      <x:c r="E11" s="29" t="n">
        <x:v>25</x:v>
      </x:c>
      <x:c r="F11" s="2"/>
      <x:c r="G11" s="2"/>
      <x:c r="H11" s="2"/>
      <x:c r="I11" s="2"/>
      <x:c r="J11" s="2"/>
    </x:row>
    <x:row r="12" ht="23" customHeight="1">
      <x:c r="B12" s="30" t="str">
        <x:v>Debt 4</x:v>
      </x:c>
      <x:c r="C12" s="29" t="n">
        <x:v>0</x:v>
      </x:c>
      <x:c r="D12" s="31" t="n">
        <x:v>0</x:v>
      </x:c>
      <x:c r="E12" s="29" t="n">
        <x:v>0</x:v>
      </x:c>
      <x:c r="F12" s="2"/>
      <x:c r="G12" s="2"/>
      <x:c r="H12" s="2"/>
      <x:c r="I12" s="2"/>
      <x:c r="J12" s="2"/>
    </x:row>
    <x:row r="13" ht="23" customHeight="1">
      <x:c r="B13" s="30" t="str">
        <x:v>Debt 5</x:v>
      </x:c>
      <x:c r="C13" s="29" t="n">
        <x:v>0</x:v>
      </x:c>
      <x:c r="D13" s="31" t="n">
        <x:v>0</x:v>
      </x:c>
      <x:c r="E13" s="29" t="n">
        <x:v>0</x:v>
      </x:c>
      <x:c r="F13" s="2"/>
      <x:c r="G13" s="2"/>
      <x:c r="H13" s="2"/>
      <x:c r="I13" s="2"/>
      <x:c r="J13" s="2"/>
    </x:row>
    <x:row r="14" ht="23" customHeight="1"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3" customHeight="1">
      <x:c r="B15" s="2" t="str">
        <x:v>Minimum payments</x:v>
      </x:c>
      <x:c r="C15" s="6" t="n">
        <x:f>SUMIF(C9:C13,"&gt;0",E9:E13)</x:f>
        <x:v>275</x:v>
      </x:c>
      <x:c r="D15" s="2"/>
      <x:c r="E15" s="2"/>
      <x:c r="F15" s="2"/>
      <x:c r="G15" s="2"/>
      <x:c r="H15" s="2"/>
      <x:c r="I15" s="2"/>
      <x:c r="J15" s="2"/>
    </x:row>
    <x:row r="16" ht="23" customHeight="1">
      <x:c r="B16" s="2" t="str">
        <x:v>Budget shortfall</x:v>
      </x:c>
      <x:c r="C16" s="6" t="n">
        <x:f>MAX(0,C15-C5)</x:f>
        <x:v>0</x:v>
      </x:c>
      <x:c r="D16" s="2"/>
      <x:c r="E16" s="2"/>
      <x:c r="F16" s="2"/>
      <x:c r="G16" s="2"/>
      <x:c r="H16" s="2"/>
      <x:c r="I16" s="2"/>
      <x:c r="J16" s="2"/>
    </x:row>
    <x:row r="17" ht="23" customHeight="1"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3" customHeight="1"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3" customHeight="1">
      <x:c r="B19" s="17" t="str">
        <x:v>Method</x:v>
      </x:c>
      <x:c r="C19" s="17" t="str">
        <x:v>Months to repay</x:v>
      </x:c>
      <x:c r="D19" s="17" t="str">
        <x:v>Interest (USD)</x:v>
      </x:c>
      <x:c r="E19" s="17" t="str">
        <x:v>Payoff month</x:v>
      </x:c>
      <x:c r="F19" s="2"/>
      <x:c r="G19" s="2"/>
      <x:c r="H19" s="2"/>
      <x:c r="I19" s="2"/>
      <x:c r="J19" s="2"/>
    </x:row>
    <x:row r="20" ht="23" customHeight="1">
      <x:c r="B20" s="2" t="str">
        <x:v>Snowball</x:v>
      </x:c>
      <x:c r="C20" s="2" t="n">
        <x:f>IF($C$16&gt;0,"Budget shortfall",IF(SUM($C$9:$C$13)=0,0,IF(COUNTIFS('Snowball schedule'!AG9:AG488,0)=0,"Beyond 40 years",MATCH(0,'Snowball schedule'!AG9:AG488,0))))</x:f>
        <x:v>27</x:v>
      </x:c>
      <x:c r="D20" s="6" t="n">
        <x:f>IF(ISNUMBER(C20),IF(C20=0,0,INDEX('Snowball schedule'!AH9:AH488,C20)),"Unavailable")</x:f>
        <x:v>1353.9499999999996</x:v>
      </x:c>
      <x:c r="E20" s="7" t="n">
        <x:f>IF(ISNUMBER(C20),IF(C20&gt;0,DATE(YEAR('Forecast'!$C$8),MONTH('Forecast'!$C$8)+C20-1,1),"No debt"),"Unavailable")</x:f>
        <x:v>47058</x:v>
      </x:c>
      <x:c r="F20" s="2"/>
      <x:c r="G20" s="2"/>
      <x:c r="H20" s="2"/>
      <x:c r="I20" s="2"/>
      <x:c r="J20" s="2"/>
    </x:row>
    <x:row r="21" ht="23" customHeight="1">
      <x:c r="B21" s="2" t="str">
        <x:v>Avalanche</x:v>
      </x:c>
      <x:c r="C21" s="2" t="n">
        <x:f>IF($C$16&gt;0,"Budget shortfall",IF(SUM($C$9:$C$13)=0,0,IF(COUNTIFS('Avalanche schedule'!AG9:AG488,0)=0,"Beyond 40 years",MATCH(0,'Avalanche schedule'!AG9:AG488,0))))</x:f>
        <x:v>26</x:v>
      </x:c>
      <x:c r="D21" s="6" t="n">
        <x:f>IF(ISNUMBER(C21),IF(C21=0,0,INDEX('Avalanche schedule'!AH9:AH488,C21)),"Unavailable")</x:f>
        <x:v>1220.8400000000001</x:v>
      </x:c>
      <x:c r="E21" s="7" t="n">
        <x:f>IF(ISNUMBER(C21),IF(C21&gt;0,DATE(YEAR('Forecast'!$C$8),MONTH('Forecast'!$C$8)+C21-1,1),"No debt"),"Unavailable")</x:f>
        <x:v>47027</x:v>
      </x:c>
      <x:c r="F21" s="2"/>
      <x:c r="G21" s="2"/>
      <x:c r="H21" s="2"/>
      <x:c r="I21" s="2"/>
      <x:c r="J21" s="2"/>
    </x:row>
    <x:row r="22" ht="23" customHeight="1">
      <x:c r="B22" s="2"/>
      <x:c r="C22" s="2"/>
      <x:c r="D22" s="6"/>
      <x:c r="E22" s="2"/>
      <x:c r="F22" s="2"/>
      <x:c r="G22" s="2"/>
      <x:c r="H22" s="2"/>
      <x:c r="I22" s="2"/>
      <x:c r="J22" s="2"/>
    </x:row>
    <x:row r="23" ht="23" customHeight="1">
      <x:c r="B23" s="2" t="str">
        <x:v>Interest difference</x:v>
      </x:c>
      <x:c r="C23" s="2"/>
      <x:c r="D23" s="6" t="n">
        <x:f>IF(COUNT(D20:D21)=2,ABS(D20-D21),"Unavailable")</x:f>
        <x:v>133.10999999999945</x:v>
      </x:c>
      <x:c r="E23" s="2"/>
      <x:c r="F23" s="2"/>
      <x:c r="G23" s="2"/>
      <x:c r="H23" s="2"/>
      <x:c r="I23" s="2"/>
      <x:c r="J23" s="2"/>
    </x:row>
    <x:row r="24" ht="23" customHeight="1"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3" customHeight="1">
      <x:c r="B25" s="2" t="str">
        <x:v>Snowball: smallest remaining balance first. Avalanche: highest APR first. Freed payments roll into other debts.</x:v>
      </x:c>
      <x:c r="C25" s="2"/>
      <x:c r="D25" s="2"/>
      <x:c r="E25" s="2"/>
      <x:c r="F25" s="2"/>
      <x:c r="G25" s="2"/>
      <x:c r="H25" s="2"/>
      <x:c r="I25" s="2"/>
      <x:c r="J25" s="2"/>
    </x:row>
    <x:row r="26">
      <x:c r="B26" t="str">
        <x:v>If minimums exceed the budget, results are unavailable. Schedules are hypothetical and do not model missed payments.</x:v>
      </x:c>
    </x:row>
    <x:row r="27">
      <x:c r="B27" t="str">
        <x:v>The schedules compare both methods independently, using the same input balances and budget.</x:v>
      </x:c>
    </x:row>
  </x:sheetData>
  <x:sheetProtection sheet="1" objects="1" scenarios="1" selectLockedCells="0" selectUnlockedCells="0"/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657D5D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</x:cols>
  <x:sheetData>
    <x:row r="2" ht="23" customHeight="1">
      <x:c r="B2" s="3" t="str">
        <x:v>Snowball monthly schedule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</x:row>
    <x:row r="3" ht="23" customHeight="1">
      <x:c r="B3" s="4" t="str">
        <x:v>40-year limit. Read-only formula schedule; edit inputs on Debt strategy.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</x:row>
    <x:row r="4" ht="23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</x:row>
    <x:row r="5" ht="23" customHeight="1"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</x:row>
    <x:row r="6" ht="23" customHeight="1"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</x:row>
    <x:row r="7" ht="23" customHeight="1"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</x:row>
    <x:row r="8" ht="36" customHeight="1">
      <x:c r="B8" s="26" t="str">
        <x:v>Month</x:v>
      </x:c>
      <x:c r="C8" s="26" t="str">
        <x:v>Debt 1 opening</x:v>
      </x:c>
      <x:c r="D8" s="26" t="str">
        <x:v>Interest</x:v>
      </x:c>
      <x:c r="E8" s="26" t="str">
        <x:v>Minimum paid</x:v>
      </x:c>
      <x:c r="F8" s="26" t="str">
        <x:v>Priority</x:v>
      </x:c>
      <x:c r="G8" s="26" t="str">
        <x:v>Extra paid</x:v>
      </x:c>
      <x:c r="H8" s="26" t="str">
        <x:v>Closing</x:v>
      </x:c>
      <x:c r="I8" s="26" t="str">
        <x:v>Debt 2 opening</x:v>
      </x:c>
      <x:c r="J8" s="26" t="str">
        <x:v>Interest</x:v>
      </x:c>
      <x:c r="K8" s="26" t="str">
        <x:v>Minimum paid</x:v>
      </x:c>
      <x:c r="L8" s="26" t="str">
        <x:v>Priority</x:v>
      </x:c>
      <x:c r="M8" s="26" t="str">
        <x:v>Extra paid</x:v>
      </x:c>
      <x:c r="N8" s="26" t="str">
        <x:v>Closing</x:v>
      </x:c>
      <x:c r="O8" s="26" t="str">
        <x:v>Debt 3 opening</x:v>
      </x:c>
      <x:c r="P8" s="26" t="str">
        <x:v>Interest</x:v>
      </x:c>
      <x:c r="Q8" s="26" t="str">
        <x:v>Minimum paid</x:v>
      </x:c>
      <x:c r="R8" s="26" t="str">
        <x:v>Priority</x:v>
      </x:c>
      <x:c r="S8" s="26" t="str">
        <x:v>Extra paid</x:v>
      </x:c>
      <x:c r="T8" s="26" t="str">
        <x:v>Closing</x:v>
      </x:c>
      <x:c r="U8" s="26" t="str">
        <x:v>Debt 4 opening</x:v>
      </x:c>
      <x:c r="V8" s="26" t="str">
        <x:v>Interest</x:v>
      </x:c>
      <x:c r="W8" s="26" t="str">
        <x:v>Minimum paid</x:v>
      </x:c>
      <x:c r="X8" s="26" t="str">
        <x:v>Priority</x:v>
      </x:c>
      <x:c r="Y8" s="26" t="str">
        <x:v>Extra paid</x:v>
      </x:c>
      <x:c r="Z8" s="26" t="str">
        <x:v>Closing</x:v>
      </x:c>
      <x:c r="AA8" s="26" t="str">
        <x:v>Debt 5 opening</x:v>
      </x:c>
      <x:c r="AB8" s="26" t="str">
        <x:v>Interest</x:v>
      </x:c>
      <x:c r="AC8" s="26" t="str">
        <x:v>Minimum paid</x:v>
      </x:c>
      <x:c r="AD8" s="26" t="str">
        <x:v>Priority</x:v>
      </x:c>
      <x:c r="AE8" s="26" t="str">
        <x:v>Extra paid</x:v>
      </x:c>
      <x:c r="AF8" s="26" t="str">
        <x:v>Closing</x:v>
      </x:c>
      <x:c r="AG8" s="26" t="str">
        <x:v>Total balance</x:v>
      </x:c>
      <x:c r="AH8" s="26" t="str">
        <x:v>Interest to date</x:v>
      </x:c>
      <x:c r="AI8" s="2"/>
    </x:row>
    <x:row r="9" ht="23" customHeight="1">
      <x:c r="B9" s="2" t="n">
        <x:f>1</x:f>
        <x:v>1</x:v>
      </x:c>
      <x:c r="C9" s="6" t="n">
        <x:f>'Debt strategy'!$C$9</x:f>
        <x:v>3500</x:v>
      </x:c>
      <x:c r="D9" s="6" t="n">
        <x:f>ROUND(C9*'Debt strategy'!$D$9/12,2)</x:f>
        <x:v>64.17</x:v>
      </x:c>
      <x:c r="E9" s="6" t="n">
        <x:f>MIN(C9+D9,'Debt strategy'!$E$9)</x:f>
        <x:v>100</x:v>
      </x:c>
      <x:c r="F9" s="27" t="n">
        <x:f>IF(C9+D9-E9&lt;=0,99,1+SUM(IF(AND(I9+J9-K9&gt;0,OR(I9+J9-K9&lt;C9+D9-E9,AND(I9+J9-K9=C9+D9-E9,1&lt;0))),1,0),IF(AND(O9+P9-Q9&gt;0,OR(O9+P9-Q9&lt;C9+D9-E9,AND(O9+P9-Q9=C9+D9-E9,2&lt;0))),1,0),IF(AND(U9+V9-W9&gt;0,OR(U9+V9-W9&lt;C9+D9-E9,AND(U9+V9-W9=C9+D9-E9,3&lt;0))),1,0),IF(AND(AA9+AB9-AC9&gt;0,OR(AA9+AB9-AC9&lt;C9+D9-E9,AND(AA9+AB9-AC9=C9+D9-E9,4&lt;0))),1,0)))</x:f>
        <x:v>2</x:v>
      </x:c>
      <x:c r="G9" s="6" t="n">
        <x:f>IF('Debt strategy'!$C$16&gt;0,0,MIN(C9+D9-E9,MAX(0,'Debt strategy'!$C$5-SUM(E9,K9,Q9,W9,AC9)-SUM(IF(L9&lt;F9,I9+J9-K9,0),IF(R9&lt;F9,O9+P9-Q9,0),IF(X9&lt;F9,U9+V9-W9,0),IF(AD9&lt;F9,AA9+AB9-AC9,0)))))</x:f>
        <x:v>0</x:v>
      </x:c>
      <x:c r="H9" s="6" t="n">
        <x:f>ROUND(MAX(0,C9+D9-E9-G9),2)</x:f>
        <x:v>3464.17</x:v>
      </x:c>
      <x:c r="I9" s="6" t="n">
        <x:f>'Debt strategy'!$C$10</x:f>
        <x:v>5000</x:v>
      </x:c>
      <x:c r="J9" s="6" t="n">
        <x:f>ROUND(I9*'Debt strategy'!$D$10/12,2)</x:f>
        <x:v>33.33</x:v>
      </x:c>
      <x:c r="K9" s="6" t="n">
        <x:f>MIN(I9+J9,'Debt strategy'!$E$10)</x:f>
        <x:v>150</x:v>
      </x:c>
      <x:c r="L9" s="27" t="n">
        <x:f>IF(I9+J9-K9&lt;=0,99,1+SUM(IF(AND(C9+D9-E9&gt;0,OR(C9+D9-E9&lt;I9+J9-K9,AND(C9+D9-E9=I9+J9-K9,0&lt;1))),1,0),IF(AND(O9+P9-Q9&gt;0,OR(O9+P9-Q9&lt;I9+J9-K9,AND(O9+P9-Q9=I9+J9-K9,2&lt;1))),1,0),IF(AND(U9+V9-W9&gt;0,OR(U9+V9-W9&lt;I9+J9-K9,AND(U9+V9-W9=I9+J9-K9,3&lt;1))),1,0),IF(AND(AA9+AB9-AC9&gt;0,OR(AA9+AB9-AC9&lt;I9+J9-K9,AND(AA9+AB9-AC9=I9+J9-K9,4&lt;1))),1,0)))</x:f>
        <x:v>3</x:v>
      </x:c>
      <x:c r="M9" s="6" t="n">
        <x:f>IF('Debt strategy'!$C$16&gt;0,0,MIN(I9+J9-K9,MAX(0,'Debt strategy'!$C$5-SUM(E9,K9,Q9,W9,AC9)-SUM(IF(F9&lt;L9,C9+D9-E9,0),IF(R9&lt;L9,O9+P9-Q9,0),IF(X9&lt;L9,U9+V9-W9,0),IF(AD9&lt;L9,AA9+AB9-AC9,0)))))</x:f>
        <x:v>0</x:v>
      </x:c>
      <x:c r="N9" s="6" t="n">
        <x:f>ROUND(MAX(0,I9+J9-K9-M9),2)</x:f>
        <x:v>4883.33</x:v>
      </x:c>
      <x:c r="O9" s="6" t="n">
        <x:f>'Debt strategy'!$C$11</x:f>
        <x:v>600</x:v>
      </x:c>
      <x:c r="P9" s="6" t="n">
        <x:f>ROUND(O9*'Debt strategy'!$D$11/12,2)</x:f>
        <x:v>0</x:v>
      </x:c>
      <x:c r="Q9" s="6" t="n">
        <x:f>MIN(O9+P9,'Debt strategy'!$E$11)</x:f>
        <x:v>25</x:v>
      </x:c>
      <x:c r="R9" s="27" t="n">
        <x:f>IF(O9+P9-Q9&lt;=0,99,1+SUM(IF(AND(C9+D9-E9&gt;0,OR(C9+D9-E9&lt;O9+P9-Q9,AND(C9+D9-E9=O9+P9-Q9,0&lt;2))),1,0),IF(AND(I9+J9-K9&gt;0,OR(I9+J9-K9&lt;O9+P9-Q9,AND(I9+J9-K9=O9+P9-Q9,1&lt;2))),1,0),IF(AND(U9+V9-W9&gt;0,OR(U9+V9-W9&lt;O9+P9-Q9,AND(U9+V9-W9=O9+P9-Q9,3&lt;2))),1,0),IF(AND(AA9+AB9-AC9&gt;0,OR(AA9+AB9-AC9&lt;O9+P9-Q9,AND(AA9+AB9-AC9=O9+P9-Q9,4&lt;2))),1,0)))</x:f>
        <x:v>1</x:v>
      </x:c>
      <x:c r="S9" s="6" t="n">
        <x:f>IF('Debt strategy'!$C$16&gt;0,0,MIN(O9+P9-Q9,MAX(0,'Debt strategy'!$C$5-SUM(E9,K9,Q9,W9,AC9)-SUM(IF(F9&lt;R9,C9+D9-E9,0),IF(L9&lt;R9,I9+J9-K9,0),IF(X9&lt;R9,U9+V9-W9,0),IF(AD9&lt;R9,AA9+AB9-AC9,0)))))</x:f>
        <x:v>125</x:v>
      </x:c>
      <x:c r="T9" s="6" t="n">
        <x:f>ROUND(MAX(0,O9+P9-Q9-S9),2)</x:f>
        <x:v>450</x:v>
      </x:c>
      <x:c r="U9" s="6" t="n">
        <x:f>'Debt strategy'!$C$12</x:f>
        <x:v>0</x:v>
      </x:c>
      <x:c r="V9" s="6" t="n">
        <x:f>ROUND(U9*'Debt strategy'!$D$12/12,2)</x:f>
        <x:v>0</x:v>
      </x:c>
      <x:c r="W9" s="6" t="n">
        <x:f>MIN(U9+V9,'Debt strategy'!$E$12)</x:f>
        <x:v>0</x:v>
      </x:c>
      <x:c r="X9" s="27" t="n">
        <x:f>IF(U9+V9-W9&lt;=0,99,1+SUM(IF(AND(C9+D9-E9&gt;0,OR(C9+D9-E9&lt;U9+V9-W9,AND(C9+D9-E9=U9+V9-W9,0&lt;3))),1,0),IF(AND(I9+J9-K9&gt;0,OR(I9+J9-K9&lt;U9+V9-W9,AND(I9+J9-K9=U9+V9-W9,1&lt;3))),1,0),IF(AND(O9+P9-Q9&gt;0,OR(O9+P9-Q9&lt;U9+V9-W9,AND(O9+P9-Q9=U9+V9-W9,2&lt;3))),1,0),IF(AND(AA9+AB9-AC9&gt;0,OR(AA9+AB9-AC9&lt;U9+V9-W9,AND(AA9+AB9-AC9=U9+V9-W9,4&lt;3))),1,0)))</x:f>
        <x:v>99</x:v>
      </x:c>
      <x:c r="Y9" s="6" t="n">
        <x:f>IF('Debt strategy'!$C$16&gt;0,0,MIN(U9+V9-W9,MAX(0,'Debt strategy'!$C$5-SUM(E9,K9,Q9,W9,AC9)-SUM(IF(F9&lt;X9,C9+D9-E9,0),IF(L9&lt;X9,I9+J9-K9,0),IF(R9&lt;X9,O9+P9-Q9,0),IF(AD9&lt;X9,AA9+AB9-AC9,0)))))</x:f>
        <x:v>0</x:v>
      </x:c>
      <x:c r="Z9" s="6" t="n">
        <x:f>ROUND(MAX(0,U9+V9-W9-Y9),2)</x:f>
        <x:v>0</x:v>
      </x:c>
      <x:c r="AA9" s="6" t="n">
        <x:f>'Debt strategy'!$C$13</x:f>
        <x:v>0</x:v>
      </x:c>
      <x:c r="AB9" s="6" t="n">
        <x:f>ROUND(AA9*'Debt strategy'!$D$13/12,2)</x:f>
        <x:v>0</x:v>
      </x:c>
      <x:c r="AC9" s="6" t="n">
        <x:f>MIN(AA9+AB9,'Debt strategy'!$E$13)</x:f>
        <x:v>0</x:v>
      </x:c>
      <x:c r="AD9" s="27" t="n">
        <x:f>IF(AA9+AB9-AC9&lt;=0,99,1+SUM(IF(AND(C9+D9-E9&gt;0,OR(C9+D9-E9&lt;AA9+AB9-AC9,AND(C9+D9-E9=AA9+AB9-AC9,0&lt;4))),1,0),IF(AND(I9+J9-K9&gt;0,OR(I9+J9-K9&lt;AA9+AB9-AC9,AND(I9+J9-K9=AA9+AB9-AC9,1&lt;4))),1,0),IF(AND(O9+P9-Q9&gt;0,OR(O9+P9-Q9&lt;AA9+AB9-AC9,AND(O9+P9-Q9=AA9+AB9-AC9,2&lt;4))),1,0),IF(AND(U9+V9-W9&gt;0,OR(U9+V9-W9&lt;AA9+AB9-AC9,AND(U9+V9-W9=AA9+AB9-AC9,3&lt;4))),1,0)))</x:f>
        <x:v>99</x:v>
      </x:c>
      <x:c r="AE9" s="6" t="n">
        <x:f>IF('Debt strategy'!$C$16&gt;0,0,MIN(AA9+AB9-AC9,MAX(0,'Debt strategy'!$C$5-SUM(E9,K9,Q9,W9,AC9)-SUM(IF(F9&lt;AD9,C9+D9-E9,0),IF(L9&lt;AD9,I9+J9-K9,0),IF(R9&lt;AD9,O9+P9-Q9,0),IF(X9&lt;AD9,U9+V9-W9,0)))))</x:f>
        <x:v>0</x:v>
      </x:c>
      <x:c r="AF9" s="6" t="n">
        <x:f>ROUND(MAX(0,AA9+AB9-AC9-AE9),2)</x:f>
        <x:v>0</x:v>
      </x:c>
      <x:c r="AG9" s="6" t="n">
        <x:f>SUM(H9,N9,T9,Z9,AF9)</x:f>
        <x:v>8797.5</x:v>
      </x:c>
      <x:c r="AH9" s="6" t="n">
        <x:f>SUM(D9,J9,P9,V9,AB9)</x:f>
        <x:v>97.5</x:v>
      </x:c>
      <x:c r="AI9" s="2"/>
    </x:row>
    <x:row r="10" ht="23" customHeight="1">
      <x:c r="B10" s="2" t="n">
        <x:f>2</x:f>
        <x:v>2</x:v>
      </x:c>
      <x:c r="C10" s="6" t="n">
        <x:f>H9</x:f>
        <x:v>3464.17</x:v>
      </x:c>
      <x:c r="D10" s="6" t="n">
        <x:f>ROUND(C10*'Debt strategy'!$D$9/12,2)</x:f>
        <x:v>63.51</x:v>
      </x:c>
      <x:c r="E10" s="6" t="n">
        <x:f>MIN(C10+D10,'Debt strategy'!$E$9)</x:f>
        <x:v>100</x:v>
      </x:c>
      <x:c r="F10" s="27" t="n">
        <x:f>IF(C10+D10-E10&lt;=0,99,1+SUM(IF(AND(I10+J10-K10&gt;0,OR(I10+J10-K10&lt;C10+D10-E10,AND(I10+J10-K10=C10+D10-E10,1&lt;0))),1,0),IF(AND(O10+P10-Q10&gt;0,OR(O10+P10-Q10&lt;C10+D10-E10,AND(O10+P10-Q10=C10+D10-E10,2&lt;0))),1,0),IF(AND(U10+V10-W10&gt;0,OR(U10+V10-W10&lt;C10+D10-E10,AND(U10+V10-W10=C10+D10-E10,3&lt;0))),1,0),IF(AND(AA10+AB10-AC10&gt;0,OR(AA10+AB10-AC10&lt;C10+D10-E10,AND(AA10+AB10-AC10=C10+D10-E10,4&lt;0))),1,0)))</x:f>
        <x:v>2</x:v>
      </x:c>
      <x:c r="G10" s="6" t="n">
        <x:f>IF('Debt strategy'!$C$16&gt;0,0,MIN(C10+D10-E10,MAX(0,'Debt strategy'!$C$5-SUM(E10,K10,Q10,W10,AC10)-SUM(IF(L10&lt;F10,I10+J10-K10,0),IF(R10&lt;F10,O10+P10-Q10,0),IF(X10&lt;F10,U10+V10-W10,0),IF(AD10&lt;F10,AA10+AB10-AC10,0)))))</x:f>
        <x:v>0</x:v>
      </x:c>
      <x:c r="H10" s="6" t="n">
        <x:f>ROUND(MAX(0,C10+D10-E10-G10),2)</x:f>
        <x:v>3427.68</x:v>
      </x:c>
      <x:c r="I10" s="6" t="n">
        <x:f>N9</x:f>
        <x:v>4883.33</x:v>
      </x:c>
      <x:c r="J10" s="6" t="n">
        <x:f>ROUND(I10*'Debt strategy'!$D$10/12,2)</x:f>
        <x:v>32.56</x:v>
      </x:c>
      <x:c r="K10" s="6" t="n">
        <x:f>MIN(I10+J10,'Debt strategy'!$E$10)</x:f>
        <x:v>150</x:v>
      </x:c>
      <x:c r="L10" s="27" t="n">
        <x:f>IF(I10+J10-K10&lt;=0,99,1+SUM(IF(AND(C10+D10-E10&gt;0,OR(C10+D10-E10&lt;I10+J10-K10,AND(C10+D10-E10=I10+J10-K10,0&lt;1))),1,0),IF(AND(O10+P10-Q10&gt;0,OR(O10+P10-Q10&lt;I10+J10-K10,AND(O10+P10-Q10=I10+J10-K10,2&lt;1))),1,0),IF(AND(U10+V10-W10&gt;0,OR(U10+V10-W10&lt;I10+J10-K10,AND(U10+V10-W10=I10+J10-K10,3&lt;1))),1,0),IF(AND(AA10+AB10-AC10&gt;0,OR(AA10+AB10-AC10&lt;I10+J10-K10,AND(AA10+AB10-AC10=I10+J10-K10,4&lt;1))),1,0)))</x:f>
        <x:v>3</x:v>
      </x:c>
      <x:c r="M10" s="6" t="n">
        <x:f>IF('Debt strategy'!$C$16&gt;0,0,MIN(I10+J10-K10,MAX(0,'Debt strategy'!$C$5-SUM(E10,K10,Q10,W10,AC10)-SUM(IF(F10&lt;L10,C10+D10-E10,0),IF(R10&lt;L10,O10+P10-Q10,0),IF(X10&lt;L10,U10+V10-W10,0),IF(AD10&lt;L10,AA10+AB10-AC10,0)))))</x:f>
        <x:v>0</x:v>
      </x:c>
      <x:c r="N10" s="6" t="n">
        <x:f>ROUND(MAX(0,I10+J10-K10-M10),2)</x:f>
        <x:v>4765.89</x:v>
      </x:c>
      <x:c r="O10" s="6" t="n">
        <x:f>T9</x:f>
        <x:v>450</x:v>
      </x:c>
      <x:c r="P10" s="6" t="n">
        <x:f>ROUND(O10*'Debt strategy'!$D$11/12,2)</x:f>
        <x:v>0</x:v>
      </x:c>
      <x:c r="Q10" s="6" t="n">
        <x:f>MIN(O10+P10,'Debt strategy'!$E$11)</x:f>
        <x:v>25</x:v>
      </x:c>
      <x:c r="R10" s="27" t="n">
        <x:f>IF(O10+P10-Q10&lt;=0,99,1+SUM(IF(AND(C10+D10-E10&gt;0,OR(C10+D10-E10&lt;O10+P10-Q10,AND(C10+D10-E10=O10+P10-Q10,0&lt;2))),1,0),IF(AND(I10+J10-K10&gt;0,OR(I10+J10-K10&lt;O10+P10-Q10,AND(I10+J10-K10=O10+P10-Q10,1&lt;2))),1,0),IF(AND(U10+V10-W10&gt;0,OR(U10+V10-W10&lt;O10+P10-Q10,AND(U10+V10-W10=O10+P10-Q10,3&lt;2))),1,0),IF(AND(AA10+AB10-AC10&gt;0,OR(AA10+AB10-AC10&lt;O10+P10-Q10,AND(AA10+AB10-AC10=O10+P10-Q10,4&lt;2))),1,0)))</x:f>
        <x:v>1</x:v>
      </x:c>
      <x:c r="S10" s="6" t="n">
        <x:f>IF('Debt strategy'!$C$16&gt;0,0,MIN(O10+P10-Q10,MAX(0,'Debt strategy'!$C$5-SUM(E10,K10,Q10,W10,AC10)-SUM(IF(F10&lt;R10,C10+D10-E10,0),IF(L10&lt;R10,I10+J10-K10,0),IF(X10&lt;R10,U10+V10-W10,0),IF(AD10&lt;R10,AA10+AB10-AC10,0)))))</x:f>
        <x:v>125</x:v>
      </x:c>
      <x:c r="T10" s="6" t="n">
        <x:f>ROUND(MAX(0,O10+P10-Q10-S10),2)</x:f>
        <x:v>300</x:v>
      </x:c>
      <x:c r="U10" s="6" t="n">
        <x:f>Z9</x:f>
        <x:v>0</x:v>
      </x:c>
      <x:c r="V10" s="6" t="n">
        <x:f>ROUND(U10*'Debt strategy'!$D$12/12,2)</x:f>
        <x:v>0</x:v>
      </x:c>
      <x:c r="W10" s="6" t="n">
        <x:f>MIN(U10+V10,'Debt strategy'!$E$12)</x:f>
        <x:v>0</x:v>
      </x:c>
      <x:c r="X10" s="27" t="n">
        <x:f>IF(U10+V10-W10&lt;=0,99,1+SUM(IF(AND(C10+D10-E10&gt;0,OR(C10+D10-E10&lt;U10+V10-W10,AND(C10+D10-E10=U10+V10-W10,0&lt;3))),1,0),IF(AND(I10+J10-K10&gt;0,OR(I10+J10-K10&lt;U10+V10-W10,AND(I10+J10-K10=U10+V10-W10,1&lt;3))),1,0),IF(AND(O10+P10-Q10&gt;0,OR(O10+P10-Q10&lt;U10+V10-W10,AND(O10+P10-Q10=U10+V10-W10,2&lt;3))),1,0),IF(AND(AA10+AB10-AC10&gt;0,OR(AA10+AB10-AC10&lt;U10+V10-W10,AND(AA10+AB10-AC10=U10+V10-W10,4&lt;3))),1,0)))</x:f>
        <x:v>99</x:v>
      </x:c>
      <x:c r="Y10" s="6" t="n">
        <x:f>IF('Debt strategy'!$C$16&gt;0,0,MIN(U10+V10-W10,MAX(0,'Debt strategy'!$C$5-SUM(E10,K10,Q10,W10,AC10)-SUM(IF(F10&lt;X10,C10+D10-E10,0),IF(L10&lt;X10,I10+J10-K10,0),IF(R10&lt;X10,O10+P10-Q10,0),IF(AD10&lt;X10,AA10+AB10-AC10,0)))))</x:f>
        <x:v>0</x:v>
      </x:c>
      <x:c r="Z10" s="6" t="n">
        <x:f>ROUND(MAX(0,U10+V10-W10-Y10),2)</x:f>
        <x:v>0</x:v>
      </x:c>
      <x:c r="AA10" s="6" t="n">
        <x:f>AF9</x:f>
        <x:v>0</x:v>
      </x:c>
      <x:c r="AB10" s="6" t="n">
        <x:f>ROUND(AA10*'Debt strategy'!$D$13/12,2)</x:f>
        <x:v>0</x:v>
      </x:c>
      <x:c r="AC10" s="6" t="n">
        <x:f>MIN(AA10+AB10,'Debt strategy'!$E$13)</x:f>
        <x:v>0</x:v>
      </x:c>
      <x:c r="AD10" s="27" t="n">
        <x:f>IF(AA10+AB10-AC10&lt;=0,99,1+SUM(IF(AND(C10+D10-E10&gt;0,OR(C10+D10-E10&lt;AA10+AB10-AC10,AND(C10+D10-E10=AA10+AB10-AC10,0&lt;4))),1,0),IF(AND(I10+J10-K10&gt;0,OR(I10+J10-K10&lt;AA10+AB10-AC10,AND(I10+J10-K10=AA10+AB10-AC10,1&lt;4))),1,0),IF(AND(O10+P10-Q10&gt;0,OR(O10+P10-Q10&lt;AA10+AB10-AC10,AND(O10+P10-Q10=AA10+AB10-AC10,2&lt;4))),1,0),IF(AND(U10+V10-W10&gt;0,OR(U10+V10-W10&lt;AA10+AB10-AC10,AND(U10+V10-W10=AA10+AB10-AC10,3&lt;4))),1,0)))</x:f>
        <x:v>99</x:v>
      </x:c>
      <x:c r="AE10" s="6" t="n">
        <x:f>IF('Debt strategy'!$C$16&gt;0,0,MIN(AA10+AB10-AC10,MAX(0,'Debt strategy'!$C$5-SUM(E10,K10,Q10,W10,AC10)-SUM(IF(F10&lt;AD10,C10+D10-E10,0),IF(L10&lt;AD10,I10+J10-K10,0),IF(R10&lt;AD10,O10+P10-Q10,0),IF(X10&lt;AD10,U10+V10-W10,0)))))</x:f>
        <x:v>0</x:v>
      </x:c>
      <x:c r="AF10" s="6" t="n">
        <x:f>ROUND(MAX(0,AA10+AB10-AC10-AE10),2)</x:f>
        <x:v>0</x:v>
      </x:c>
      <x:c r="AG10" s="6" t="n">
        <x:f>SUM(H10,N10,T10,Z10,AF10)</x:f>
        <x:v>8493.57</x:v>
      </x:c>
      <x:c r="AH10" s="6" t="n">
        <x:f>SUM(D10,J10,P10,V10,AB10)+AH9</x:f>
        <x:v>193.57</x:v>
      </x:c>
      <x:c r="AI10" s="2"/>
    </x:row>
    <x:row r="11" ht="23" customHeight="1">
      <x:c r="B11" s="2" t="n">
        <x:f>3</x:f>
        <x:v>3</x:v>
      </x:c>
      <x:c r="C11" s="6" t="n">
        <x:f>H10</x:f>
        <x:v>3427.68</x:v>
      </x:c>
      <x:c r="D11" s="6" t="n">
        <x:f>ROUND(C11*'Debt strategy'!$D$9/12,2)</x:f>
        <x:v>62.84</x:v>
      </x:c>
      <x:c r="E11" s="6" t="n">
        <x:f>MIN(C11+D11,'Debt strategy'!$E$9)</x:f>
        <x:v>100</x:v>
      </x:c>
      <x:c r="F11" s="27" t="n">
        <x:f>IF(C11+D11-E11&lt;=0,99,1+SUM(IF(AND(I11+J11-K11&gt;0,OR(I11+J11-K11&lt;C11+D11-E11,AND(I11+J11-K11=C11+D11-E11,1&lt;0))),1,0),IF(AND(O11+P11-Q11&gt;0,OR(O11+P11-Q11&lt;C11+D11-E11,AND(O11+P11-Q11=C11+D11-E11,2&lt;0))),1,0),IF(AND(U11+V11-W11&gt;0,OR(U11+V11-W11&lt;C11+D11-E11,AND(U11+V11-W11=C11+D11-E11,3&lt;0))),1,0),IF(AND(AA11+AB11-AC11&gt;0,OR(AA11+AB11-AC11&lt;C11+D11-E11,AND(AA11+AB11-AC11=C11+D11-E11,4&lt;0))),1,0)))</x:f>
        <x:v>2</x:v>
      </x:c>
      <x:c r="G11" s="6" t="n">
        <x:f>IF('Debt strategy'!$C$16&gt;0,0,MIN(C11+D11-E11,MAX(0,'Debt strategy'!$C$5-SUM(E11,K11,Q11,W11,AC11)-SUM(IF(L11&lt;F11,I11+J11-K11,0),IF(R11&lt;F11,O11+P11-Q11,0),IF(X11&lt;F11,U11+V11-W11,0),IF(AD11&lt;F11,AA11+AB11-AC11,0)))))</x:f>
        <x:v>0</x:v>
      </x:c>
      <x:c r="H11" s="6" t="n">
        <x:f>ROUND(MAX(0,C11+D11-E11-G11),2)</x:f>
        <x:v>3390.52</x:v>
      </x:c>
      <x:c r="I11" s="6" t="n">
        <x:f>N10</x:f>
        <x:v>4765.89</x:v>
      </x:c>
      <x:c r="J11" s="6" t="n">
        <x:f>ROUND(I11*'Debt strategy'!$D$10/12,2)</x:f>
        <x:v>31.77</x:v>
      </x:c>
      <x:c r="K11" s="6" t="n">
        <x:f>MIN(I11+J11,'Debt strategy'!$E$10)</x:f>
        <x:v>150</x:v>
      </x:c>
      <x:c r="L11" s="27" t="n">
        <x:f>IF(I11+J11-K11&lt;=0,99,1+SUM(IF(AND(C11+D11-E11&gt;0,OR(C11+D11-E11&lt;I11+J11-K11,AND(C11+D11-E11=I11+J11-K11,0&lt;1))),1,0),IF(AND(O11+P11-Q11&gt;0,OR(O11+P11-Q11&lt;I11+J11-K11,AND(O11+P11-Q11=I11+J11-K11,2&lt;1))),1,0),IF(AND(U11+V11-W11&gt;0,OR(U11+V11-W11&lt;I11+J11-K11,AND(U11+V11-W11=I11+J11-K11,3&lt;1))),1,0),IF(AND(AA11+AB11-AC11&gt;0,OR(AA11+AB11-AC11&lt;I11+J11-K11,AND(AA11+AB11-AC11=I11+J11-K11,4&lt;1))),1,0)))</x:f>
        <x:v>3</x:v>
      </x:c>
      <x:c r="M11" s="6" t="n">
        <x:f>IF('Debt strategy'!$C$16&gt;0,0,MIN(I11+J11-K11,MAX(0,'Debt strategy'!$C$5-SUM(E11,K11,Q11,W11,AC11)-SUM(IF(F11&lt;L11,C11+D11-E11,0),IF(R11&lt;L11,O11+P11-Q11,0),IF(X11&lt;L11,U11+V11-W11,0),IF(AD11&lt;L11,AA11+AB11-AC11,0)))))</x:f>
        <x:v>0</x:v>
      </x:c>
      <x:c r="N11" s="6" t="n">
        <x:f>ROUND(MAX(0,I11+J11-K11-M11),2)</x:f>
        <x:v>4647.66</x:v>
      </x:c>
      <x:c r="O11" s="6" t="n">
        <x:f>T10</x:f>
        <x:v>300</x:v>
      </x:c>
      <x:c r="P11" s="6" t="n">
        <x:f>ROUND(O11*'Debt strategy'!$D$11/12,2)</x:f>
        <x:v>0</x:v>
      </x:c>
      <x:c r="Q11" s="6" t="n">
        <x:f>MIN(O11+P11,'Debt strategy'!$E$11)</x:f>
        <x:v>25</x:v>
      </x:c>
      <x:c r="R11" s="27" t="n">
        <x:f>IF(O11+P11-Q11&lt;=0,99,1+SUM(IF(AND(C11+D11-E11&gt;0,OR(C11+D11-E11&lt;O11+P11-Q11,AND(C11+D11-E11=O11+P11-Q11,0&lt;2))),1,0),IF(AND(I11+J11-K11&gt;0,OR(I11+J11-K11&lt;O11+P11-Q11,AND(I11+J11-K11=O11+P11-Q11,1&lt;2))),1,0),IF(AND(U11+V11-W11&gt;0,OR(U11+V11-W11&lt;O11+P11-Q11,AND(U11+V11-W11=O11+P11-Q11,3&lt;2))),1,0),IF(AND(AA11+AB11-AC11&gt;0,OR(AA11+AB11-AC11&lt;O11+P11-Q11,AND(AA11+AB11-AC11=O11+P11-Q11,4&lt;2))),1,0)))</x:f>
        <x:v>1</x:v>
      </x:c>
      <x:c r="S11" s="6" t="n">
        <x:f>IF('Debt strategy'!$C$16&gt;0,0,MIN(O11+P11-Q11,MAX(0,'Debt strategy'!$C$5-SUM(E11,K11,Q11,W11,AC11)-SUM(IF(F11&lt;R11,C11+D11-E11,0),IF(L11&lt;R11,I11+J11-K11,0),IF(X11&lt;R11,U11+V11-W11,0),IF(AD11&lt;R11,AA11+AB11-AC11,0)))))</x:f>
        <x:v>125</x:v>
      </x:c>
      <x:c r="T11" s="6" t="n">
        <x:f>ROUND(MAX(0,O11+P11-Q11-S11),2)</x:f>
        <x:v>150</x:v>
      </x:c>
      <x:c r="U11" s="6" t="n">
        <x:f>Z10</x:f>
        <x:v>0</x:v>
      </x:c>
      <x:c r="V11" s="6" t="n">
        <x:f>ROUND(U11*'Debt strategy'!$D$12/12,2)</x:f>
        <x:v>0</x:v>
      </x:c>
      <x:c r="W11" s="6" t="n">
        <x:f>MIN(U11+V11,'Debt strategy'!$E$12)</x:f>
        <x:v>0</x:v>
      </x:c>
      <x:c r="X11" s="27" t="n">
        <x:f>IF(U11+V11-W11&lt;=0,99,1+SUM(IF(AND(C11+D11-E11&gt;0,OR(C11+D11-E11&lt;U11+V11-W11,AND(C11+D11-E11=U11+V11-W11,0&lt;3))),1,0),IF(AND(I11+J11-K11&gt;0,OR(I11+J11-K11&lt;U11+V11-W11,AND(I11+J11-K11=U11+V11-W11,1&lt;3))),1,0),IF(AND(O11+P11-Q11&gt;0,OR(O11+P11-Q11&lt;U11+V11-W11,AND(O11+P11-Q11=U11+V11-W11,2&lt;3))),1,0),IF(AND(AA11+AB11-AC11&gt;0,OR(AA11+AB11-AC11&lt;U11+V11-W11,AND(AA11+AB11-AC11=U11+V11-W11,4&lt;3))),1,0)))</x:f>
        <x:v>99</x:v>
      </x:c>
      <x:c r="Y11" s="6" t="n">
        <x:f>IF('Debt strategy'!$C$16&gt;0,0,MIN(U11+V11-W11,MAX(0,'Debt strategy'!$C$5-SUM(E11,K11,Q11,W11,AC11)-SUM(IF(F11&lt;X11,C11+D11-E11,0),IF(L11&lt;X11,I11+J11-K11,0),IF(R11&lt;X11,O11+P11-Q11,0),IF(AD11&lt;X11,AA11+AB11-AC11,0)))))</x:f>
        <x:v>0</x:v>
      </x:c>
      <x:c r="Z11" s="6" t="n">
        <x:f>ROUND(MAX(0,U11+V11-W11-Y11),2)</x:f>
        <x:v>0</x:v>
      </x:c>
      <x:c r="AA11" s="6" t="n">
        <x:f>AF10</x:f>
        <x:v>0</x:v>
      </x:c>
      <x:c r="AB11" s="6" t="n">
        <x:f>ROUND(AA11*'Debt strategy'!$D$13/12,2)</x:f>
        <x:v>0</x:v>
      </x:c>
      <x:c r="AC11" s="6" t="n">
        <x:f>MIN(AA11+AB11,'Debt strategy'!$E$13)</x:f>
        <x:v>0</x:v>
      </x:c>
      <x:c r="AD11" s="27" t="n">
        <x:f>IF(AA11+AB11-AC11&lt;=0,99,1+SUM(IF(AND(C11+D11-E11&gt;0,OR(C11+D11-E11&lt;AA11+AB11-AC11,AND(C11+D11-E11=AA11+AB11-AC11,0&lt;4))),1,0),IF(AND(I11+J11-K11&gt;0,OR(I11+J11-K11&lt;AA11+AB11-AC11,AND(I11+J11-K11=AA11+AB11-AC11,1&lt;4))),1,0),IF(AND(O11+P11-Q11&gt;0,OR(O11+P11-Q11&lt;AA11+AB11-AC11,AND(O11+P11-Q11=AA11+AB11-AC11,2&lt;4))),1,0),IF(AND(U11+V11-W11&gt;0,OR(U11+V11-W11&lt;AA11+AB11-AC11,AND(U11+V11-W11=AA11+AB11-AC11,3&lt;4))),1,0)))</x:f>
        <x:v>99</x:v>
      </x:c>
      <x:c r="AE11" s="6" t="n">
        <x:f>IF('Debt strategy'!$C$16&gt;0,0,MIN(AA11+AB11-AC11,MAX(0,'Debt strategy'!$C$5-SUM(E11,K11,Q11,W11,AC11)-SUM(IF(F11&lt;AD11,C11+D11-E11,0),IF(L11&lt;AD11,I11+J11-K11,0),IF(R11&lt;AD11,O11+P11-Q11,0),IF(X11&lt;AD11,U11+V11-W11,0)))))</x:f>
        <x:v>0</x:v>
      </x:c>
      <x:c r="AF11" s="6" t="n">
        <x:f>ROUND(MAX(0,AA11+AB11-AC11-AE11),2)</x:f>
        <x:v>0</x:v>
      </x:c>
      <x:c r="AG11" s="6" t="n">
        <x:f>SUM(H11,N11,T11,Z11,AF11)</x:f>
        <x:v>8188.18</x:v>
      </x:c>
      <x:c r="AH11" s="6" t="n">
        <x:f>SUM(D11,J11,P11,V11,AB11)+AH10</x:f>
        <x:v>288.18</x:v>
      </x:c>
      <x:c r="AI11" s="2"/>
    </x:row>
    <x:row r="12" ht="23" customHeight="1">
      <x:c r="B12" s="2" t="n">
        <x:f>4</x:f>
        <x:v>4</x:v>
      </x:c>
      <x:c r="C12" s="6" t="n">
        <x:f>H11</x:f>
        <x:v>3390.52</x:v>
      </x:c>
      <x:c r="D12" s="6" t="n">
        <x:f>ROUND(C12*'Debt strategy'!$D$9/12,2)</x:f>
        <x:v>62.16</x:v>
      </x:c>
      <x:c r="E12" s="6" t="n">
        <x:f>MIN(C12+D12,'Debt strategy'!$E$9)</x:f>
        <x:v>100</x:v>
      </x:c>
      <x:c r="F12" s="27" t="n">
        <x:f>IF(C12+D12-E12&lt;=0,99,1+SUM(IF(AND(I12+J12-K12&gt;0,OR(I12+J12-K12&lt;C12+D12-E12,AND(I12+J12-K12=C12+D12-E12,1&lt;0))),1,0),IF(AND(O12+P12-Q12&gt;0,OR(O12+P12-Q12&lt;C12+D12-E12,AND(O12+P12-Q12=C12+D12-E12,2&lt;0))),1,0),IF(AND(U12+V12-W12&gt;0,OR(U12+V12-W12&lt;C12+D12-E12,AND(U12+V12-W12=C12+D12-E12,3&lt;0))),1,0),IF(AND(AA12+AB12-AC12&gt;0,OR(AA12+AB12-AC12&lt;C12+D12-E12,AND(AA12+AB12-AC12=C12+D12-E12,4&lt;0))),1,0)))</x:f>
        <x:v>2</x:v>
      </x:c>
      <x:c r="G12" s="6" t="n">
        <x:f>IF('Debt strategy'!$C$16&gt;0,0,MIN(C12+D12-E12,MAX(0,'Debt strategy'!$C$5-SUM(E12,K12,Q12,W12,AC12)-SUM(IF(L12&lt;F12,I12+J12-K12,0),IF(R12&lt;F12,O12+P12-Q12,0),IF(X12&lt;F12,U12+V12-W12,0),IF(AD12&lt;F12,AA12+AB12-AC12,0)))))</x:f>
        <x:v>0</x:v>
      </x:c>
      <x:c r="H12" s="6" t="n">
        <x:f>ROUND(MAX(0,C12+D12-E12-G12),2)</x:f>
        <x:v>3352.68</x:v>
      </x:c>
      <x:c r="I12" s="6" t="n">
        <x:f>N11</x:f>
        <x:v>4647.66</x:v>
      </x:c>
      <x:c r="J12" s="6" t="n">
        <x:f>ROUND(I12*'Debt strategy'!$D$10/12,2)</x:f>
        <x:v>30.98</x:v>
      </x:c>
      <x:c r="K12" s="6" t="n">
        <x:f>MIN(I12+J12,'Debt strategy'!$E$10)</x:f>
        <x:v>150</x:v>
      </x:c>
      <x:c r="L12" s="27" t="n">
        <x:f>IF(I12+J12-K12&lt;=0,99,1+SUM(IF(AND(C12+D12-E12&gt;0,OR(C12+D12-E12&lt;I12+J12-K12,AND(C12+D12-E12=I12+J12-K12,0&lt;1))),1,0),IF(AND(O12+P12-Q12&gt;0,OR(O12+P12-Q12&lt;I12+J12-K12,AND(O12+P12-Q12=I12+J12-K12,2&lt;1))),1,0),IF(AND(U12+V12-W12&gt;0,OR(U12+V12-W12&lt;I12+J12-K12,AND(U12+V12-W12=I12+J12-K12,3&lt;1))),1,0),IF(AND(AA12+AB12-AC12&gt;0,OR(AA12+AB12-AC12&lt;I12+J12-K12,AND(AA12+AB12-AC12=I12+J12-K12,4&lt;1))),1,0)))</x:f>
        <x:v>3</x:v>
      </x:c>
      <x:c r="M12" s="6" t="n">
        <x:f>IF('Debt strategy'!$C$16&gt;0,0,MIN(I12+J12-K12,MAX(0,'Debt strategy'!$C$5-SUM(E12,K12,Q12,W12,AC12)-SUM(IF(F12&lt;L12,C12+D12-E12,0),IF(R12&lt;L12,O12+P12-Q12,0),IF(X12&lt;L12,U12+V12-W12,0),IF(AD12&lt;L12,AA12+AB12-AC12,0)))))</x:f>
        <x:v>0</x:v>
      </x:c>
      <x:c r="N12" s="6" t="n">
        <x:f>ROUND(MAX(0,I12+J12-K12-M12),2)</x:f>
        <x:v>4528.64</x:v>
      </x:c>
      <x:c r="O12" s="6" t="n">
        <x:f>T11</x:f>
        <x:v>150</x:v>
      </x:c>
      <x:c r="P12" s="6" t="n">
        <x:f>ROUND(O12*'Debt strategy'!$D$11/12,2)</x:f>
        <x:v>0</x:v>
      </x:c>
      <x:c r="Q12" s="6" t="n">
        <x:f>MIN(O12+P12,'Debt strategy'!$E$11)</x:f>
        <x:v>25</x:v>
      </x:c>
      <x:c r="R12" s="27" t="n">
        <x:f>IF(O12+P12-Q12&lt;=0,99,1+SUM(IF(AND(C12+D12-E12&gt;0,OR(C12+D12-E12&lt;O12+P12-Q12,AND(C12+D12-E12=O12+P12-Q12,0&lt;2))),1,0),IF(AND(I12+J12-K12&gt;0,OR(I12+J12-K12&lt;O12+P12-Q12,AND(I12+J12-K12=O12+P12-Q12,1&lt;2))),1,0),IF(AND(U12+V12-W12&gt;0,OR(U12+V12-W12&lt;O12+P12-Q12,AND(U12+V12-W12=O12+P12-Q12,3&lt;2))),1,0),IF(AND(AA12+AB12-AC12&gt;0,OR(AA12+AB12-AC12&lt;O12+P12-Q12,AND(AA12+AB12-AC12=O12+P12-Q12,4&lt;2))),1,0)))</x:f>
        <x:v>1</x:v>
      </x:c>
      <x:c r="S12" s="6" t="n">
        <x:f>IF('Debt strategy'!$C$16&gt;0,0,MIN(O12+P12-Q12,MAX(0,'Debt strategy'!$C$5-SUM(E12,K12,Q12,W12,AC12)-SUM(IF(F12&lt;R12,C12+D12-E12,0),IF(L12&lt;R12,I12+J12-K12,0),IF(X12&lt;R12,U12+V12-W12,0),IF(AD12&lt;R12,AA12+AB12-AC12,0)))))</x:f>
        <x:v>125</x:v>
      </x:c>
      <x:c r="T12" s="6" t="n">
        <x:f>ROUND(MAX(0,O12+P12-Q12-S12),2)</x:f>
        <x:v>0</x:v>
      </x:c>
      <x:c r="U12" s="6" t="n">
        <x:f>Z11</x:f>
        <x:v>0</x:v>
      </x:c>
      <x:c r="V12" s="6" t="n">
        <x:f>ROUND(U12*'Debt strategy'!$D$12/12,2)</x:f>
        <x:v>0</x:v>
      </x:c>
      <x:c r="W12" s="6" t="n">
        <x:f>MIN(U12+V12,'Debt strategy'!$E$12)</x:f>
        <x:v>0</x:v>
      </x:c>
      <x:c r="X12" s="27" t="n">
        <x:f>IF(U12+V12-W12&lt;=0,99,1+SUM(IF(AND(C12+D12-E12&gt;0,OR(C12+D12-E12&lt;U12+V12-W12,AND(C12+D12-E12=U12+V12-W12,0&lt;3))),1,0),IF(AND(I12+J12-K12&gt;0,OR(I12+J12-K12&lt;U12+V12-W12,AND(I12+J12-K12=U12+V12-W12,1&lt;3))),1,0),IF(AND(O12+P12-Q12&gt;0,OR(O12+P12-Q12&lt;U12+V12-W12,AND(O12+P12-Q12=U12+V12-W12,2&lt;3))),1,0),IF(AND(AA12+AB12-AC12&gt;0,OR(AA12+AB12-AC12&lt;U12+V12-W12,AND(AA12+AB12-AC12=U12+V12-W12,4&lt;3))),1,0)))</x:f>
        <x:v>99</x:v>
      </x:c>
      <x:c r="Y12" s="6" t="n">
        <x:f>IF('Debt strategy'!$C$16&gt;0,0,MIN(U12+V12-W12,MAX(0,'Debt strategy'!$C$5-SUM(E12,K12,Q12,W12,AC12)-SUM(IF(F12&lt;X12,C12+D12-E12,0),IF(L12&lt;X12,I12+J12-K12,0),IF(R12&lt;X12,O12+P12-Q12,0),IF(AD12&lt;X12,AA12+AB12-AC12,0)))))</x:f>
        <x:v>0</x:v>
      </x:c>
      <x:c r="Z12" s="6" t="n">
        <x:f>ROUND(MAX(0,U12+V12-W12-Y12),2)</x:f>
        <x:v>0</x:v>
      </x:c>
      <x:c r="AA12" s="6" t="n">
        <x:f>AF11</x:f>
        <x:v>0</x:v>
      </x:c>
      <x:c r="AB12" s="6" t="n">
        <x:f>ROUND(AA12*'Debt strategy'!$D$13/12,2)</x:f>
        <x:v>0</x:v>
      </x:c>
      <x:c r="AC12" s="6" t="n">
        <x:f>MIN(AA12+AB12,'Debt strategy'!$E$13)</x:f>
        <x:v>0</x:v>
      </x:c>
      <x:c r="AD12" s="27" t="n">
        <x:f>IF(AA12+AB12-AC12&lt;=0,99,1+SUM(IF(AND(C12+D12-E12&gt;0,OR(C12+D12-E12&lt;AA12+AB12-AC12,AND(C12+D12-E12=AA12+AB12-AC12,0&lt;4))),1,0),IF(AND(I12+J12-K12&gt;0,OR(I12+J12-K12&lt;AA12+AB12-AC12,AND(I12+J12-K12=AA12+AB12-AC12,1&lt;4))),1,0),IF(AND(O12+P12-Q12&gt;0,OR(O12+P12-Q12&lt;AA12+AB12-AC12,AND(O12+P12-Q12=AA12+AB12-AC12,2&lt;4))),1,0),IF(AND(U12+V12-W12&gt;0,OR(U12+V12-W12&lt;AA12+AB12-AC12,AND(U12+V12-W12=AA12+AB12-AC12,3&lt;4))),1,0)))</x:f>
        <x:v>99</x:v>
      </x:c>
      <x:c r="AE12" s="6" t="n">
        <x:f>IF('Debt strategy'!$C$16&gt;0,0,MIN(AA12+AB12-AC12,MAX(0,'Debt strategy'!$C$5-SUM(E12,K12,Q12,W12,AC12)-SUM(IF(F12&lt;AD12,C12+D12-E12,0),IF(L12&lt;AD12,I12+J12-K12,0),IF(R12&lt;AD12,O12+P12-Q12,0),IF(X12&lt;AD12,U12+V12-W12,0)))))</x:f>
        <x:v>0</x:v>
      </x:c>
      <x:c r="AF12" s="6" t="n">
        <x:f>ROUND(MAX(0,AA12+AB12-AC12-AE12),2)</x:f>
        <x:v>0</x:v>
      </x:c>
      <x:c r="AG12" s="6" t="n">
        <x:f>SUM(H12,N12,T12,Z12,AF12)</x:f>
        <x:v>7881.32</x:v>
      </x:c>
      <x:c r="AH12" s="6" t="n">
        <x:f>SUM(D12,J12,P12,V12,AB12)+AH11</x:f>
        <x:v>381.32</x:v>
      </x:c>
      <x:c r="AI12" s="2"/>
    </x:row>
    <x:row r="13" ht="23" customHeight="1">
      <x:c r="B13" s="2" t="n">
        <x:f>5</x:f>
        <x:v>5</x:v>
      </x:c>
      <x:c r="C13" s="6" t="n">
        <x:f>H12</x:f>
        <x:v>3352.68</x:v>
      </x:c>
      <x:c r="D13" s="6" t="n">
        <x:f>ROUND(C13*'Debt strategy'!$D$9/12,2)</x:f>
        <x:v>61.47</x:v>
      </x:c>
      <x:c r="E13" s="6" t="n">
        <x:f>MIN(C13+D13,'Debt strategy'!$E$9)</x:f>
        <x:v>100</x:v>
      </x:c>
      <x:c r="F13" s="27" t="n">
        <x:f>IF(C13+D13-E13&lt;=0,99,1+SUM(IF(AND(I13+J13-K13&gt;0,OR(I13+J13-K13&lt;C13+D13-E13,AND(I13+J13-K13=C13+D13-E13,1&lt;0))),1,0),IF(AND(O13+P13-Q13&gt;0,OR(O13+P13-Q13&lt;C13+D13-E13,AND(O13+P13-Q13=C13+D13-E13,2&lt;0))),1,0),IF(AND(U13+V13-W13&gt;0,OR(U13+V13-W13&lt;C13+D13-E13,AND(U13+V13-W13=C13+D13-E13,3&lt;0))),1,0),IF(AND(AA13+AB13-AC13&gt;0,OR(AA13+AB13-AC13&lt;C13+D13-E13,AND(AA13+AB13-AC13=C13+D13-E13,4&lt;0))),1,0)))</x:f>
        <x:v>1</x:v>
      </x:c>
      <x:c r="G13" s="6" t="n">
        <x:f>IF('Debt strategy'!$C$16&gt;0,0,MIN(C13+D13-E13,MAX(0,'Debt strategy'!$C$5-SUM(E13,K13,Q13,W13,AC13)-SUM(IF(L13&lt;F13,I13+J13-K13,0),IF(R13&lt;F13,O13+P13-Q13,0),IF(X13&lt;F13,U13+V13-W13,0),IF(AD13&lt;F13,AA13+AB13-AC13,0)))))</x:f>
        <x:v>150</x:v>
      </x:c>
      <x:c r="H13" s="6" t="n">
        <x:f>ROUND(MAX(0,C13+D13-E13-G13),2)</x:f>
        <x:v>3164.15</x:v>
      </x:c>
      <x:c r="I13" s="6" t="n">
        <x:f>N12</x:f>
        <x:v>4528.64</x:v>
      </x:c>
      <x:c r="J13" s="6" t="n">
        <x:f>ROUND(I13*'Debt strategy'!$D$10/12,2)</x:f>
        <x:v>30.19</x:v>
      </x:c>
      <x:c r="K13" s="6" t="n">
        <x:f>MIN(I13+J13,'Debt strategy'!$E$10)</x:f>
        <x:v>150</x:v>
      </x:c>
      <x:c r="L13" s="27" t="n">
        <x:f>IF(I13+J13-K13&lt;=0,99,1+SUM(IF(AND(C13+D13-E13&gt;0,OR(C13+D13-E13&lt;I13+J13-K13,AND(C13+D13-E13=I13+J13-K13,0&lt;1))),1,0),IF(AND(O13+P13-Q13&gt;0,OR(O13+P13-Q13&lt;I13+J13-K13,AND(O13+P13-Q13=I13+J13-K13,2&lt;1))),1,0),IF(AND(U13+V13-W13&gt;0,OR(U13+V13-W13&lt;I13+J13-K13,AND(U13+V13-W13=I13+J13-K13,3&lt;1))),1,0),IF(AND(AA13+AB13-AC13&gt;0,OR(AA13+AB13-AC13&lt;I13+J13-K13,AND(AA13+AB13-AC13=I13+J13-K13,4&lt;1))),1,0)))</x:f>
        <x:v>2</x:v>
      </x:c>
      <x:c r="M13" s="6" t="n">
        <x:f>IF('Debt strategy'!$C$16&gt;0,0,MIN(I13+J13-K13,MAX(0,'Debt strategy'!$C$5-SUM(E13,K13,Q13,W13,AC13)-SUM(IF(F13&lt;L13,C13+D13-E13,0),IF(R13&lt;L13,O13+P13-Q13,0),IF(X13&lt;L13,U13+V13-W13,0),IF(AD13&lt;L13,AA13+AB13-AC13,0)))))</x:f>
        <x:v>0</x:v>
      </x:c>
      <x:c r="N13" s="6" t="n">
        <x:f>ROUND(MAX(0,I13+J13-K13-M13),2)</x:f>
        <x:v>4408.83</x:v>
      </x:c>
      <x:c r="O13" s="6" t="n">
        <x:f>T12</x:f>
        <x:v>0</x:v>
      </x:c>
      <x:c r="P13" s="6" t="n">
        <x:f>ROUND(O13*'Debt strategy'!$D$11/12,2)</x:f>
        <x:v>0</x:v>
      </x:c>
      <x:c r="Q13" s="6" t="n">
        <x:f>MIN(O13+P13,'Debt strategy'!$E$11)</x:f>
        <x:v>0</x:v>
      </x:c>
      <x:c r="R13" s="27" t="n">
        <x:f>IF(O13+P13-Q13&lt;=0,99,1+SUM(IF(AND(C13+D13-E13&gt;0,OR(C13+D13-E13&lt;O13+P13-Q13,AND(C13+D13-E13=O13+P13-Q13,0&lt;2))),1,0),IF(AND(I13+J13-K13&gt;0,OR(I13+J13-K13&lt;O13+P13-Q13,AND(I13+J13-K13=O13+P13-Q13,1&lt;2))),1,0),IF(AND(U13+V13-W13&gt;0,OR(U13+V13-W13&lt;O13+P13-Q13,AND(U13+V13-W13=O13+P13-Q13,3&lt;2))),1,0),IF(AND(AA13+AB13-AC13&gt;0,OR(AA13+AB13-AC13&lt;O13+P13-Q13,AND(AA13+AB13-AC13=O13+P13-Q13,4&lt;2))),1,0)))</x:f>
        <x:v>99</x:v>
      </x:c>
      <x:c r="S13" s="6" t="n">
        <x:f>IF('Debt strategy'!$C$16&gt;0,0,MIN(O13+P13-Q13,MAX(0,'Debt strategy'!$C$5-SUM(E13,K13,Q13,W13,AC13)-SUM(IF(F13&lt;R13,C13+D13-E13,0),IF(L13&lt;R13,I13+J13-K13,0),IF(X13&lt;R13,U13+V13-W13,0),IF(AD13&lt;R13,AA13+AB13-AC13,0)))))</x:f>
        <x:v>0</x:v>
      </x:c>
      <x:c r="T13" s="6" t="n">
        <x:f>ROUND(MAX(0,O13+P13-Q13-S13),2)</x:f>
        <x:v>0</x:v>
      </x:c>
      <x:c r="U13" s="6" t="n">
        <x:f>Z12</x:f>
        <x:v>0</x:v>
      </x:c>
      <x:c r="V13" s="6" t="n">
        <x:f>ROUND(U13*'Debt strategy'!$D$12/12,2)</x:f>
        <x:v>0</x:v>
      </x:c>
      <x:c r="W13" s="6" t="n">
        <x:f>MIN(U13+V13,'Debt strategy'!$E$12)</x:f>
        <x:v>0</x:v>
      </x:c>
      <x:c r="X13" s="27" t="n">
        <x:f>IF(U13+V13-W13&lt;=0,99,1+SUM(IF(AND(C13+D13-E13&gt;0,OR(C13+D13-E13&lt;U13+V13-W13,AND(C13+D13-E13=U13+V13-W13,0&lt;3))),1,0),IF(AND(I13+J13-K13&gt;0,OR(I13+J13-K13&lt;U13+V13-W13,AND(I13+J13-K13=U13+V13-W13,1&lt;3))),1,0),IF(AND(O13+P13-Q13&gt;0,OR(O13+P13-Q13&lt;U13+V13-W13,AND(O13+P13-Q13=U13+V13-W13,2&lt;3))),1,0),IF(AND(AA13+AB13-AC13&gt;0,OR(AA13+AB13-AC13&lt;U13+V13-W13,AND(AA13+AB13-AC13=U13+V13-W13,4&lt;3))),1,0)))</x:f>
        <x:v>99</x:v>
      </x:c>
      <x:c r="Y13" s="6" t="n">
        <x:f>IF('Debt strategy'!$C$16&gt;0,0,MIN(U13+V13-W13,MAX(0,'Debt strategy'!$C$5-SUM(E13,K13,Q13,W13,AC13)-SUM(IF(F13&lt;X13,C13+D13-E13,0),IF(L13&lt;X13,I13+J13-K13,0),IF(R13&lt;X13,O13+P13-Q13,0),IF(AD13&lt;X13,AA13+AB13-AC13,0)))))</x:f>
        <x:v>0</x:v>
      </x:c>
      <x:c r="Z13" s="6" t="n">
        <x:f>ROUND(MAX(0,U13+V13-W13-Y13),2)</x:f>
        <x:v>0</x:v>
      </x:c>
      <x:c r="AA13" s="6" t="n">
        <x:f>AF12</x:f>
        <x:v>0</x:v>
      </x:c>
      <x:c r="AB13" s="6" t="n">
        <x:f>ROUND(AA13*'Debt strategy'!$D$13/12,2)</x:f>
        <x:v>0</x:v>
      </x:c>
      <x:c r="AC13" s="6" t="n">
        <x:f>MIN(AA13+AB13,'Debt strategy'!$E$13)</x:f>
        <x:v>0</x:v>
      </x:c>
      <x:c r="AD13" s="27" t="n">
        <x:f>IF(AA13+AB13-AC13&lt;=0,99,1+SUM(IF(AND(C13+D13-E13&gt;0,OR(C13+D13-E13&lt;AA13+AB13-AC13,AND(C13+D13-E13=AA13+AB13-AC13,0&lt;4))),1,0),IF(AND(I13+J13-K13&gt;0,OR(I13+J13-K13&lt;AA13+AB13-AC13,AND(I13+J13-K13=AA13+AB13-AC13,1&lt;4))),1,0),IF(AND(O13+P13-Q13&gt;0,OR(O13+P13-Q13&lt;AA13+AB13-AC13,AND(O13+P13-Q13=AA13+AB13-AC13,2&lt;4))),1,0),IF(AND(U13+V13-W13&gt;0,OR(U13+V13-W13&lt;AA13+AB13-AC13,AND(U13+V13-W13=AA13+AB13-AC13,3&lt;4))),1,0)))</x:f>
        <x:v>99</x:v>
      </x:c>
      <x:c r="AE13" s="6" t="n">
        <x:f>IF('Debt strategy'!$C$16&gt;0,0,MIN(AA13+AB13-AC13,MAX(0,'Debt strategy'!$C$5-SUM(E13,K13,Q13,W13,AC13)-SUM(IF(F13&lt;AD13,C13+D13-E13,0),IF(L13&lt;AD13,I13+J13-K13,0),IF(R13&lt;AD13,O13+P13-Q13,0),IF(X13&lt;AD13,U13+V13-W13,0)))))</x:f>
        <x:v>0</x:v>
      </x:c>
      <x:c r="AF13" s="6" t="n">
        <x:f>ROUND(MAX(0,AA13+AB13-AC13-AE13),2)</x:f>
        <x:v>0</x:v>
      </x:c>
      <x:c r="AG13" s="6" t="n">
        <x:f>SUM(H13,N13,T13,Z13,AF13)</x:f>
        <x:v>7572.98</x:v>
      </x:c>
      <x:c r="AH13" s="6" t="n">
        <x:f>SUM(D13,J13,P13,V13,AB13)+AH12</x:f>
        <x:v>472.98</x:v>
      </x:c>
      <x:c r="AI13" s="2"/>
    </x:row>
    <x:row r="14" ht="23" customHeight="1">
      <x:c r="B14" s="2" t="n">
        <x:f>6</x:f>
        <x:v>6</x:v>
      </x:c>
      <x:c r="C14" s="6" t="n">
        <x:f>H13</x:f>
        <x:v>3164.15</x:v>
      </x:c>
      <x:c r="D14" s="6" t="n">
        <x:f>ROUND(C14*'Debt strategy'!$D$9/12,2)</x:f>
        <x:v>58.01</x:v>
      </x:c>
      <x:c r="E14" s="6" t="n">
        <x:f>MIN(C14+D14,'Debt strategy'!$E$9)</x:f>
        <x:v>100</x:v>
      </x:c>
      <x:c r="F14" s="27" t="n">
        <x:f>IF(C14+D14-E14&lt;=0,99,1+SUM(IF(AND(I14+J14-K14&gt;0,OR(I14+J14-K14&lt;C14+D14-E14,AND(I14+J14-K14=C14+D14-E14,1&lt;0))),1,0),IF(AND(O14+P14-Q14&gt;0,OR(O14+P14-Q14&lt;C14+D14-E14,AND(O14+P14-Q14=C14+D14-E14,2&lt;0))),1,0),IF(AND(U14+V14-W14&gt;0,OR(U14+V14-W14&lt;C14+D14-E14,AND(U14+V14-W14=C14+D14-E14,3&lt;0))),1,0),IF(AND(AA14+AB14-AC14&gt;0,OR(AA14+AB14-AC14&lt;C14+D14-E14,AND(AA14+AB14-AC14=C14+D14-E14,4&lt;0))),1,0)))</x:f>
        <x:v>1</x:v>
      </x:c>
      <x:c r="G14" s="6" t="n">
        <x:f>IF('Debt strategy'!$C$16&gt;0,0,MIN(C14+D14-E14,MAX(0,'Debt strategy'!$C$5-SUM(E14,K14,Q14,W14,AC14)-SUM(IF(L14&lt;F14,I14+J14-K14,0),IF(R14&lt;F14,O14+P14-Q14,0),IF(X14&lt;F14,U14+V14-W14,0),IF(AD14&lt;F14,AA14+AB14-AC14,0)))))</x:f>
        <x:v>150</x:v>
      </x:c>
      <x:c r="H14" s="6" t="n">
        <x:f>ROUND(MAX(0,C14+D14-E14-G14),2)</x:f>
        <x:v>2972.16</x:v>
      </x:c>
      <x:c r="I14" s="6" t="n">
        <x:f>N13</x:f>
        <x:v>4408.83</x:v>
      </x:c>
      <x:c r="J14" s="6" t="n">
        <x:f>ROUND(I14*'Debt strategy'!$D$10/12,2)</x:f>
        <x:v>29.39</x:v>
      </x:c>
      <x:c r="K14" s="6" t="n">
        <x:f>MIN(I14+J14,'Debt strategy'!$E$10)</x:f>
        <x:v>150</x:v>
      </x:c>
      <x:c r="L14" s="27" t="n">
        <x:f>IF(I14+J14-K14&lt;=0,99,1+SUM(IF(AND(C14+D14-E14&gt;0,OR(C14+D14-E14&lt;I14+J14-K14,AND(C14+D14-E14=I14+J14-K14,0&lt;1))),1,0),IF(AND(O14+P14-Q14&gt;0,OR(O14+P14-Q14&lt;I14+J14-K14,AND(O14+P14-Q14=I14+J14-K14,2&lt;1))),1,0),IF(AND(U14+V14-W14&gt;0,OR(U14+V14-W14&lt;I14+J14-K14,AND(U14+V14-W14=I14+J14-K14,3&lt;1))),1,0),IF(AND(AA14+AB14-AC14&gt;0,OR(AA14+AB14-AC14&lt;I14+J14-K14,AND(AA14+AB14-AC14=I14+J14-K14,4&lt;1))),1,0)))</x:f>
        <x:v>2</x:v>
      </x:c>
      <x:c r="M14" s="6" t="n">
        <x:f>IF('Debt strategy'!$C$16&gt;0,0,MIN(I14+J14-K14,MAX(0,'Debt strategy'!$C$5-SUM(E14,K14,Q14,W14,AC14)-SUM(IF(F14&lt;L14,C14+D14-E14,0),IF(R14&lt;L14,O14+P14-Q14,0),IF(X14&lt;L14,U14+V14-W14,0),IF(AD14&lt;L14,AA14+AB14-AC14,0)))))</x:f>
        <x:v>0</x:v>
      </x:c>
      <x:c r="N14" s="6" t="n">
        <x:f>ROUND(MAX(0,I14+J14-K14-M14),2)</x:f>
        <x:v>4288.22</x:v>
      </x:c>
      <x:c r="O14" s="6" t="n">
        <x:f>T13</x:f>
        <x:v>0</x:v>
      </x:c>
      <x:c r="P14" s="6" t="n">
        <x:f>ROUND(O14*'Debt strategy'!$D$11/12,2)</x:f>
        <x:v>0</x:v>
      </x:c>
      <x:c r="Q14" s="6" t="n">
        <x:f>MIN(O14+P14,'Debt strategy'!$E$11)</x:f>
        <x:v>0</x:v>
      </x:c>
      <x:c r="R14" s="27" t="n">
        <x:f>IF(O14+P14-Q14&lt;=0,99,1+SUM(IF(AND(C14+D14-E14&gt;0,OR(C14+D14-E14&lt;O14+P14-Q14,AND(C14+D14-E14=O14+P14-Q14,0&lt;2))),1,0),IF(AND(I14+J14-K14&gt;0,OR(I14+J14-K14&lt;O14+P14-Q14,AND(I14+J14-K14=O14+P14-Q14,1&lt;2))),1,0),IF(AND(U14+V14-W14&gt;0,OR(U14+V14-W14&lt;O14+P14-Q14,AND(U14+V14-W14=O14+P14-Q14,3&lt;2))),1,0),IF(AND(AA14+AB14-AC14&gt;0,OR(AA14+AB14-AC14&lt;O14+P14-Q14,AND(AA14+AB14-AC14=O14+P14-Q14,4&lt;2))),1,0)))</x:f>
        <x:v>99</x:v>
      </x:c>
      <x:c r="S14" s="6" t="n">
        <x:f>IF('Debt strategy'!$C$16&gt;0,0,MIN(O14+P14-Q14,MAX(0,'Debt strategy'!$C$5-SUM(E14,K14,Q14,W14,AC14)-SUM(IF(F14&lt;R14,C14+D14-E14,0),IF(L14&lt;R14,I14+J14-K14,0),IF(X14&lt;R14,U14+V14-W14,0),IF(AD14&lt;R14,AA14+AB14-AC14,0)))))</x:f>
        <x:v>0</x:v>
      </x:c>
      <x:c r="T14" s="6" t="n">
        <x:f>ROUND(MAX(0,O14+P14-Q14-S14),2)</x:f>
        <x:v>0</x:v>
      </x:c>
      <x:c r="U14" s="6" t="n">
        <x:f>Z13</x:f>
        <x:v>0</x:v>
      </x:c>
      <x:c r="V14" s="6" t="n">
        <x:f>ROUND(U14*'Debt strategy'!$D$12/12,2)</x:f>
        <x:v>0</x:v>
      </x:c>
      <x:c r="W14" s="6" t="n">
        <x:f>MIN(U14+V14,'Debt strategy'!$E$12)</x:f>
        <x:v>0</x:v>
      </x:c>
      <x:c r="X14" s="27" t="n">
        <x:f>IF(U14+V14-W14&lt;=0,99,1+SUM(IF(AND(C14+D14-E14&gt;0,OR(C14+D14-E14&lt;U14+V14-W14,AND(C14+D14-E14=U14+V14-W14,0&lt;3))),1,0),IF(AND(I14+J14-K14&gt;0,OR(I14+J14-K14&lt;U14+V14-W14,AND(I14+J14-K14=U14+V14-W14,1&lt;3))),1,0),IF(AND(O14+P14-Q14&gt;0,OR(O14+P14-Q14&lt;U14+V14-W14,AND(O14+P14-Q14=U14+V14-W14,2&lt;3))),1,0),IF(AND(AA14+AB14-AC14&gt;0,OR(AA14+AB14-AC14&lt;U14+V14-W14,AND(AA14+AB14-AC14=U14+V14-W14,4&lt;3))),1,0)))</x:f>
        <x:v>99</x:v>
      </x:c>
      <x:c r="Y14" s="6" t="n">
        <x:f>IF('Debt strategy'!$C$16&gt;0,0,MIN(U14+V14-W14,MAX(0,'Debt strategy'!$C$5-SUM(E14,K14,Q14,W14,AC14)-SUM(IF(F14&lt;X14,C14+D14-E14,0),IF(L14&lt;X14,I14+J14-K14,0),IF(R14&lt;X14,O14+P14-Q14,0),IF(AD14&lt;X14,AA14+AB14-AC14,0)))))</x:f>
        <x:v>0</x:v>
      </x:c>
      <x:c r="Z14" s="6" t="n">
        <x:f>ROUND(MAX(0,U14+V14-W14-Y14),2)</x:f>
        <x:v>0</x:v>
      </x:c>
      <x:c r="AA14" s="6" t="n">
        <x:f>AF13</x:f>
        <x:v>0</x:v>
      </x:c>
      <x:c r="AB14" s="6" t="n">
        <x:f>ROUND(AA14*'Debt strategy'!$D$13/12,2)</x:f>
        <x:v>0</x:v>
      </x:c>
      <x:c r="AC14" s="6" t="n">
        <x:f>MIN(AA14+AB14,'Debt strategy'!$E$13)</x:f>
        <x:v>0</x:v>
      </x:c>
      <x:c r="AD14" s="27" t="n">
        <x:f>IF(AA14+AB14-AC14&lt;=0,99,1+SUM(IF(AND(C14+D14-E14&gt;0,OR(C14+D14-E14&lt;AA14+AB14-AC14,AND(C14+D14-E14=AA14+AB14-AC14,0&lt;4))),1,0),IF(AND(I14+J14-K14&gt;0,OR(I14+J14-K14&lt;AA14+AB14-AC14,AND(I14+J14-K14=AA14+AB14-AC14,1&lt;4))),1,0),IF(AND(O14+P14-Q14&gt;0,OR(O14+P14-Q14&lt;AA14+AB14-AC14,AND(O14+P14-Q14=AA14+AB14-AC14,2&lt;4))),1,0),IF(AND(U14+V14-W14&gt;0,OR(U14+V14-W14&lt;AA14+AB14-AC14,AND(U14+V14-W14=AA14+AB14-AC14,3&lt;4))),1,0)))</x:f>
        <x:v>99</x:v>
      </x:c>
      <x:c r="AE14" s="6" t="n">
        <x:f>IF('Debt strategy'!$C$16&gt;0,0,MIN(AA14+AB14-AC14,MAX(0,'Debt strategy'!$C$5-SUM(E14,K14,Q14,W14,AC14)-SUM(IF(F14&lt;AD14,C14+D14-E14,0),IF(L14&lt;AD14,I14+J14-K14,0),IF(R14&lt;AD14,O14+P14-Q14,0),IF(X14&lt;AD14,U14+V14-W14,0)))))</x:f>
        <x:v>0</x:v>
      </x:c>
      <x:c r="AF14" s="6" t="n">
        <x:f>ROUND(MAX(0,AA14+AB14-AC14-AE14),2)</x:f>
        <x:v>0</x:v>
      </x:c>
      <x:c r="AG14" s="6" t="n">
        <x:f>SUM(H14,N14,T14,Z14,AF14)</x:f>
        <x:v>7260.38</x:v>
      </x:c>
      <x:c r="AH14" s="6" t="n">
        <x:f>SUM(D14,J14,P14,V14,AB14)+AH13</x:f>
        <x:v>560.38</x:v>
      </x:c>
      <x:c r="AI14" s="2"/>
    </x:row>
    <x:row r="15" ht="23" customHeight="1">
      <x:c r="B15" s="2" t="n">
        <x:f>7</x:f>
        <x:v>7</x:v>
      </x:c>
      <x:c r="C15" s="6" t="n">
        <x:f>H14</x:f>
        <x:v>2972.16</x:v>
      </x:c>
      <x:c r="D15" s="6" t="n">
        <x:f>ROUND(C15*'Debt strategy'!$D$9/12,2)</x:f>
        <x:v>54.49</x:v>
      </x:c>
      <x:c r="E15" s="6" t="n">
        <x:f>MIN(C15+D15,'Debt strategy'!$E$9)</x:f>
        <x:v>100</x:v>
      </x:c>
      <x:c r="F15" s="27" t="n">
        <x:f>IF(C15+D15-E15&lt;=0,99,1+SUM(IF(AND(I15+J15-K15&gt;0,OR(I15+J15-K15&lt;C15+D15-E15,AND(I15+J15-K15=C15+D15-E15,1&lt;0))),1,0),IF(AND(O15+P15-Q15&gt;0,OR(O15+P15-Q15&lt;C15+D15-E15,AND(O15+P15-Q15=C15+D15-E15,2&lt;0))),1,0),IF(AND(U15+V15-W15&gt;0,OR(U15+V15-W15&lt;C15+D15-E15,AND(U15+V15-W15=C15+D15-E15,3&lt;0))),1,0),IF(AND(AA15+AB15-AC15&gt;0,OR(AA15+AB15-AC15&lt;C15+D15-E15,AND(AA15+AB15-AC15=C15+D15-E15,4&lt;0))),1,0)))</x:f>
        <x:v>1</x:v>
      </x:c>
      <x:c r="G15" s="6" t="n">
        <x:f>IF('Debt strategy'!$C$16&gt;0,0,MIN(C15+D15-E15,MAX(0,'Debt strategy'!$C$5-SUM(E15,K15,Q15,W15,AC15)-SUM(IF(L15&lt;F15,I15+J15-K15,0),IF(R15&lt;F15,O15+P15-Q15,0),IF(X15&lt;F15,U15+V15-W15,0),IF(AD15&lt;F15,AA15+AB15-AC15,0)))))</x:f>
        <x:v>150</x:v>
      </x:c>
      <x:c r="H15" s="6" t="n">
        <x:f>ROUND(MAX(0,C15+D15-E15-G15),2)</x:f>
        <x:v>2776.65</x:v>
      </x:c>
      <x:c r="I15" s="6" t="n">
        <x:f>N14</x:f>
        <x:v>4288.22</x:v>
      </x:c>
      <x:c r="J15" s="6" t="n">
        <x:f>ROUND(I15*'Debt strategy'!$D$10/12,2)</x:f>
        <x:v>28.59</x:v>
      </x:c>
      <x:c r="K15" s="6" t="n">
        <x:f>MIN(I15+J15,'Debt strategy'!$E$10)</x:f>
        <x:v>150</x:v>
      </x:c>
      <x:c r="L15" s="27" t="n">
        <x:f>IF(I15+J15-K15&lt;=0,99,1+SUM(IF(AND(C15+D15-E15&gt;0,OR(C15+D15-E15&lt;I15+J15-K15,AND(C15+D15-E15=I15+J15-K15,0&lt;1))),1,0),IF(AND(O15+P15-Q15&gt;0,OR(O15+P15-Q15&lt;I15+J15-K15,AND(O15+P15-Q15=I15+J15-K15,2&lt;1))),1,0),IF(AND(U15+V15-W15&gt;0,OR(U15+V15-W15&lt;I15+J15-K15,AND(U15+V15-W15=I15+J15-K15,3&lt;1))),1,0),IF(AND(AA15+AB15-AC15&gt;0,OR(AA15+AB15-AC15&lt;I15+J15-K15,AND(AA15+AB15-AC15=I15+J15-K15,4&lt;1))),1,0)))</x:f>
        <x:v>2</x:v>
      </x:c>
      <x:c r="M15" s="6" t="n">
        <x:f>IF('Debt strategy'!$C$16&gt;0,0,MIN(I15+J15-K15,MAX(0,'Debt strategy'!$C$5-SUM(E15,K15,Q15,W15,AC15)-SUM(IF(F15&lt;L15,C15+D15-E15,0),IF(R15&lt;L15,O15+P15-Q15,0),IF(X15&lt;L15,U15+V15-W15,0),IF(AD15&lt;L15,AA15+AB15-AC15,0)))))</x:f>
        <x:v>0</x:v>
      </x:c>
      <x:c r="N15" s="6" t="n">
        <x:f>ROUND(MAX(0,I15+J15-K15-M15),2)</x:f>
        <x:v>4166.81</x:v>
      </x:c>
      <x:c r="O15" s="6" t="n">
        <x:f>T14</x:f>
        <x:v>0</x:v>
      </x:c>
      <x:c r="P15" s="6" t="n">
        <x:f>ROUND(O15*'Debt strategy'!$D$11/12,2)</x:f>
        <x:v>0</x:v>
      </x:c>
      <x:c r="Q15" s="6" t="n">
        <x:f>MIN(O15+P15,'Debt strategy'!$E$11)</x:f>
        <x:v>0</x:v>
      </x:c>
      <x:c r="R15" s="27" t="n">
        <x:f>IF(O15+P15-Q15&lt;=0,99,1+SUM(IF(AND(C15+D15-E15&gt;0,OR(C15+D15-E15&lt;O15+P15-Q15,AND(C15+D15-E15=O15+P15-Q15,0&lt;2))),1,0),IF(AND(I15+J15-K15&gt;0,OR(I15+J15-K15&lt;O15+P15-Q15,AND(I15+J15-K15=O15+P15-Q15,1&lt;2))),1,0),IF(AND(U15+V15-W15&gt;0,OR(U15+V15-W15&lt;O15+P15-Q15,AND(U15+V15-W15=O15+P15-Q15,3&lt;2))),1,0),IF(AND(AA15+AB15-AC15&gt;0,OR(AA15+AB15-AC15&lt;O15+P15-Q15,AND(AA15+AB15-AC15=O15+P15-Q15,4&lt;2))),1,0)))</x:f>
        <x:v>99</x:v>
      </x:c>
      <x:c r="S15" s="6" t="n">
        <x:f>IF('Debt strategy'!$C$16&gt;0,0,MIN(O15+P15-Q15,MAX(0,'Debt strategy'!$C$5-SUM(E15,K15,Q15,W15,AC15)-SUM(IF(F15&lt;R15,C15+D15-E15,0),IF(L15&lt;R15,I15+J15-K15,0),IF(X15&lt;R15,U15+V15-W15,0),IF(AD15&lt;R15,AA15+AB15-AC15,0)))))</x:f>
        <x:v>0</x:v>
      </x:c>
      <x:c r="T15" s="6" t="n">
        <x:f>ROUND(MAX(0,O15+P15-Q15-S15),2)</x:f>
        <x:v>0</x:v>
      </x:c>
      <x:c r="U15" s="6" t="n">
        <x:f>Z14</x:f>
        <x:v>0</x:v>
      </x:c>
      <x:c r="V15" s="6" t="n">
        <x:f>ROUND(U15*'Debt strategy'!$D$12/12,2)</x:f>
        <x:v>0</x:v>
      </x:c>
      <x:c r="W15" s="6" t="n">
        <x:f>MIN(U15+V15,'Debt strategy'!$E$12)</x:f>
        <x:v>0</x:v>
      </x:c>
      <x:c r="X15" s="27" t="n">
        <x:f>IF(U15+V15-W15&lt;=0,99,1+SUM(IF(AND(C15+D15-E15&gt;0,OR(C15+D15-E15&lt;U15+V15-W15,AND(C15+D15-E15=U15+V15-W15,0&lt;3))),1,0),IF(AND(I15+J15-K15&gt;0,OR(I15+J15-K15&lt;U15+V15-W15,AND(I15+J15-K15=U15+V15-W15,1&lt;3))),1,0),IF(AND(O15+P15-Q15&gt;0,OR(O15+P15-Q15&lt;U15+V15-W15,AND(O15+P15-Q15=U15+V15-W15,2&lt;3))),1,0),IF(AND(AA15+AB15-AC15&gt;0,OR(AA15+AB15-AC15&lt;U15+V15-W15,AND(AA15+AB15-AC15=U15+V15-W15,4&lt;3))),1,0)))</x:f>
        <x:v>99</x:v>
      </x:c>
      <x:c r="Y15" s="6" t="n">
        <x:f>IF('Debt strategy'!$C$16&gt;0,0,MIN(U15+V15-W15,MAX(0,'Debt strategy'!$C$5-SUM(E15,K15,Q15,W15,AC15)-SUM(IF(F15&lt;X15,C15+D15-E15,0),IF(L15&lt;X15,I15+J15-K15,0),IF(R15&lt;X15,O15+P15-Q15,0),IF(AD15&lt;X15,AA15+AB15-AC15,0)))))</x:f>
        <x:v>0</x:v>
      </x:c>
      <x:c r="Z15" s="6" t="n">
        <x:f>ROUND(MAX(0,U15+V15-W15-Y15),2)</x:f>
        <x:v>0</x:v>
      </x:c>
      <x:c r="AA15" s="6" t="n">
        <x:f>AF14</x:f>
        <x:v>0</x:v>
      </x:c>
      <x:c r="AB15" s="6" t="n">
        <x:f>ROUND(AA15*'Debt strategy'!$D$13/12,2)</x:f>
        <x:v>0</x:v>
      </x:c>
      <x:c r="AC15" s="6" t="n">
        <x:f>MIN(AA15+AB15,'Debt strategy'!$E$13)</x:f>
        <x:v>0</x:v>
      </x:c>
      <x:c r="AD15" s="27" t="n">
        <x:f>IF(AA15+AB15-AC15&lt;=0,99,1+SUM(IF(AND(C15+D15-E15&gt;0,OR(C15+D15-E15&lt;AA15+AB15-AC15,AND(C15+D15-E15=AA15+AB15-AC15,0&lt;4))),1,0),IF(AND(I15+J15-K15&gt;0,OR(I15+J15-K15&lt;AA15+AB15-AC15,AND(I15+J15-K15=AA15+AB15-AC15,1&lt;4))),1,0),IF(AND(O15+P15-Q15&gt;0,OR(O15+P15-Q15&lt;AA15+AB15-AC15,AND(O15+P15-Q15=AA15+AB15-AC15,2&lt;4))),1,0),IF(AND(U15+V15-W15&gt;0,OR(U15+V15-W15&lt;AA15+AB15-AC15,AND(U15+V15-W15=AA15+AB15-AC15,3&lt;4))),1,0)))</x:f>
        <x:v>99</x:v>
      </x:c>
      <x:c r="AE15" s="6" t="n">
        <x:f>IF('Debt strategy'!$C$16&gt;0,0,MIN(AA15+AB15-AC15,MAX(0,'Debt strategy'!$C$5-SUM(E15,K15,Q15,W15,AC15)-SUM(IF(F15&lt;AD15,C15+D15-E15,0),IF(L15&lt;AD15,I15+J15-K15,0),IF(R15&lt;AD15,O15+P15-Q15,0),IF(X15&lt;AD15,U15+V15-W15,0)))))</x:f>
        <x:v>0</x:v>
      </x:c>
      <x:c r="AF15" s="6" t="n">
        <x:f>ROUND(MAX(0,AA15+AB15-AC15-AE15),2)</x:f>
        <x:v>0</x:v>
      </x:c>
      <x:c r="AG15" s="6" t="n">
        <x:f>SUM(H15,N15,T15,Z15,AF15)</x:f>
        <x:v>6943.460000000001</x:v>
      </x:c>
      <x:c r="AH15" s="6" t="n">
        <x:f>SUM(D15,J15,P15,V15,AB15)+AH14</x:f>
        <x:v>643.46</x:v>
      </x:c>
      <x:c r="AI15" s="2"/>
    </x:row>
    <x:row r="16" ht="23" customHeight="1">
      <x:c r="B16" s="2" t="n">
        <x:f>8</x:f>
        <x:v>8</x:v>
      </x:c>
      <x:c r="C16" s="6" t="n">
        <x:f>H15</x:f>
        <x:v>2776.65</x:v>
      </x:c>
      <x:c r="D16" s="6" t="n">
        <x:f>ROUND(C16*'Debt strategy'!$D$9/12,2)</x:f>
        <x:v>50.91</x:v>
      </x:c>
      <x:c r="E16" s="6" t="n">
        <x:f>MIN(C16+D16,'Debt strategy'!$E$9)</x:f>
        <x:v>100</x:v>
      </x:c>
      <x:c r="F16" s="27" t="n">
        <x:f>IF(C16+D16-E16&lt;=0,99,1+SUM(IF(AND(I16+J16-K16&gt;0,OR(I16+J16-K16&lt;C16+D16-E16,AND(I16+J16-K16=C16+D16-E16,1&lt;0))),1,0),IF(AND(O16+P16-Q16&gt;0,OR(O16+P16-Q16&lt;C16+D16-E16,AND(O16+P16-Q16=C16+D16-E16,2&lt;0))),1,0),IF(AND(U16+V16-W16&gt;0,OR(U16+V16-W16&lt;C16+D16-E16,AND(U16+V16-W16=C16+D16-E16,3&lt;0))),1,0),IF(AND(AA16+AB16-AC16&gt;0,OR(AA16+AB16-AC16&lt;C16+D16-E16,AND(AA16+AB16-AC16=C16+D16-E16,4&lt;0))),1,0)))</x:f>
        <x:v>1</x:v>
      </x:c>
      <x:c r="G16" s="6" t="n">
        <x:f>IF('Debt strategy'!$C$16&gt;0,0,MIN(C16+D16-E16,MAX(0,'Debt strategy'!$C$5-SUM(E16,K16,Q16,W16,AC16)-SUM(IF(L16&lt;F16,I16+J16-K16,0),IF(R16&lt;F16,O16+P16-Q16,0),IF(X16&lt;F16,U16+V16-W16,0),IF(AD16&lt;F16,AA16+AB16-AC16,0)))))</x:f>
        <x:v>150</x:v>
      </x:c>
      <x:c r="H16" s="6" t="n">
        <x:f>ROUND(MAX(0,C16+D16-E16-G16),2)</x:f>
        <x:v>2577.56</x:v>
      </x:c>
      <x:c r="I16" s="6" t="n">
        <x:f>N15</x:f>
        <x:v>4166.81</x:v>
      </x:c>
      <x:c r="J16" s="6" t="n">
        <x:f>ROUND(I16*'Debt strategy'!$D$10/12,2)</x:f>
        <x:v>27.78</x:v>
      </x:c>
      <x:c r="K16" s="6" t="n">
        <x:f>MIN(I16+J16,'Debt strategy'!$E$10)</x:f>
        <x:v>150</x:v>
      </x:c>
      <x:c r="L16" s="27" t="n">
        <x:f>IF(I16+J16-K16&lt;=0,99,1+SUM(IF(AND(C16+D16-E16&gt;0,OR(C16+D16-E16&lt;I16+J16-K16,AND(C16+D16-E16=I16+J16-K16,0&lt;1))),1,0),IF(AND(O16+P16-Q16&gt;0,OR(O16+P16-Q16&lt;I16+J16-K16,AND(O16+P16-Q16=I16+J16-K16,2&lt;1))),1,0),IF(AND(U16+V16-W16&gt;0,OR(U16+V16-W16&lt;I16+J16-K16,AND(U16+V16-W16=I16+J16-K16,3&lt;1))),1,0),IF(AND(AA16+AB16-AC16&gt;0,OR(AA16+AB16-AC16&lt;I16+J16-K16,AND(AA16+AB16-AC16=I16+J16-K16,4&lt;1))),1,0)))</x:f>
        <x:v>2</x:v>
      </x:c>
      <x:c r="M16" s="6" t="n">
        <x:f>IF('Debt strategy'!$C$16&gt;0,0,MIN(I16+J16-K16,MAX(0,'Debt strategy'!$C$5-SUM(E16,K16,Q16,W16,AC16)-SUM(IF(F16&lt;L16,C16+D16-E16,0),IF(R16&lt;L16,O16+P16-Q16,0),IF(X16&lt;L16,U16+V16-W16,0),IF(AD16&lt;L16,AA16+AB16-AC16,0)))))</x:f>
        <x:v>0</x:v>
      </x:c>
      <x:c r="N16" s="6" t="n">
        <x:f>ROUND(MAX(0,I16+J16-K16-M16),2)</x:f>
        <x:v>4044.59</x:v>
      </x:c>
      <x:c r="O16" s="6" t="n">
        <x:f>T15</x:f>
        <x:v>0</x:v>
      </x:c>
      <x:c r="P16" s="6" t="n">
        <x:f>ROUND(O16*'Debt strategy'!$D$11/12,2)</x:f>
        <x:v>0</x:v>
      </x:c>
      <x:c r="Q16" s="6" t="n">
        <x:f>MIN(O16+P16,'Debt strategy'!$E$11)</x:f>
        <x:v>0</x:v>
      </x:c>
      <x:c r="R16" s="27" t="n">
        <x:f>IF(O16+P16-Q16&lt;=0,99,1+SUM(IF(AND(C16+D16-E16&gt;0,OR(C16+D16-E16&lt;O16+P16-Q16,AND(C16+D16-E16=O16+P16-Q16,0&lt;2))),1,0),IF(AND(I16+J16-K16&gt;0,OR(I16+J16-K16&lt;O16+P16-Q16,AND(I16+J16-K16=O16+P16-Q16,1&lt;2))),1,0),IF(AND(U16+V16-W16&gt;0,OR(U16+V16-W16&lt;O16+P16-Q16,AND(U16+V16-W16=O16+P16-Q16,3&lt;2))),1,0),IF(AND(AA16+AB16-AC16&gt;0,OR(AA16+AB16-AC16&lt;O16+P16-Q16,AND(AA16+AB16-AC16=O16+P16-Q16,4&lt;2))),1,0)))</x:f>
        <x:v>99</x:v>
      </x:c>
      <x:c r="S16" s="6" t="n">
        <x:f>IF('Debt strategy'!$C$16&gt;0,0,MIN(O16+P16-Q16,MAX(0,'Debt strategy'!$C$5-SUM(E16,K16,Q16,W16,AC16)-SUM(IF(F16&lt;R16,C16+D16-E16,0),IF(L16&lt;R16,I16+J16-K16,0),IF(X16&lt;R16,U16+V16-W16,0),IF(AD16&lt;R16,AA16+AB16-AC16,0)))))</x:f>
        <x:v>0</x:v>
      </x:c>
      <x:c r="T16" s="6" t="n">
        <x:f>ROUND(MAX(0,O16+P16-Q16-S16),2)</x:f>
        <x:v>0</x:v>
      </x:c>
      <x:c r="U16" s="6" t="n">
        <x:f>Z15</x:f>
        <x:v>0</x:v>
      </x:c>
      <x:c r="V16" s="6" t="n">
        <x:f>ROUND(U16*'Debt strategy'!$D$12/12,2)</x:f>
        <x:v>0</x:v>
      </x:c>
      <x:c r="W16" s="6" t="n">
        <x:f>MIN(U16+V16,'Debt strategy'!$E$12)</x:f>
        <x:v>0</x:v>
      </x:c>
      <x:c r="X16" s="27" t="n">
        <x:f>IF(U16+V16-W16&lt;=0,99,1+SUM(IF(AND(C16+D16-E16&gt;0,OR(C16+D16-E16&lt;U16+V16-W16,AND(C16+D16-E16=U16+V16-W16,0&lt;3))),1,0),IF(AND(I16+J16-K16&gt;0,OR(I16+J16-K16&lt;U16+V16-W16,AND(I16+J16-K16=U16+V16-W16,1&lt;3))),1,0),IF(AND(O16+P16-Q16&gt;0,OR(O16+P16-Q16&lt;U16+V16-W16,AND(O16+P16-Q16=U16+V16-W16,2&lt;3))),1,0),IF(AND(AA16+AB16-AC16&gt;0,OR(AA16+AB16-AC16&lt;U16+V16-W16,AND(AA16+AB16-AC16=U16+V16-W16,4&lt;3))),1,0)))</x:f>
        <x:v>99</x:v>
      </x:c>
      <x:c r="Y16" s="6" t="n">
        <x:f>IF('Debt strategy'!$C$16&gt;0,0,MIN(U16+V16-W16,MAX(0,'Debt strategy'!$C$5-SUM(E16,K16,Q16,W16,AC16)-SUM(IF(F16&lt;X16,C16+D16-E16,0),IF(L16&lt;X16,I16+J16-K16,0),IF(R16&lt;X16,O16+P16-Q16,0),IF(AD16&lt;X16,AA16+AB16-AC16,0)))))</x:f>
        <x:v>0</x:v>
      </x:c>
      <x:c r="Z16" s="6" t="n">
        <x:f>ROUND(MAX(0,U16+V16-W16-Y16),2)</x:f>
        <x:v>0</x:v>
      </x:c>
      <x:c r="AA16" s="6" t="n">
        <x:f>AF15</x:f>
        <x:v>0</x:v>
      </x:c>
      <x:c r="AB16" s="6" t="n">
        <x:f>ROUND(AA16*'Debt strategy'!$D$13/12,2)</x:f>
        <x:v>0</x:v>
      </x:c>
      <x:c r="AC16" s="6" t="n">
        <x:f>MIN(AA16+AB16,'Debt strategy'!$E$13)</x:f>
        <x:v>0</x:v>
      </x:c>
      <x:c r="AD16" s="27" t="n">
        <x:f>IF(AA16+AB16-AC16&lt;=0,99,1+SUM(IF(AND(C16+D16-E16&gt;0,OR(C16+D16-E16&lt;AA16+AB16-AC16,AND(C16+D16-E16=AA16+AB16-AC16,0&lt;4))),1,0),IF(AND(I16+J16-K16&gt;0,OR(I16+J16-K16&lt;AA16+AB16-AC16,AND(I16+J16-K16=AA16+AB16-AC16,1&lt;4))),1,0),IF(AND(O16+P16-Q16&gt;0,OR(O16+P16-Q16&lt;AA16+AB16-AC16,AND(O16+P16-Q16=AA16+AB16-AC16,2&lt;4))),1,0),IF(AND(U16+V16-W16&gt;0,OR(U16+V16-W16&lt;AA16+AB16-AC16,AND(U16+V16-W16=AA16+AB16-AC16,3&lt;4))),1,0)))</x:f>
        <x:v>99</x:v>
      </x:c>
      <x:c r="AE16" s="6" t="n">
        <x:f>IF('Debt strategy'!$C$16&gt;0,0,MIN(AA16+AB16-AC16,MAX(0,'Debt strategy'!$C$5-SUM(E16,K16,Q16,W16,AC16)-SUM(IF(F16&lt;AD16,C16+D16-E16,0),IF(L16&lt;AD16,I16+J16-K16,0),IF(R16&lt;AD16,O16+P16-Q16,0),IF(X16&lt;AD16,U16+V16-W16,0)))))</x:f>
        <x:v>0</x:v>
      </x:c>
      <x:c r="AF16" s="6" t="n">
        <x:f>ROUND(MAX(0,AA16+AB16-AC16-AE16),2)</x:f>
        <x:v>0</x:v>
      </x:c>
      <x:c r="AG16" s="6" t="n">
        <x:f>SUM(H16,N16,T16,Z16,AF16)</x:f>
        <x:v>6622.15</x:v>
      </x:c>
      <x:c r="AH16" s="6" t="n">
        <x:f>SUM(D16,J16,P16,V16,AB16)+AH15</x:f>
        <x:v>722.1500000000001</x:v>
      </x:c>
      <x:c r="AI16" s="2"/>
    </x:row>
    <x:row r="17" ht="23" customHeight="1">
      <x:c r="B17" s="2" t="n">
        <x:f>9</x:f>
        <x:v>9</x:v>
      </x:c>
      <x:c r="C17" s="6" t="n">
        <x:f>H16</x:f>
        <x:v>2577.56</x:v>
      </x:c>
      <x:c r="D17" s="6" t="n">
        <x:f>ROUND(C17*'Debt strategy'!$D$9/12,2)</x:f>
        <x:v>47.26</x:v>
      </x:c>
      <x:c r="E17" s="6" t="n">
        <x:f>MIN(C17+D17,'Debt strategy'!$E$9)</x:f>
        <x:v>100</x:v>
      </x:c>
      <x:c r="F17" s="27" t="n">
        <x:f>IF(C17+D17-E17&lt;=0,99,1+SUM(IF(AND(I17+J17-K17&gt;0,OR(I17+J17-K17&lt;C17+D17-E17,AND(I17+J17-K17=C17+D17-E17,1&lt;0))),1,0),IF(AND(O17+P17-Q17&gt;0,OR(O17+P17-Q17&lt;C17+D17-E17,AND(O17+P17-Q17=C17+D17-E17,2&lt;0))),1,0),IF(AND(U17+V17-W17&gt;0,OR(U17+V17-W17&lt;C17+D17-E17,AND(U17+V17-W17=C17+D17-E17,3&lt;0))),1,0),IF(AND(AA17+AB17-AC17&gt;0,OR(AA17+AB17-AC17&lt;C17+D17-E17,AND(AA17+AB17-AC17=C17+D17-E17,4&lt;0))),1,0)))</x:f>
        <x:v>1</x:v>
      </x:c>
      <x:c r="G17" s="6" t="n">
        <x:f>IF('Debt strategy'!$C$16&gt;0,0,MIN(C17+D17-E17,MAX(0,'Debt strategy'!$C$5-SUM(E17,K17,Q17,W17,AC17)-SUM(IF(L17&lt;F17,I17+J17-K17,0),IF(R17&lt;F17,O17+P17-Q17,0),IF(X17&lt;F17,U17+V17-W17,0),IF(AD17&lt;F17,AA17+AB17-AC17,0)))))</x:f>
        <x:v>150</x:v>
      </x:c>
      <x:c r="H17" s="6" t="n">
        <x:f>ROUND(MAX(0,C17+D17-E17-G17),2)</x:f>
        <x:v>2374.82</x:v>
      </x:c>
      <x:c r="I17" s="6" t="n">
        <x:f>N16</x:f>
        <x:v>4044.59</x:v>
      </x:c>
      <x:c r="J17" s="6" t="n">
        <x:f>ROUND(I17*'Debt strategy'!$D$10/12,2)</x:f>
        <x:v>26.96</x:v>
      </x:c>
      <x:c r="K17" s="6" t="n">
        <x:f>MIN(I17+J17,'Debt strategy'!$E$10)</x:f>
        <x:v>150</x:v>
      </x:c>
      <x:c r="L17" s="27" t="n">
        <x:f>IF(I17+J17-K17&lt;=0,99,1+SUM(IF(AND(C17+D17-E17&gt;0,OR(C17+D17-E17&lt;I17+J17-K17,AND(C17+D17-E17=I17+J17-K17,0&lt;1))),1,0),IF(AND(O17+P17-Q17&gt;0,OR(O17+P17-Q17&lt;I17+J17-K17,AND(O17+P17-Q17=I17+J17-K17,2&lt;1))),1,0),IF(AND(U17+V17-W17&gt;0,OR(U17+V17-W17&lt;I17+J17-K17,AND(U17+V17-W17=I17+J17-K17,3&lt;1))),1,0),IF(AND(AA17+AB17-AC17&gt;0,OR(AA17+AB17-AC17&lt;I17+J17-K17,AND(AA17+AB17-AC17=I17+J17-K17,4&lt;1))),1,0)))</x:f>
        <x:v>2</x:v>
      </x:c>
      <x:c r="M17" s="6" t="n">
        <x:f>IF('Debt strategy'!$C$16&gt;0,0,MIN(I17+J17-K17,MAX(0,'Debt strategy'!$C$5-SUM(E17,K17,Q17,W17,AC17)-SUM(IF(F17&lt;L17,C17+D17-E17,0),IF(R17&lt;L17,O17+P17-Q17,0),IF(X17&lt;L17,U17+V17-W17,0),IF(AD17&lt;L17,AA17+AB17-AC17,0)))))</x:f>
        <x:v>0</x:v>
      </x:c>
      <x:c r="N17" s="6" t="n">
        <x:f>ROUND(MAX(0,I17+J17-K17-M17),2)</x:f>
        <x:v>3921.55</x:v>
      </x:c>
      <x:c r="O17" s="6" t="n">
        <x:f>T16</x:f>
        <x:v>0</x:v>
      </x:c>
      <x:c r="P17" s="6" t="n">
        <x:f>ROUND(O17*'Debt strategy'!$D$11/12,2)</x:f>
        <x:v>0</x:v>
      </x:c>
      <x:c r="Q17" s="6" t="n">
        <x:f>MIN(O17+P17,'Debt strategy'!$E$11)</x:f>
        <x:v>0</x:v>
      </x:c>
      <x:c r="R17" s="27" t="n">
        <x:f>IF(O17+P17-Q17&lt;=0,99,1+SUM(IF(AND(C17+D17-E17&gt;0,OR(C17+D17-E17&lt;O17+P17-Q17,AND(C17+D17-E17=O17+P17-Q17,0&lt;2))),1,0),IF(AND(I17+J17-K17&gt;0,OR(I17+J17-K17&lt;O17+P17-Q17,AND(I17+J17-K17=O17+P17-Q17,1&lt;2))),1,0),IF(AND(U17+V17-W17&gt;0,OR(U17+V17-W17&lt;O17+P17-Q17,AND(U17+V17-W17=O17+P17-Q17,3&lt;2))),1,0),IF(AND(AA17+AB17-AC17&gt;0,OR(AA17+AB17-AC17&lt;O17+P17-Q17,AND(AA17+AB17-AC17=O17+P17-Q17,4&lt;2))),1,0)))</x:f>
        <x:v>99</x:v>
      </x:c>
      <x:c r="S17" s="6" t="n">
        <x:f>IF('Debt strategy'!$C$16&gt;0,0,MIN(O17+P17-Q17,MAX(0,'Debt strategy'!$C$5-SUM(E17,K17,Q17,W17,AC17)-SUM(IF(F17&lt;R17,C17+D17-E17,0),IF(L17&lt;R17,I17+J17-K17,0),IF(X17&lt;R17,U17+V17-W17,0),IF(AD17&lt;R17,AA17+AB17-AC17,0)))))</x:f>
        <x:v>0</x:v>
      </x:c>
      <x:c r="T17" s="6" t="n">
        <x:f>ROUND(MAX(0,O17+P17-Q17-S17),2)</x:f>
        <x:v>0</x:v>
      </x:c>
      <x:c r="U17" s="6" t="n">
        <x:f>Z16</x:f>
        <x:v>0</x:v>
      </x:c>
      <x:c r="V17" s="6" t="n">
        <x:f>ROUND(U17*'Debt strategy'!$D$12/12,2)</x:f>
        <x:v>0</x:v>
      </x:c>
      <x:c r="W17" s="6" t="n">
        <x:f>MIN(U17+V17,'Debt strategy'!$E$12)</x:f>
        <x:v>0</x:v>
      </x:c>
      <x:c r="X17" s="27" t="n">
        <x:f>IF(U17+V17-W17&lt;=0,99,1+SUM(IF(AND(C17+D17-E17&gt;0,OR(C17+D17-E17&lt;U17+V17-W17,AND(C17+D17-E17=U17+V17-W17,0&lt;3))),1,0),IF(AND(I17+J17-K17&gt;0,OR(I17+J17-K17&lt;U17+V17-W17,AND(I17+J17-K17=U17+V17-W17,1&lt;3))),1,0),IF(AND(O17+P17-Q17&gt;0,OR(O17+P17-Q17&lt;U17+V17-W17,AND(O17+P17-Q17=U17+V17-W17,2&lt;3))),1,0),IF(AND(AA17+AB17-AC17&gt;0,OR(AA17+AB17-AC17&lt;U17+V17-W17,AND(AA17+AB17-AC17=U17+V17-W17,4&lt;3))),1,0)))</x:f>
        <x:v>99</x:v>
      </x:c>
      <x:c r="Y17" s="6" t="n">
        <x:f>IF('Debt strategy'!$C$16&gt;0,0,MIN(U17+V17-W17,MAX(0,'Debt strategy'!$C$5-SUM(E17,K17,Q17,W17,AC17)-SUM(IF(F17&lt;X17,C17+D17-E17,0),IF(L17&lt;X17,I17+J17-K17,0),IF(R17&lt;X17,O17+P17-Q17,0),IF(AD17&lt;X17,AA17+AB17-AC17,0)))))</x:f>
        <x:v>0</x:v>
      </x:c>
      <x:c r="Z17" s="6" t="n">
        <x:f>ROUND(MAX(0,U17+V17-W17-Y17),2)</x:f>
        <x:v>0</x:v>
      </x:c>
      <x:c r="AA17" s="6" t="n">
        <x:f>AF16</x:f>
        <x:v>0</x:v>
      </x:c>
      <x:c r="AB17" s="6" t="n">
        <x:f>ROUND(AA17*'Debt strategy'!$D$13/12,2)</x:f>
        <x:v>0</x:v>
      </x:c>
      <x:c r="AC17" s="6" t="n">
        <x:f>MIN(AA17+AB17,'Debt strategy'!$E$13)</x:f>
        <x:v>0</x:v>
      </x:c>
      <x:c r="AD17" s="27" t="n">
        <x:f>IF(AA17+AB17-AC17&lt;=0,99,1+SUM(IF(AND(C17+D17-E17&gt;0,OR(C17+D17-E17&lt;AA17+AB17-AC17,AND(C17+D17-E17=AA17+AB17-AC17,0&lt;4))),1,0),IF(AND(I17+J17-K17&gt;0,OR(I17+J17-K17&lt;AA17+AB17-AC17,AND(I17+J17-K17=AA17+AB17-AC17,1&lt;4))),1,0),IF(AND(O17+P17-Q17&gt;0,OR(O17+P17-Q17&lt;AA17+AB17-AC17,AND(O17+P17-Q17=AA17+AB17-AC17,2&lt;4))),1,0),IF(AND(U17+V17-W17&gt;0,OR(U17+V17-W17&lt;AA17+AB17-AC17,AND(U17+V17-W17=AA17+AB17-AC17,3&lt;4))),1,0)))</x:f>
        <x:v>99</x:v>
      </x:c>
      <x:c r="AE17" s="6" t="n">
        <x:f>IF('Debt strategy'!$C$16&gt;0,0,MIN(AA17+AB17-AC17,MAX(0,'Debt strategy'!$C$5-SUM(E17,K17,Q17,W17,AC17)-SUM(IF(F17&lt;AD17,C17+D17-E17,0),IF(L17&lt;AD17,I17+J17-K17,0),IF(R17&lt;AD17,O17+P17-Q17,0),IF(X17&lt;AD17,U17+V17-W17,0)))))</x:f>
        <x:v>0</x:v>
      </x:c>
      <x:c r="AF17" s="6" t="n">
        <x:f>ROUND(MAX(0,AA17+AB17-AC17-AE17),2)</x:f>
        <x:v>0</x:v>
      </x:c>
      <x:c r="AG17" s="6" t="n">
        <x:f>SUM(H17,N17,T17,Z17,AF17)</x:f>
        <x:v>6296.370000000001</x:v>
      </x:c>
      <x:c r="AH17" s="6" t="n">
        <x:f>SUM(D17,J17,P17,V17,AB17)+AH16</x:f>
        <x:v>796.3700000000001</x:v>
      </x:c>
      <x:c r="AI17" s="2"/>
    </x:row>
    <x:row r="18" ht="23" customHeight="1">
      <x:c r="B18" s="2" t="n">
        <x:f>10</x:f>
        <x:v>10</x:v>
      </x:c>
      <x:c r="C18" s="6" t="n">
        <x:f>H17</x:f>
        <x:v>2374.82</x:v>
      </x:c>
      <x:c r="D18" s="6" t="n">
        <x:f>ROUND(C18*'Debt strategy'!$D$9/12,2)</x:f>
        <x:v>43.54</x:v>
      </x:c>
      <x:c r="E18" s="6" t="n">
        <x:f>MIN(C18+D18,'Debt strategy'!$E$9)</x:f>
        <x:v>100</x:v>
      </x:c>
      <x:c r="F18" s="27" t="n">
        <x:f>IF(C18+D18-E18&lt;=0,99,1+SUM(IF(AND(I18+J18-K18&gt;0,OR(I18+J18-K18&lt;C18+D18-E18,AND(I18+J18-K18=C18+D18-E18,1&lt;0))),1,0),IF(AND(O18+P18-Q18&gt;0,OR(O18+P18-Q18&lt;C18+D18-E18,AND(O18+P18-Q18=C18+D18-E18,2&lt;0))),1,0),IF(AND(U18+V18-W18&gt;0,OR(U18+V18-W18&lt;C18+D18-E18,AND(U18+V18-W18=C18+D18-E18,3&lt;0))),1,0),IF(AND(AA18+AB18-AC18&gt;0,OR(AA18+AB18-AC18&lt;C18+D18-E18,AND(AA18+AB18-AC18=C18+D18-E18,4&lt;0))),1,0)))</x:f>
        <x:v>1</x:v>
      </x:c>
      <x:c r="G18" s="6" t="n">
        <x:f>IF('Debt strategy'!$C$16&gt;0,0,MIN(C18+D18-E18,MAX(0,'Debt strategy'!$C$5-SUM(E18,K18,Q18,W18,AC18)-SUM(IF(L18&lt;F18,I18+J18-K18,0),IF(R18&lt;F18,O18+P18-Q18,0),IF(X18&lt;F18,U18+V18-W18,0),IF(AD18&lt;F18,AA18+AB18-AC18,0)))))</x:f>
        <x:v>150</x:v>
      </x:c>
      <x:c r="H18" s="6" t="n">
        <x:f>ROUND(MAX(0,C18+D18-E18-G18),2)</x:f>
        <x:v>2168.36</x:v>
      </x:c>
      <x:c r="I18" s="6" t="n">
        <x:f>N17</x:f>
        <x:v>3921.55</x:v>
      </x:c>
      <x:c r="J18" s="6" t="n">
        <x:f>ROUND(I18*'Debt strategy'!$D$10/12,2)</x:f>
        <x:v>26.14</x:v>
      </x:c>
      <x:c r="K18" s="6" t="n">
        <x:f>MIN(I18+J18,'Debt strategy'!$E$10)</x:f>
        <x:v>150</x:v>
      </x:c>
      <x:c r="L18" s="27" t="n">
        <x:f>IF(I18+J18-K18&lt;=0,99,1+SUM(IF(AND(C18+D18-E18&gt;0,OR(C18+D18-E18&lt;I18+J18-K18,AND(C18+D18-E18=I18+J18-K18,0&lt;1))),1,0),IF(AND(O18+P18-Q18&gt;0,OR(O18+P18-Q18&lt;I18+J18-K18,AND(O18+P18-Q18=I18+J18-K18,2&lt;1))),1,0),IF(AND(U18+V18-W18&gt;0,OR(U18+V18-W18&lt;I18+J18-K18,AND(U18+V18-W18=I18+J18-K18,3&lt;1))),1,0),IF(AND(AA18+AB18-AC18&gt;0,OR(AA18+AB18-AC18&lt;I18+J18-K18,AND(AA18+AB18-AC18=I18+J18-K18,4&lt;1))),1,0)))</x:f>
        <x:v>2</x:v>
      </x:c>
      <x:c r="M18" s="6" t="n">
        <x:f>IF('Debt strategy'!$C$16&gt;0,0,MIN(I18+J18-K18,MAX(0,'Debt strategy'!$C$5-SUM(E18,K18,Q18,W18,AC18)-SUM(IF(F18&lt;L18,C18+D18-E18,0),IF(R18&lt;L18,O18+P18-Q18,0),IF(X18&lt;L18,U18+V18-W18,0),IF(AD18&lt;L18,AA18+AB18-AC18,0)))))</x:f>
        <x:v>0</x:v>
      </x:c>
      <x:c r="N18" s="6" t="n">
        <x:f>ROUND(MAX(0,I18+J18-K18-M18),2)</x:f>
        <x:v>3797.69</x:v>
      </x:c>
      <x:c r="O18" s="6" t="n">
        <x:f>T17</x:f>
        <x:v>0</x:v>
      </x:c>
      <x:c r="P18" s="6" t="n">
        <x:f>ROUND(O18*'Debt strategy'!$D$11/12,2)</x:f>
        <x:v>0</x:v>
      </x:c>
      <x:c r="Q18" s="6" t="n">
        <x:f>MIN(O18+P18,'Debt strategy'!$E$11)</x:f>
        <x:v>0</x:v>
      </x:c>
      <x:c r="R18" s="27" t="n">
        <x:f>IF(O18+P18-Q18&lt;=0,99,1+SUM(IF(AND(C18+D18-E18&gt;0,OR(C18+D18-E18&lt;O18+P18-Q18,AND(C18+D18-E18=O18+P18-Q18,0&lt;2))),1,0),IF(AND(I18+J18-K18&gt;0,OR(I18+J18-K18&lt;O18+P18-Q18,AND(I18+J18-K18=O18+P18-Q18,1&lt;2))),1,0),IF(AND(U18+V18-W18&gt;0,OR(U18+V18-W18&lt;O18+P18-Q18,AND(U18+V18-W18=O18+P18-Q18,3&lt;2))),1,0),IF(AND(AA18+AB18-AC18&gt;0,OR(AA18+AB18-AC18&lt;O18+P18-Q18,AND(AA18+AB18-AC18=O18+P18-Q18,4&lt;2))),1,0)))</x:f>
        <x:v>99</x:v>
      </x:c>
      <x:c r="S18" s="6" t="n">
        <x:f>IF('Debt strategy'!$C$16&gt;0,0,MIN(O18+P18-Q18,MAX(0,'Debt strategy'!$C$5-SUM(E18,K18,Q18,W18,AC18)-SUM(IF(F18&lt;R18,C18+D18-E18,0),IF(L18&lt;R18,I18+J18-K18,0),IF(X18&lt;R18,U18+V18-W18,0),IF(AD18&lt;R18,AA18+AB18-AC18,0)))))</x:f>
        <x:v>0</x:v>
      </x:c>
      <x:c r="T18" s="6" t="n">
        <x:f>ROUND(MAX(0,O18+P18-Q18-S18),2)</x:f>
        <x:v>0</x:v>
      </x:c>
      <x:c r="U18" s="6" t="n">
        <x:f>Z17</x:f>
        <x:v>0</x:v>
      </x:c>
      <x:c r="V18" s="6" t="n">
        <x:f>ROUND(U18*'Debt strategy'!$D$12/12,2)</x:f>
        <x:v>0</x:v>
      </x:c>
      <x:c r="W18" s="6" t="n">
        <x:f>MIN(U18+V18,'Debt strategy'!$E$12)</x:f>
        <x:v>0</x:v>
      </x:c>
      <x:c r="X18" s="27" t="n">
        <x:f>IF(U18+V18-W18&lt;=0,99,1+SUM(IF(AND(C18+D18-E18&gt;0,OR(C18+D18-E18&lt;U18+V18-W18,AND(C18+D18-E18=U18+V18-W18,0&lt;3))),1,0),IF(AND(I18+J18-K18&gt;0,OR(I18+J18-K18&lt;U18+V18-W18,AND(I18+J18-K18=U18+V18-W18,1&lt;3))),1,0),IF(AND(O18+P18-Q18&gt;0,OR(O18+P18-Q18&lt;U18+V18-W18,AND(O18+P18-Q18=U18+V18-W18,2&lt;3))),1,0),IF(AND(AA18+AB18-AC18&gt;0,OR(AA18+AB18-AC18&lt;U18+V18-W18,AND(AA18+AB18-AC18=U18+V18-W18,4&lt;3))),1,0)))</x:f>
        <x:v>99</x:v>
      </x:c>
      <x:c r="Y18" s="6" t="n">
        <x:f>IF('Debt strategy'!$C$16&gt;0,0,MIN(U18+V18-W18,MAX(0,'Debt strategy'!$C$5-SUM(E18,K18,Q18,W18,AC18)-SUM(IF(F18&lt;X18,C18+D18-E18,0),IF(L18&lt;X18,I18+J18-K18,0),IF(R18&lt;X18,O18+P18-Q18,0),IF(AD18&lt;X18,AA18+AB18-AC18,0)))))</x:f>
        <x:v>0</x:v>
      </x:c>
      <x:c r="Z18" s="6" t="n">
        <x:f>ROUND(MAX(0,U18+V18-W18-Y18),2)</x:f>
        <x:v>0</x:v>
      </x:c>
      <x:c r="AA18" s="6" t="n">
        <x:f>AF17</x:f>
        <x:v>0</x:v>
      </x:c>
      <x:c r="AB18" s="6" t="n">
        <x:f>ROUND(AA18*'Debt strategy'!$D$13/12,2)</x:f>
        <x:v>0</x:v>
      </x:c>
      <x:c r="AC18" s="6" t="n">
        <x:f>MIN(AA18+AB18,'Debt strategy'!$E$13)</x:f>
        <x:v>0</x:v>
      </x:c>
      <x:c r="AD18" s="27" t="n">
        <x:f>IF(AA18+AB18-AC18&lt;=0,99,1+SUM(IF(AND(C18+D18-E18&gt;0,OR(C18+D18-E18&lt;AA18+AB18-AC18,AND(C18+D18-E18=AA18+AB18-AC18,0&lt;4))),1,0),IF(AND(I18+J18-K18&gt;0,OR(I18+J18-K18&lt;AA18+AB18-AC18,AND(I18+J18-K18=AA18+AB18-AC18,1&lt;4))),1,0),IF(AND(O18+P18-Q18&gt;0,OR(O18+P18-Q18&lt;AA18+AB18-AC18,AND(O18+P18-Q18=AA18+AB18-AC18,2&lt;4))),1,0),IF(AND(U18+V18-W18&gt;0,OR(U18+V18-W18&lt;AA18+AB18-AC18,AND(U18+V18-W18=AA18+AB18-AC18,3&lt;4))),1,0)))</x:f>
        <x:v>99</x:v>
      </x:c>
      <x:c r="AE18" s="6" t="n">
        <x:f>IF('Debt strategy'!$C$16&gt;0,0,MIN(AA18+AB18-AC18,MAX(0,'Debt strategy'!$C$5-SUM(E18,K18,Q18,W18,AC18)-SUM(IF(F18&lt;AD18,C18+D18-E18,0),IF(L18&lt;AD18,I18+J18-K18,0),IF(R18&lt;AD18,O18+P18-Q18,0),IF(X18&lt;AD18,U18+V18-W18,0)))))</x:f>
        <x:v>0</x:v>
      </x:c>
      <x:c r="AF18" s="6" t="n">
        <x:f>ROUND(MAX(0,AA18+AB18-AC18-AE18),2)</x:f>
        <x:v>0</x:v>
      </x:c>
      <x:c r="AG18" s="6" t="n">
        <x:f>SUM(H18,N18,T18,Z18,AF18)</x:f>
        <x:v>5966.05</x:v>
      </x:c>
      <x:c r="AH18" s="6" t="n">
        <x:f>SUM(D18,J18,P18,V18,AB18)+AH17</x:f>
        <x:v>866.0500000000002</x:v>
      </x:c>
      <x:c r="AI18" s="2"/>
    </x:row>
    <x:row r="19" ht="23" customHeight="1">
      <x:c r="B19" s="2" t="n">
        <x:f>11</x:f>
        <x:v>11</x:v>
      </x:c>
      <x:c r="C19" s="6" t="n">
        <x:f>H18</x:f>
        <x:v>2168.36</x:v>
      </x:c>
      <x:c r="D19" s="6" t="n">
        <x:f>ROUND(C19*'Debt strategy'!$D$9/12,2)</x:f>
        <x:v>39.75</x:v>
      </x:c>
      <x:c r="E19" s="6" t="n">
        <x:f>MIN(C19+D19,'Debt strategy'!$E$9)</x:f>
        <x:v>100</x:v>
      </x:c>
      <x:c r="F19" s="27" t="n">
        <x:f>IF(C19+D19-E19&lt;=0,99,1+SUM(IF(AND(I19+J19-K19&gt;0,OR(I19+J19-K19&lt;C19+D19-E19,AND(I19+J19-K19=C19+D19-E19,1&lt;0))),1,0),IF(AND(O19+P19-Q19&gt;0,OR(O19+P19-Q19&lt;C19+D19-E19,AND(O19+P19-Q19=C19+D19-E19,2&lt;0))),1,0),IF(AND(U19+V19-W19&gt;0,OR(U19+V19-W19&lt;C19+D19-E19,AND(U19+V19-W19=C19+D19-E19,3&lt;0))),1,0),IF(AND(AA19+AB19-AC19&gt;0,OR(AA19+AB19-AC19&lt;C19+D19-E19,AND(AA19+AB19-AC19=C19+D19-E19,4&lt;0))),1,0)))</x:f>
        <x:v>1</x:v>
      </x:c>
      <x:c r="G19" s="6" t="n">
        <x:f>IF('Debt strategy'!$C$16&gt;0,0,MIN(C19+D19-E19,MAX(0,'Debt strategy'!$C$5-SUM(E19,K19,Q19,W19,AC19)-SUM(IF(L19&lt;F19,I19+J19-K19,0),IF(R19&lt;F19,O19+P19-Q19,0),IF(X19&lt;F19,U19+V19-W19,0),IF(AD19&lt;F19,AA19+AB19-AC19,0)))))</x:f>
        <x:v>150</x:v>
      </x:c>
      <x:c r="H19" s="6" t="n">
        <x:f>ROUND(MAX(0,C19+D19-E19-G19),2)</x:f>
        <x:v>1958.11</x:v>
      </x:c>
      <x:c r="I19" s="6" t="n">
        <x:f>N18</x:f>
        <x:v>3797.69</x:v>
      </x:c>
      <x:c r="J19" s="6" t="n">
        <x:f>ROUND(I19*'Debt strategy'!$D$10/12,2)</x:f>
        <x:v>25.32</x:v>
      </x:c>
      <x:c r="K19" s="6" t="n">
        <x:f>MIN(I19+J19,'Debt strategy'!$E$10)</x:f>
        <x:v>150</x:v>
      </x:c>
      <x:c r="L19" s="27" t="n">
        <x:f>IF(I19+J19-K19&lt;=0,99,1+SUM(IF(AND(C19+D19-E19&gt;0,OR(C19+D19-E19&lt;I19+J19-K19,AND(C19+D19-E19=I19+J19-K19,0&lt;1))),1,0),IF(AND(O19+P19-Q19&gt;0,OR(O19+P19-Q19&lt;I19+J19-K19,AND(O19+P19-Q19=I19+J19-K19,2&lt;1))),1,0),IF(AND(U19+V19-W19&gt;0,OR(U19+V19-W19&lt;I19+J19-K19,AND(U19+V19-W19=I19+J19-K19,3&lt;1))),1,0),IF(AND(AA19+AB19-AC19&gt;0,OR(AA19+AB19-AC19&lt;I19+J19-K19,AND(AA19+AB19-AC19=I19+J19-K19,4&lt;1))),1,0)))</x:f>
        <x:v>2</x:v>
      </x:c>
      <x:c r="M19" s="6" t="n">
        <x:f>IF('Debt strategy'!$C$16&gt;0,0,MIN(I19+J19-K19,MAX(0,'Debt strategy'!$C$5-SUM(E19,K19,Q19,W19,AC19)-SUM(IF(F19&lt;L19,C19+D19-E19,0),IF(R19&lt;L19,O19+P19-Q19,0),IF(X19&lt;L19,U19+V19-W19,0),IF(AD19&lt;L19,AA19+AB19-AC19,0)))))</x:f>
        <x:v>0</x:v>
      </x:c>
      <x:c r="N19" s="6" t="n">
        <x:f>ROUND(MAX(0,I19+J19-K19-M19),2)</x:f>
        <x:v>3673.01</x:v>
      </x:c>
      <x:c r="O19" s="6" t="n">
        <x:f>T18</x:f>
        <x:v>0</x:v>
      </x:c>
      <x:c r="P19" s="6" t="n">
        <x:f>ROUND(O19*'Debt strategy'!$D$11/12,2)</x:f>
        <x:v>0</x:v>
      </x:c>
      <x:c r="Q19" s="6" t="n">
        <x:f>MIN(O19+P19,'Debt strategy'!$E$11)</x:f>
        <x:v>0</x:v>
      </x:c>
      <x:c r="R19" s="27" t="n">
        <x:f>IF(O19+P19-Q19&lt;=0,99,1+SUM(IF(AND(C19+D19-E19&gt;0,OR(C19+D19-E19&lt;O19+P19-Q19,AND(C19+D19-E19=O19+P19-Q19,0&lt;2))),1,0),IF(AND(I19+J19-K19&gt;0,OR(I19+J19-K19&lt;O19+P19-Q19,AND(I19+J19-K19=O19+P19-Q19,1&lt;2))),1,0),IF(AND(U19+V19-W19&gt;0,OR(U19+V19-W19&lt;O19+P19-Q19,AND(U19+V19-W19=O19+P19-Q19,3&lt;2))),1,0),IF(AND(AA19+AB19-AC19&gt;0,OR(AA19+AB19-AC19&lt;O19+P19-Q19,AND(AA19+AB19-AC19=O19+P19-Q19,4&lt;2))),1,0)))</x:f>
        <x:v>99</x:v>
      </x:c>
      <x:c r="S19" s="6" t="n">
        <x:f>IF('Debt strategy'!$C$16&gt;0,0,MIN(O19+P19-Q19,MAX(0,'Debt strategy'!$C$5-SUM(E19,K19,Q19,W19,AC19)-SUM(IF(F19&lt;R19,C19+D19-E19,0),IF(L19&lt;R19,I19+J19-K19,0),IF(X19&lt;R19,U19+V19-W19,0),IF(AD19&lt;R19,AA19+AB19-AC19,0)))))</x:f>
        <x:v>0</x:v>
      </x:c>
      <x:c r="T19" s="6" t="n">
        <x:f>ROUND(MAX(0,O19+P19-Q19-S19),2)</x:f>
        <x:v>0</x:v>
      </x:c>
      <x:c r="U19" s="6" t="n">
        <x:f>Z18</x:f>
        <x:v>0</x:v>
      </x:c>
      <x:c r="V19" s="6" t="n">
        <x:f>ROUND(U19*'Debt strategy'!$D$12/12,2)</x:f>
        <x:v>0</x:v>
      </x:c>
      <x:c r="W19" s="6" t="n">
        <x:f>MIN(U19+V19,'Debt strategy'!$E$12)</x:f>
        <x:v>0</x:v>
      </x:c>
      <x:c r="X19" s="27" t="n">
        <x:f>IF(U19+V19-W19&lt;=0,99,1+SUM(IF(AND(C19+D19-E19&gt;0,OR(C19+D19-E19&lt;U19+V19-W19,AND(C19+D19-E19=U19+V19-W19,0&lt;3))),1,0),IF(AND(I19+J19-K19&gt;0,OR(I19+J19-K19&lt;U19+V19-W19,AND(I19+J19-K19=U19+V19-W19,1&lt;3))),1,0),IF(AND(O19+P19-Q19&gt;0,OR(O19+P19-Q19&lt;U19+V19-W19,AND(O19+P19-Q19=U19+V19-W19,2&lt;3))),1,0),IF(AND(AA19+AB19-AC19&gt;0,OR(AA19+AB19-AC19&lt;U19+V19-W19,AND(AA19+AB19-AC19=U19+V19-W19,4&lt;3))),1,0)))</x:f>
        <x:v>99</x:v>
      </x:c>
      <x:c r="Y19" s="6" t="n">
        <x:f>IF('Debt strategy'!$C$16&gt;0,0,MIN(U19+V19-W19,MAX(0,'Debt strategy'!$C$5-SUM(E19,K19,Q19,W19,AC19)-SUM(IF(F19&lt;X19,C19+D19-E19,0),IF(L19&lt;X19,I19+J19-K19,0),IF(R19&lt;X19,O19+P19-Q19,0),IF(AD19&lt;X19,AA19+AB19-AC19,0)))))</x:f>
        <x:v>0</x:v>
      </x:c>
      <x:c r="Z19" s="6" t="n">
        <x:f>ROUND(MAX(0,U19+V19-W19-Y19),2)</x:f>
        <x:v>0</x:v>
      </x:c>
      <x:c r="AA19" s="6" t="n">
        <x:f>AF18</x:f>
        <x:v>0</x:v>
      </x:c>
      <x:c r="AB19" s="6" t="n">
        <x:f>ROUND(AA19*'Debt strategy'!$D$13/12,2)</x:f>
        <x:v>0</x:v>
      </x:c>
      <x:c r="AC19" s="6" t="n">
        <x:f>MIN(AA19+AB19,'Debt strategy'!$E$13)</x:f>
        <x:v>0</x:v>
      </x:c>
      <x:c r="AD19" s="27" t="n">
        <x:f>IF(AA19+AB19-AC19&lt;=0,99,1+SUM(IF(AND(C19+D19-E19&gt;0,OR(C19+D19-E19&lt;AA19+AB19-AC19,AND(C19+D19-E19=AA19+AB19-AC19,0&lt;4))),1,0),IF(AND(I19+J19-K19&gt;0,OR(I19+J19-K19&lt;AA19+AB19-AC19,AND(I19+J19-K19=AA19+AB19-AC19,1&lt;4))),1,0),IF(AND(O19+P19-Q19&gt;0,OR(O19+P19-Q19&lt;AA19+AB19-AC19,AND(O19+P19-Q19=AA19+AB19-AC19,2&lt;4))),1,0),IF(AND(U19+V19-W19&gt;0,OR(U19+V19-W19&lt;AA19+AB19-AC19,AND(U19+V19-W19=AA19+AB19-AC19,3&lt;4))),1,0)))</x:f>
        <x:v>99</x:v>
      </x:c>
      <x:c r="AE19" s="6" t="n">
        <x:f>IF('Debt strategy'!$C$16&gt;0,0,MIN(AA19+AB19-AC19,MAX(0,'Debt strategy'!$C$5-SUM(E19,K19,Q19,W19,AC19)-SUM(IF(F19&lt;AD19,C19+D19-E19,0),IF(L19&lt;AD19,I19+J19-K19,0),IF(R19&lt;AD19,O19+P19-Q19,0),IF(X19&lt;AD19,U19+V19-W19,0)))))</x:f>
        <x:v>0</x:v>
      </x:c>
      <x:c r="AF19" s="6" t="n">
        <x:f>ROUND(MAX(0,AA19+AB19-AC19-AE19),2)</x:f>
        <x:v>0</x:v>
      </x:c>
      <x:c r="AG19" s="6" t="n">
        <x:f>SUM(H19,N19,T19,Z19,AF19)</x:f>
        <x:v>5631.12</x:v>
      </x:c>
      <x:c r="AH19" s="6" t="n">
        <x:f>SUM(D19,J19,P19,V19,AB19)+AH18</x:f>
        <x:v>931.1200000000001</x:v>
      </x:c>
      <x:c r="AI19" s="2"/>
    </x:row>
    <x:row r="20" ht="23" customHeight="1">
      <x:c r="B20" s="2" t="n">
        <x:f>12</x:f>
        <x:v>12</x:v>
      </x:c>
      <x:c r="C20" s="6" t="n">
        <x:f>H19</x:f>
        <x:v>1958.11</x:v>
      </x:c>
      <x:c r="D20" s="6" t="n">
        <x:f>ROUND(C20*'Debt strategy'!$D$9/12,2)</x:f>
        <x:v>35.9</x:v>
      </x:c>
      <x:c r="E20" s="6" t="n">
        <x:f>MIN(C20+D20,'Debt strategy'!$E$9)</x:f>
        <x:v>100</x:v>
      </x:c>
      <x:c r="F20" s="27" t="n">
        <x:f>IF(C20+D20-E20&lt;=0,99,1+SUM(IF(AND(I20+J20-K20&gt;0,OR(I20+J20-K20&lt;C20+D20-E20,AND(I20+J20-K20=C20+D20-E20,1&lt;0))),1,0),IF(AND(O20+P20-Q20&gt;0,OR(O20+P20-Q20&lt;C20+D20-E20,AND(O20+P20-Q20=C20+D20-E20,2&lt;0))),1,0),IF(AND(U20+V20-W20&gt;0,OR(U20+V20-W20&lt;C20+D20-E20,AND(U20+V20-W20=C20+D20-E20,3&lt;0))),1,0),IF(AND(AA20+AB20-AC20&gt;0,OR(AA20+AB20-AC20&lt;C20+D20-E20,AND(AA20+AB20-AC20=C20+D20-E20,4&lt;0))),1,0)))</x:f>
        <x:v>1</x:v>
      </x:c>
      <x:c r="G20" s="6" t="n">
        <x:f>IF('Debt strategy'!$C$16&gt;0,0,MIN(C20+D20-E20,MAX(0,'Debt strategy'!$C$5-SUM(E20,K20,Q20,W20,AC20)-SUM(IF(L20&lt;F20,I20+J20-K20,0),IF(R20&lt;F20,O20+P20-Q20,0),IF(X20&lt;F20,U20+V20-W20,0),IF(AD20&lt;F20,AA20+AB20-AC20,0)))))</x:f>
        <x:v>150</x:v>
      </x:c>
      <x:c r="H20" s="6" t="n">
        <x:f>ROUND(MAX(0,C20+D20-E20-G20),2)</x:f>
        <x:v>1744.01</x:v>
      </x:c>
      <x:c r="I20" s="6" t="n">
        <x:f>N19</x:f>
        <x:v>3673.01</x:v>
      </x:c>
      <x:c r="J20" s="6" t="n">
        <x:f>ROUND(I20*'Debt strategy'!$D$10/12,2)</x:f>
        <x:v>24.49</x:v>
      </x:c>
      <x:c r="K20" s="6" t="n">
        <x:f>MIN(I20+J20,'Debt strategy'!$E$10)</x:f>
        <x:v>150</x:v>
      </x:c>
      <x:c r="L20" s="27" t="n">
        <x:f>IF(I20+J20-K20&lt;=0,99,1+SUM(IF(AND(C20+D20-E20&gt;0,OR(C20+D20-E20&lt;I20+J20-K20,AND(C20+D20-E20=I20+J20-K20,0&lt;1))),1,0),IF(AND(O20+P20-Q20&gt;0,OR(O20+P20-Q20&lt;I20+J20-K20,AND(O20+P20-Q20=I20+J20-K20,2&lt;1))),1,0),IF(AND(U20+V20-W20&gt;0,OR(U20+V20-W20&lt;I20+J20-K20,AND(U20+V20-W20=I20+J20-K20,3&lt;1))),1,0),IF(AND(AA20+AB20-AC20&gt;0,OR(AA20+AB20-AC20&lt;I20+J20-K20,AND(AA20+AB20-AC20=I20+J20-K20,4&lt;1))),1,0)))</x:f>
        <x:v>2</x:v>
      </x:c>
      <x:c r="M20" s="6" t="n">
        <x:f>IF('Debt strategy'!$C$16&gt;0,0,MIN(I20+J20-K20,MAX(0,'Debt strategy'!$C$5-SUM(E20,K20,Q20,W20,AC20)-SUM(IF(F20&lt;L20,C20+D20-E20,0),IF(R20&lt;L20,O20+P20-Q20,0),IF(X20&lt;L20,U20+V20-W20,0),IF(AD20&lt;L20,AA20+AB20-AC20,0)))))</x:f>
        <x:v>0</x:v>
      </x:c>
      <x:c r="N20" s="6" t="n">
        <x:f>ROUND(MAX(0,I20+J20-K20-M20),2)</x:f>
        <x:v>3547.5</x:v>
      </x:c>
      <x:c r="O20" s="6" t="n">
        <x:f>T19</x:f>
        <x:v>0</x:v>
      </x:c>
      <x:c r="P20" s="6" t="n">
        <x:f>ROUND(O20*'Debt strategy'!$D$11/12,2)</x:f>
        <x:v>0</x:v>
      </x:c>
      <x:c r="Q20" s="6" t="n">
        <x:f>MIN(O20+P20,'Debt strategy'!$E$11)</x:f>
        <x:v>0</x:v>
      </x:c>
      <x:c r="R20" s="27" t="n">
        <x:f>IF(O20+P20-Q20&lt;=0,99,1+SUM(IF(AND(C20+D20-E20&gt;0,OR(C20+D20-E20&lt;O20+P20-Q20,AND(C20+D20-E20=O20+P20-Q20,0&lt;2))),1,0),IF(AND(I20+J20-K20&gt;0,OR(I20+J20-K20&lt;O20+P20-Q20,AND(I20+J20-K20=O20+P20-Q20,1&lt;2))),1,0),IF(AND(U20+V20-W20&gt;0,OR(U20+V20-W20&lt;O20+P20-Q20,AND(U20+V20-W20=O20+P20-Q20,3&lt;2))),1,0),IF(AND(AA20+AB20-AC20&gt;0,OR(AA20+AB20-AC20&lt;O20+P20-Q20,AND(AA20+AB20-AC20=O20+P20-Q20,4&lt;2))),1,0)))</x:f>
        <x:v>99</x:v>
      </x:c>
      <x:c r="S20" s="6" t="n">
        <x:f>IF('Debt strategy'!$C$16&gt;0,0,MIN(O20+P20-Q20,MAX(0,'Debt strategy'!$C$5-SUM(E20,K20,Q20,W20,AC20)-SUM(IF(F20&lt;R20,C20+D20-E20,0),IF(L20&lt;R20,I20+J20-K20,0),IF(X20&lt;R20,U20+V20-W20,0),IF(AD20&lt;R20,AA20+AB20-AC20,0)))))</x:f>
        <x:v>0</x:v>
      </x:c>
      <x:c r="T20" s="6" t="n">
        <x:f>ROUND(MAX(0,O20+P20-Q20-S20),2)</x:f>
        <x:v>0</x:v>
      </x:c>
      <x:c r="U20" s="6" t="n">
        <x:f>Z19</x:f>
        <x:v>0</x:v>
      </x:c>
      <x:c r="V20" s="6" t="n">
        <x:f>ROUND(U20*'Debt strategy'!$D$12/12,2)</x:f>
        <x:v>0</x:v>
      </x:c>
      <x:c r="W20" s="6" t="n">
        <x:f>MIN(U20+V20,'Debt strategy'!$E$12)</x:f>
        <x:v>0</x:v>
      </x:c>
      <x:c r="X20" s="27" t="n">
        <x:f>IF(U20+V20-W20&lt;=0,99,1+SUM(IF(AND(C20+D20-E20&gt;0,OR(C20+D20-E20&lt;U20+V20-W20,AND(C20+D20-E20=U20+V20-W20,0&lt;3))),1,0),IF(AND(I20+J20-K20&gt;0,OR(I20+J20-K20&lt;U20+V20-W20,AND(I20+J20-K20=U20+V20-W20,1&lt;3))),1,0),IF(AND(O20+P20-Q20&gt;0,OR(O20+P20-Q20&lt;U20+V20-W20,AND(O20+P20-Q20=U20+V20-W20,2&lt;3))),1,0),IF(AND(AA20+AB20-AC20&gt;0,OR(AA20+AB20-AC20&lt;U20+V20-W20,AND(AA20+AB20-AC20=U20+V20-W20,4&lt;3))),1,0)))</x:f>
        <x:v>99</x:v>
      </x:c>
      <x:c r="Y20" s="6" t="n">
        <x:f>IF('Debt strategy'!$C$16&gt;0,0,MIN(U20+V20-W20,MAX(0,'Debt strategy'!$C$5-SUM(E20,K20,Q20,W20,AC20)-SUM(IF(F20&lt;X20,C20+D20-E20,0),IF(L20&lt;X20,I20+J20-K20,0),IF(R20&lt;X20,O20+P20-Q20,0),IF(AD20&lt;X20,AA20+AB20-AC20,0)))))</x:f>
        <x:v>0</x:v>
      </x:c>
      <x:c r="Z20" s="6" t="n">
        <x:f>ROUND(MAX(0,U20+V20-W20-Y20),2)</x:f>
        <x:v>0</x:v>
      </x:c>
      <x:c r="AA20" s="6" t="n">
        <x:f>AF19</x:f>
        <x:v>0</x:v>
      </x:c>
      <x:c r="AB20" s="6" t="n">
        <x:f>ROUND(AA20*'Debt strategy'!$D$13/12,2)</x:f>
        <x:v>0</x:v>
      </x:c>
      <x:c r="AC20" s="6" t="n">
        <x:f>MIN(AA20+AB20,'Debt strategy'!$E$13)</x:f>
        <x:v>0</x:v>
      </x:c>
      <x:c r="AD20" s="27" t="n">
        <x:f>IF(AA20+AB20-AC20&lt;=0,99,1+SUM(IF(AND(C20+D20-E20&gt;0,OR(C20+D20-E20&lt;AA20+AB20-AC20,AND(C20+D20-E20=AA20+AB20-AC20,0&lt;4))),1,0),IF(AND(I20+J20-K20&gt;0,OR(I20+J20-K20&lt;AA20+AB20-AC20,AND(I20+J20-K20=AA20+AB20-AC20,1&lt;4))),1,0),IF(AND(O20+P20-Q20&gt;0,OR(O20+P20-Q20&lt;AA20+AB20-AC20,AND(O20+P20-Q20=AA20+AB20-AC20,2&lt;4))),1,0),IF(AND(U20+V20-W20&gt;0,OR(U20+V20-W20&lt;AA20+AB20-AC20,AND(U20+V20-W20=AA20+AB20-AC20,3&lt;4))),1,0)))</x:f>
        <x:v>99</x:v>
      </x:c>
      <x:c r="AE20" s="6" t="n">
        <x:f>IF('Debt strategy'!$C$16&gt;0,0,MIN(AA20+AB20-AC20,MAX(0,'Debt strategy'!$C$5-SUM(E20,K20,Q20,W20,AC20)-SUM(IF(F20&lt;AD20,C20+D20-E20,0),IF(L20&lt;AD20,I20+J20-K20,0),IF(R20&lt;AD20,O20+P20-Q20,0),IF(X20&lt;AD20,U20+V20-W20,0)))))</x:f>
        <x:v>0</x:v>
      </x:c>
      <x:c r="AF20" s="6" t="n">
        <x:f>ROUND(MAX(0,AA20+AB20-AC20-AE20),2)</x:f>
        <x:v>0</x:v>
      </x:c>
      <x:c r="AG20" s="6" t="n">
        <x:f>SUM(H20,N20,T20,Z20,AF20)</x:f>
        <x:v>5291.51</x:v>
      </x:c>
      <x:c r="AH20" s="6" t="n">
        <x:f>SUM(D20,J20,P20,V20,AB20)+AH19</x:f>
        <x:v>991.5100000000001</x:v>
      </x:c>
      <x:c r="AI20" s="2"/>
    </x:row>
    <x:row r="21" ht="23" customHeight="1">
      <x:c r="B21" s="2" t="n">
        <x:f>13</x:f>
        <x:v>13</x:v>
      </x:c>
      <x:c r="C21" s="6" t="n">
        <x:f>H20</x:f>
        <x:v>1744.01</x:v>
      </x:c>
      <x:c r="D21" s="6" t="n">
        <x:f>ROUND(C21*'Debt strategy'!$D$9/12,2)</x:f>
        <x:v>31.97</x:v>
      </x:c>
      <x:c r="E21" s="6" t="n">
        <x:f>MIN(C21+D21,'Debt strategy'!$E$9)</x:f>
        <x:v>100</x:v>
      </x:c>
      <x:c r="F21" s="27" t="n">
        <x:f>IF(C21+D21-E21&lt;=0,99,1+SUM(IF(AND(I21+J21-K21&gt;0,OR(I21+J21-K21&lt;C21+D21-E21,AND(I21+J21-K21=C21+D21-E21,1&lt;0))),1,0),IF(AND(O21+P21-Q21&gt;0,OR(O21+P21-Q21&lt;C21+D21-E21,AND(O21+P21-Q21=C21+D21-E21,2&lt;0))),1,0),IF(AND(U21+V21-W21&gt;0,OR(U21+V21-W21&lt;C21+D21-E21,AND(U21+V21-W21=C21+D21-E21,3&lt;0))),1,0),IF(AND(AA21+AB21-AC21&gt;0,OR(AA21+AB21-AC21&lt;C21+D21-E21,AND(AA21+AB21-AC21=C21+D21-E21,4&lt;0))),1,0)))</x:f>
        <x:v>1</x:v>
      </x:c>
      <x:c r="G21" s="6" t="n">
        <x:f>IF('Debt strategy'!$C$16&gt;0,0,MIN(C21+D21-E21,MAX(0,'Debt strategy'!$C$5-SUM(E21,K21,Q21,W21,AC21)-SUM(IF(L21&lt;F21,I21+J21-K21,0),IF(R21&lt;F21,O21+P21-Q21,0),IF(X21&lt;F21,U21+V21-W21,0),IF(AD21&lt;F21,AA21+AB21-AC21,0)))))</x:f>
        <x:v>150</x:v>
      </x:c>
      <x:c r="H21" s="6" t="n">
        <x:f>ROUND(MAX(0,C21+D21-E21-G21),2)</x:f>
        <x:v>1525.98</x:v>
      </x:c>
      <x:c r="I21" s="6" t="n">
        <x:f>N20</x:f>
        <x:v>3547.5</x:v>
      </x:c>
      <x:c r="J21" s="6" t="n">
        <x:f>ROUND(I21*'Debt strategy'!$D$10/12,2)</x:f>
        <x:v>23.65</x:v>
      </x:c>
      <x:c r="K21" s="6" t="n">
        <x:f>MIN(I21+J21,'Debt strategy'!$E$10)</x:f>
        <x:v>150</x:v>
      </x:c>
      <x:c r="L21" s="27" t="n">
        <x:f>IF(I21+J21-K21&lt;=0,99,1+SUM(IF(AND(C21+D21-E21&gt;0,OR(C21+D21-E21&lt;I21+J21-K21,AND(C21+D21-E21=I21+J21-K21,0&lt;1))),1,0),IF(AND(O21+P21-Q21&gt;0,OR(O21+P21-Q21&lt;I21+J21-K21,AND(O21+P21-Q21=I21+J21-K21,2&lt;1))),1,0),IF(AND(U21+V21-W21&gt;0,OR(U21+V21-W21&lt;I21+J21-K21,AND(U21+V21-W21=I21+J21-K21,3&lt;1))),1,0),IF(AND(AA21+AB21-AC21&gt;0,OR(AA21+AB21-AC21&lt;I21+J21-K21,AND(AA21+AB21-AC21=I21+J21-K21,4&lt;1))),1,0)))</x:f>
        <x:v>2</x:v>
      </x:c>
      <x:c r="M21" s="6" t="n">
        <x:f>IF('Debt strategy'!$C$16&gt;0,0,MIN(I21+J21-K21,MAX(0,'Debt strategy'!$C$5-SUM(E21,K21,Q21,W21,AC21)-SUM(IF(F21&lt;L21,C21+D21-E21,0),IF(R21&lt;L21,O21+P21-Q21,0),IF(X21&lt;L21,U21+V21-W21,0),IF(AD21&lt;L21,AA21+AB21-AC21,0)))))</x:f>
        <x:v>0</x:v>
      </x:c>
      <x:c r="N21" s="6" t="n">
        <x:f>ROUND(MAX(0,I21+J21-K21-M21),2)</x:f>
        <x:v>3421.15</x:v>
      </x:c>
      <x:c r="O21" s="6" t="n">
        <x:f>T20</x:f>
        <x:v>0</x:v>
      </x:c>
      <x:c r="P21" s="6" t="n">
        <x:f>ROUND(O21*'Debt strategy'!$D$11/12,2)</x:f>
        <x:v>0</x:v>
      </x:c>
      <x:c r="Q21" s="6" t="n">
        <x:f>MIN(O21+P21,'Debt strategy'!$E$11)</x:f>
        <x:v>0</x:v>
      </x:c>
      <x:c r="R21" s="27" t="n">
        <x:f>IF(O21+P21-Q21&lt;=0,99,1+SUM(IF(AND(C21+D21-E21&gt;0,OR(C21+D21-E21&lt;O21+P21-Q21,AND(C21+D21-E21=O21+P21-Q21,0&lt;2))),1,0),IF(AND(I21+J21-K21&gt;0,OR(I21+J21-K21&lt;O21+P21-Q21,AND(I21+J21-K21=O21+P21-Q21,1&lt;2))),1,0),IF(AND(U21+V21-W21&gt;0,OR(U21+V21-W21&lt;O21+P21-Q21,AND(U21+V21-W21=O21+P21-Q21,3&lt;2))),1,0),IF(AND(AA21+AB21-AC21&gt;0,OR(AA21+AB21-AC21&lt;O21+P21-Q21,AND(AA21+AB21-AC21=O21+P21-Q21,4&lt;2))),1,0)))</x:f>
        <x:v>99</x:v>
      </x:c>
      <x:c r="S21" s="6" t="n">
        <x:f>IF('Debt strategy'!$C$16&gt;0,0,MIN(O21+P21-Q21,MAX(0,'Debt strategy'!$C$5-SUM(E21,K21,Q21,W21,AC21)-SUM(IF(F21&lt;R21,C21+D21-E21,0),IF(L21&lt;R21,I21+J21-K21,0),IF(X21&lt;R21,U21+V21-W21,0),IF(AD21&lt;R21,AA21+AB21-AC21,0)))))</x:f>
        <x:v>0</x:v>
      </x:c>
      <x:c r="T21" s="6" t="n">
        <x:f>ROUND(MAX(0,O21+P21-Q21-S21),2)</x:f>
        <x:v>0</x:v>
      </x:c>
      <x:c r="U21" s="6" t="n">
        <x:f>Z20</x:f>
        <x:v>0</x:v>
      </x:c>
      <x:c r="V21" s="6" t="n">
        <x:f>ROUND(U21*'Debt strategy'!$D$12/12,2)</x:f>
        <x:v>0</x:v>
      </x:c>
      <x:c r="W21" s="6" t="n">
        <x:f>MIN(U21+V21,'Debt strategy'!$E$12)</x:f>
        <x:v>0</x:v>
      </x:c>
      <x:c r="X21" s="27" t="n">
        <x:f>IF(U21+V21-W21&lt;=0,99,1+SUM(IF(AND(C21+D21-E21&gt;0,OR(C21+D21-E21&lt;U21+V21-W21,AND(C21+D21-E21=U21+V21-W21,0&lt;3))),1,0),IF(AND(I21+J21-K21&gt;0,OR(I21+J21-K21&lt;U21+V21-W21,AND(I21+J21-K21=U21+V21-W21,1&lt;3))),1,0),IF(AND(O21+P21-Q21&gt;0,OR(O21+P21-Q21&lt;U21+V21-W21,AND(O21+P21-Q21=U21+V21-W21,2&lt;3))),1,0),IF(AND(AA21+AB21-AC21&gt;0,OR(AA21+AB21-AC21&lt;U21+V21-W21,AND(AA21+AB21-AC21=U21+V21-W21,4&lt;3))),1,0)))</x:f>
        <x:v>99</x:v>
      </x:c>
      <x:c r="Y21" s="6" t="n">
        <x:f>IF('Debt strategy'!$C$16&gt;0,0,MIN(U21+V21-W21,MAX(0,'Debt strategy'!$C$5-SUM(E21,K21,Q21,W21,AC21)-SUM(IF(F21&lt;X21,C21+D21-E21,0),IF(L21&lt;X21,I21+J21-K21,0),IF(R21&lt;X21,O21+P21-Q21,0),IF(AD21&lt;X21,AA21+AB21-AC21,0)))))</x:f>
        <x:v>0</x:v>
      </x:c>
      <x:c r="Z21" s="6" t="n">
        <x:f>ROUND(MAX(0,U21+V21-W21-Y21),2)</x:f>
        <x:v>0</x:v>
      </x:c>
      <x:c r="AA21" s="6" t="n">
        <x:f>AF20</x:f>
        <x:v>0</x:v>
      </x:c>
      <x:c r="AB21" s="6" t="n">
        <x:f>ROUND(AA21*'Debt strategy'!$D$13/12,2)</x:f>
        <x:v>0</x:v>
      </x:c>
      <x:c r="AC21" s="6" t="n">
        <x:f>MIN(AA21+AB21,'Debt strategy'!$E$13)</x:f>
        <x:v>0</x:v>
      </x:c>
      <x:c r="AD21" s="27" t="n">
        <x:f>IF(AA21+AB21-AC21&lt;=0,99,1+SUM(IF(AND(C21+D21-E21&gt;0,OR(C21+D21-E21&lt;AA21+AB21-AC21,AND(C21+D21-E21=AA21+AB21-AC21,0&lt;4))),1,0),IF(AND(I21+J21-K21&gt;0,OR(I21+J21-K21&lt;AA21+AB21-AC21,AND(I21+J21-K21=AA21+AB21-AC21,1&lt;4))),1,0),IF(AND(O21+P21-Q21&gt;0,OR(O21+P21-Q21&lt;AA21+AB21-AC21,AND(O21+P21-Q21=AA21+AB21-AC21,2&lt;4))),1,0),IF(AND(U21+V21-W21&gt;0,OR(U21+V21-W21&lt;AA21+AB21-AC21,AND(U21+V21-W21=AA21+AB21-AC21,3&lt;4))),1,0)))</x:f>
        <x:v>99</x:v>
      </x:c>
      <x:c r="AE21" s="6" t="n">
        <x:f>IF('Debt strategy'!$C$16&gt;0,0,MIN(AA21+AB21-AC21,MAX(0,'Debt strategy'!$C$5-SUM(E21,K21,Q21,W21,AC21)-SUM(IF(F21&lt;AD21,C21+D21-E21,0),IF(L21&lt;AD21,I21+J21-K21,0),IF(R21&lt;AD21,O21+P21-Q21,0),IF(X21&lt;AD21,U21+V21-W21,0)))))</x:f>
        <x:v>0</x:v>
      </x:c>
      <x:c r="AF21" s="6" t="n">
        <x:f>ROUND(MAX(0,AA21+AB21-AC21-AE21),2)</x:f>
        <x:v>0</x:v>
      </x:c>
      <x:c r="AG21" s="6" t="n">
        <x:f>SUM(H21,N21,T21,Z21,AF21)</x:f>
        <x:v>4947.13</x:v>
      </x:c>
      <x:c r="AH21" s="6" t="n">
        <x:f>SUM(D21,J21,P21,V21,AB21)+AH20</x:f>
        <x:v>1047.13</x:v>
      </x:c>
      <x:c r="AI21" s="2"/>
    </x:row>
    <x:row r="22" ht="23" customHeight="1">
      <x:c r="B22" s="2" t="n">
        <x:f>14</x:f>
        <x:v>14</x:v>
      </x:c>
      <x:c r="C22" s="6" t="n">
        <x:f>H21</x:f>
        <x:v>1525.98</x:v>
      </x:c>
      <x:c r="D22" s="6" t="n">
        <x:f>ROUND(C22*'Debt strategy'!$D$9/12,2)</x:f>
        <x:v>27.98</x:v>
      </x:c>
      <x:c r="E22" s="6" t="n">
        <x:f>MIN(C22+D22,'Debt strategy'!$E$9)</x:f>
        <x:v>100</x:v>
      </x:c>
      <x:c r="F22" s="27" t="n">
        <x:f>IF(C22+D22-E22&lt;=0,99,1+SUM(IF(AND(I22+J22-K22&gt;0,OR(I22+J22-K22&lt;C22+D22-E22,AND(I22+J22-K22=C22+D22-E22,1&lt;0))),1,0),IF(AND(O22+P22-Q22&gt;0,OR(O22+P22-Q22&lt;C22+D22-E22,AND(O22+P22-Q22=C22+D22-E22,2&lt;0))),1,0),IF(AND(U22+V22-W22&gt;0,OR(U22+V22-W22&lt;C22+D22-E22,AND(U22+V22-W22=C22+D22-E22,3&lt;0))),1,0),IF(AND(AA22+AB22-AC22&gt;0,OR(AA22+AB22-AC22&lt;C22+D22-E22,AND(AA22+AB22-AC22=C22+D22-E22,4&lt;0))),1,0)))</x:f>
        <x:v>1</x:v>
      </x:c>
      <x:c r="G22" s="6" t="n">
        <x:f>IF('Debt strategy'!$C$16&gt;0,0,MIN(C22+D22-E22,MAX(0,'Debt strategy'!$C$5-SUM(E22,K22,Q22,W22,AC22)-SUM(IF(L22&lt;F22,I22+J22-K22,0),IF(R22&lt;F22,O22+P22-Q22,0),IF(X22&lt;F22,U22+V22-W22,0),IF(AD22&lt;F22,AA22+AB22-AC22,0)))))</x:f>
        <x:v>150</x:v>
      </x:c>
      <x:c r="H22" s="6" t="n">
        <x:f>ROUND(MAX(0,C22+D22-E22-G22),2)</x:f>
        <x:v>1303.96</x:v>
      </x:c>
      <x:c r="I22" s="6" t="n">
        <x:f>N21</x:f>
        <x:v>3421.15</x:v>
      </x:c>
      <x:c r="J22" s="6" t="n">
        <x:f>ROUND(I22*'Debt strategy'!$D$10/12,2)</x:f>
        <x:v>22.81</x:v>
      </x:c>
      <x:c r="K22" s="6" t="n">
        <x:f>MIN(I22+J22,'Debt strategy'!$E$10)</x:f>
        <x:v>150</x:v>
      </x:c>
      <x:c r="L22" s="27" t="n">
        <x:f>IF(I22+J22-K22&lt;=0,99,1+SUM(IF(AND(C22+D22-E22&gt;0,OR(C22+D22-E22&lt;I22+J22-K22,AND(C22+D22-E22=I22+J22-K22,0&lt;1))),1,0),IF(AND(O22+P22-Q22&gt;0,OR(O22+P22-Q22&lt;I22+J22-K22,AND(O22+P22-Q22=I22+J22-K22,2&lt;1))),1,0),IF(AND(U22+V22-W22&gt;0,OR(U22+V22-W22&lt;I22+J22-K22,AND(U22+V22-W22=I22+J22-K22,3&lt;1))),1,0),IF(AND(AA22+AB22-AC22&gt;0,OR(AA22+AB22-AC22&lt;I22+J22-K22,AND(AA22+AB22-AC22=I22+J22-K22,4&lt;1))),1,0)))</x:f>
        <x:v>2</x:v>
      </x:c>
      <x:c r="M22" s="6" t="n">
        <x:f>IF('Debt strategy'!$C$16&gt;0,0,MIN(I22+J22-K22,MAX(0,'Debt strategy'!$C$5-SUM(E22,K22,Q22,W22,AC22)-SUM(IF(F22&lt;L22,C22+D22-E22,0),IF(R22&lt;L22,O22+P22-Q22,0),IF(X22&lt;L22,U22+V22-W22,0),IF(AD22&lt;L22,AA22+AB22-AC22,0)))))</x:f>
        <x:v>0</x:v>
      </x:c>
      <x:c r="N22" s="6" t="n">
        <x:f>ROUND(MAX(0,I22+J22-K22-M22),2)</x:f>
        <x:v>3293.96</x:v>
      </x:c>
      <x:c r="O22" s="6" t="n">
        <x:f>T21</x:f>
        <x:v>0</x:v>
      </x:c>
      <x:c r="P22" s="6" t="n">
        <x:f>ROUND(O22*'Debt strategy'!$D$11/12,2)</x:f>
        <x:v>0</x:v>
      </x:c>
      <x:c r="Q22" s="6" t="n">
        <x:f>MIN(O22+P22,'Debt strategy'!$E$11)</x:f>
        <x:v>0</x:v>
      </x:c>
      <x:c r="R22" s="27" t="n">
        <x:f>IF(O22+P22-Q22&lt;=0,99,1+SUM(IF(AND(C22+D22-E22&gt;0,OR(C22+D22-E22&lt;O22+P22-Q22,AND(C22+D22-E22=O22+P22-Q22,0&lt;2))),1,0),IF(AND(I22+J22-K22&gt;0,OR(I22+J22-K22&lt;O22+P22-Q22,AND(I22+J22-K22=O22+P22-Q22,1&lt;2))),1,0),IF(AND(U22+V22-W22&gt;0,OR(U22+V22-W22&lt;O22+P22-Q22,AND(U22+V22-W22=O22+P22-Q22,3&lt;2))),1,0),IF(AND(AA22+AB22-AC22&gt;0,OR(AA22+AB22-AC22&lt;O22+P22-Q22,AND(AA22+AB22-AC22=O22+P22-Q22,4&lt;2))),1,0)))</x:f>
        <x:v>99</x:v>
      </x:c>
      <x:c r="S22" s="6" t="n">
        <x:f>IF('Debt strategy'!$C$16&gt;0,0,MIN(O22+P22-Q22,MAX(0,'Debt strategy'!$C$5-SUM(E22,K22,Q22,W22,AC22)-SUM(IF(F22&lt;R22,C22+D22-E22,0),IF(L22&lt;R22,I22+J22-K22,0),IF(X22&lt;R22,U22+V22-W22,0),IF(AD22&lt;R22,AA22+AB22-AC22,0)))))</x:f>
        <x:v>0</x:v>
      </x:c>
      <x:c r="T22" s="6" t="n">
        <x:f>ROUND(MAX(0,O22+P22-Q22-S22),2)</x:f>
        <x:v>0</x:v>
      </x:c>
      <x:c r="U22" s="6" t="n">
        <x:f>Z21</x:f>
        <x:v>0</x:v>
      </x:c>
      <x:c r="V22" s="6" t="n">
        <x:f>ROUND(U22*'Debt strategy'!$D$12/12,2)</x:f>
        <x:v>0</x:v>
      </x:c>
      <x:c r="W22" s="6" t="n">
        <x:f>MIN(U22+V22,'Debt strategy'!$E$12)</x:f>
        <x:v>0</x:v>
      </x:c>
      <x:c r="X22" s="27" t="n">
        <x:f>IF(U22+V22-W22&lt;=0,99,1+SUM(IF(AND(C22+D22-E22&gt;0,OR(C22+D22-E22&lt;U22+V22-W22,AND(C22+D22-E22=U22+V22-W22,0&lt;3))),1,0),IF(AND(I22+J22-K22&gt;0,OR(I22+J22-K22&lt;U22+V22-W22,AND(I22+J22-K22=U22+V22-W22,1&lt;3))),1,0),IF(AND(O22+P22-Q22&gt;0,OR(O22+P22-Q22&lt;U22+V22-W22,AND(O22+P22-Q22=U22+V22-W22,2&lt;3))),1,0),IF(AND(AA22+AB22-AC22&gt;0,OR(AA22+AB22-AC22&lt;U22+V22-W22,AND(AA22+AB22-AC22=U22+V22-W22,4&lt;3))),1,0)))</x:f>
        <x:v>99</x:v>
      </x:c>
      <x:c r="Y22" s="6" t="n">
        <x:f>IF('Debt strategy'!$C$16&gt;0,0,MIN(U22+V22-W22,MAX(0,'Debt strategy'!$C$5-SUM(E22,K22,Q22,W22,AC22)-SUM(IF(F22&lt;X22,C22+D22-E22,0),IF(L22&lt;X22,I22+J22-K22,0),IF(R22&lt;X22,O22+P22-Q22,0),IF(AD22&lt;X22,AA22+AB22-AC22,0)))))</x:f>
        <x:v>0</x:v>
      </x:c>
      <x:c r="Z22" s="6" t="n">
        <x:f>ROUND(MAX(0,U22+V22-W22-Y22),2)</x:f>
        <x:v>0</x:v>
      </x:c>
      <x:c r="AA22" s="6" t="n">
        <x:f>AF21</x:f>
        <x:v>0</x:v>
      </x:c>
      <x:c r="AB22" s="6" t="n">
        <x:f>ROUND(AA22*'Debt strategy'!$D$13/12,2)</x:f>
        <x:v>0</x:v>
      </x:c>
      <x:c r="AC22" s="6" t="n">
        <x:f>MIN(AA22+AB22,'Debt strategy'!$E$13)</x:f>
        <x:v>0</x:v>
      </x:c>
      <x:c r="AD22" s="27" t="n">
        <x:f>IF(AA22+AB22-AC22&lt;=0,99,1+SUM(IF(AND(C22+D22-E22&gt;0,OR(C22+D22-E22&lt;AA22+AB22-AC22,AND(C22+D22-E22=AA22+AB22-AC22,0&lt;4))),1,0),IF(AND(I22+J22-K22&gt;0,OR(I22+J22-K22&lt;AA22+AB22-AC22,AND(I22+J22-K22=AA22+AB22-AC22,1&lt;4))),1,0),IF(AND(O22+P22-Q22&gt;0,OR(O22+P22-Q22&lt;AA22+AB22-AC22,AND(O22+P22-Q22=AA22+AB22-AC22,2&lt;4))),1,0),IF(AND(U22+V22-W22&gt;0,OR(U22+V22-W22&lt;AA22+AB22-AC22,AND(U22+V22-W22=AA22+AB22-AC22,3&lt;4))),1,0)))</x:f>
        <x:v>99</x:v>
      </x:c>
      <x:c r="AE22" s="6" t="n">
        <x:f>IF('Debt strategy'!$C$16&gt;0,0,MIN(AA22+AB22-AC22,MAX(0,'Debt strategy'!$C$5-SUM(E22,K22,Q22,W22,AC22)-SUM(IF(F22&lt;AD22,C22+D22-E22,0),IF(L22&lt;AD22,I22+J22-K22,0),IF(R22&lt;AD22,O22+P22-Q22,0),IF(X22&lt;AD22,U22+V22-W22,0)))))</x:f>
        <x:v>0</x:v>
      </x:c>
      <x:c r="AF22" s="6" t="n">
        <x:f>ROUND(MAX(0,AA22+AB22-AC22-AE22),2)</x:f>
        <x:v>0</x:v>
      </x:c>
      <x:c r="AG22" s="6" t="n">
        <x:f>SUM(H22,N22,T22,Z22,AF22)</x:f>
        <x:v>4597.92</x:v>
      </x:c>
      <x:c r="AH22" s="6" t="n">
        <x:f>SUM(D22,J22,P22,V22,AB22)+AH21</x:f>
        <x:v>1097.92</x:v>
      </x:c>
      <x:c r="AI22" s="2"/>
    </x:row>
    <x:row r="23" ht="23" customHeight="1">
      <x:c r="B23" s="2" t="n">
        <x:f>15</x:f>
        <x:v>15</x:v>
      </x:c>
      <x:c r="C23" s="6" t="n">
        <x:f>H22</x:f>
        <x:v>1303.96</x:v>
      </x:c>
      <x:c r="D23" s="6" t="n">
        <x:f>ROUND(C23*'Debt strategy'!$D$9/12,2)</x:f>
        <x:v>23.91</x:v>
      </x:c>
      <x:c r="E23" s="6" t="n">
        <x:f>MIN(C23+D23,'Debt strategy'!$E$9)</x:f>
        <x:v>100</x:v>
      </x:c>
      <x:c r="F23" s="27" t="n">
        <x:f>IF(C23+D23-E23&lt;=0,99,1+SUM(IF(AND(I23+J23-K23&gt;0,OR(I23+J23-K23&lt;C23+D23-E23,AND(I23+J23-K23=C23+D23-E23,1&lt;0))),1,0),IF(AND(O23+P23-Q23&gt;0,OR(O23+P23-Q23&lt;C23+D23-E23,AND(O23+P23-Q23=C23+D23-E23,2&lt;0))),1,0),IF(AND(U23+V23-W23&gt;0,OR(U23+V23-W23&lt;C23+D23-E23,AND(U23+V23-W23=C23+D23-E23,3&lt;0))),1,0),IF(AND(AA23+AB23-AC23&gt;0,OR(AA23+AB23-AC23&lt;C23+D23-E23,AND(AA23+AB23-AC23=C23+D23-E23,4&lt;0))),1,0)))</x:f>
        <x:v>1</x:v>
      </x:c>
      <x:c r="G23" s="6" t="n">
        <x:f>IF('Debt strategy'!$C$16&gt;0,0,MIN(C23+D23-E23,MAX(0,'Debt strategy'!$C$5-SUM(E23,K23,Q23,W23,AC23)-SUM(IF(L23&lt;F23,I23+J23-K23,0),IF(R23&lt;F23,O23+P23-Q23,0),IF(X23&lt;F23,U23+V23-W23,0),IF(AD23&lt;F23,AA23+AB23-AC23,0)))))</x:f>
        <x:v>150</x:v>
      </x:c>
      <x:c r="H23" s="6" t="n">
        <x:f>ROUND(MAX(0,C23+D23-E23-G23),2)</x:f>
        <x:v>1077.87</x:v>
      </x:c>
      <x:c r="I23" s="6" t="n">
        <x:f>N22</x:f>
        <x:v>3293.96</x:v>
      </x:c>
      <x:c r="J23" s="6" t="n">
        <x:f>ROUND(I23*'Debt strategy'!$D$10/12,2)</x:f>
        <x:v>21.96</x:v>
      </x:c>
      <x:c r="K23" s="6" t="n">
        <x:f>MIN(I23+J23,'Debt strategy'!$E$10)</x:f>
        <x:v>150</x:v>
      </x:c>
      <x:c r="L23" s="27" t="n">
        <x:f>IF(I23+J23-K23&lt;=0,99,1+SUM(IF(AND(C23+D23-E23&gt;0,OR(C23+D23-E23&lt;I23+J23-K23,AND(C23+D23-E23=I23+J23-K23,0&lt;1))),1,0),IF(AND(O23+P23-Q23&gt;0,OR(O23+P23-Q23&lt;I23+J23-K23,AND(O23+P23-Q23=I23+J23-K23,2&lt;1))),1,0),IF(AND(U23+V23-W23&gt;0,OR(U23+V23-W23&lt;I23+J23-K23,AND(U23+V23-W23=I23+J23-K23,3&lt;1))),1,0),IF(AND(AA23+AB23-AC23&gt;0,OR(AA23+AB23-AC23&lt;I23+J23-K23,AND(AA23+AB23-AC23=I23+J23-K23,4&lt;1))),1,0)))</x:f>
        <x:v>2</x:v>
      </x:c>
      <x:c r="M23" s="6" t="n">
        <x:f>IF('Debt strategy'!$C$16&gt;0,0,MIN(I23+J23-K23,MAX(0,'Debt strategy'!$C$5-SUM(E23,K23,Q23,W23,AC23)-SUM(IF(F23&lt;L23,C23+D23-E23,0),IF(R23&lt;L23,O23+P23-Q23,0),IF(X23&lt;L23,U23+V23-W23,0),IF(AD23&lt;L23,AA23+AB23-AC23,0)))))</x:f>
        <x:v>0</x:v>
      </x:c>
      <x:c r="N23" s="6" t="n">
        <x:f>ROUND(MAX(0,I23+J23-K23-M23),2)</x:f>
        <x:v>3165.92</x:v>
      </x:c>
      <x:c r="O23" s="6" t="n">
        <x:f>T22</x:f>
        <x:v>0</x:v>
      </x:c>
      <x:c r="P23" s="6" t="n">
        <x:f>ROUND(O23*'Debt strategy'!$D$11/12,2)</x:f>
        <x:v>0</x:v>
      </x:c>
      <x:c r="Q23" s="6" t="n">
        <x:f>MIN(O23+P23,'Debt strategy'!$E$11)</x:f>
        <x:v>0</x:v>
      </x:c>
      <x:c r="R23" s="27" t="n">
        <x:f>IF(O23+P23-Q23&lt;=0,99,1+SUM(IF(AND(C23+D23-E23&gt;0,OR(C23+D23-E23&lt;O23+P23-Q23,AND(C23+D23-E23=O23+P23-Q23,0&lt;2))),1,0),IF(AND(I23+J23-K23&gt;0,OR(I23+J23-K23&lt;O23+P23-Q23,AND(I23+J23-K23=O23+P23-Q23,1&lt;2))),1,0),IF(AND(U23+V23-W23&gt;0,OR(U23+V23-W23&lt;O23+P23-Q23,AND(U23+V23-W23=O23+P23-Q23,3&lt;2))),1,0),IF(AND(AA23+AB23-AC23&gt;0,OR(AA23+AB23-AC23&lt;O23+P23-Q23,AND(AA23+AB23-AC23=O23+P23-Q23,4&lt;2))),1,0)))</x:f>
        <x:v>99</x:v>
      </x:c>
      <x:c r="S23" s="6" t="n">
        <x:f>IF('Debt strategy'!$C$16&gt;0,0,MIN(O23+P23-Q23,MAX(0,'Debt strategy'!$C$5-SUM(E23,K23,Q23,W23,AC23)-SUM(IF(F23&lt;R23,C23+D23-E23,0),IF(L23&lt;R23,I23+J23-K23,0),IF(X23&lt;R23,U23+V23-W23,0),IF(AD23&lt;R23,AA23+AB23-AC23,0)))))</x:f>
        <x:v>0</x:v>
      </x:c>
      <x:c r="T23" s="6" t="n">
        <x:f>ROUND(MAX(0,O23+P23-Q23-S23),2)</x:f>
        <x:v>0</x:v>
      </x:c>
      <x:c r="U23" s="6" t="n">
        <x:f>Z22</x:f>
        <x:v>0</x:v>
      </x:c>
      <x:c r="V23" s="6" t="n">
        <x:f>ROUND(U23*'Debt strategy'!$D$12/12,2)</x:f>
        <x:v>0</x:v>
      </x:c>
      <x:c r="W23" s="6" t="n">
        <x:f>MIN(U23+V23,'Debt strategy'!$E$12)</x:f>
        <x:v>0</x:v>
      </x:c>
      <x:c r="X23" s="27" t="n">
        <x:f>IF(U23+V23-W23&lt;=0,99,1+SUM(IF(AND(C23+D23-E23&gt;0,OR(C23+D23-E23&lt;U23+V23-W23,AND(C23+D23-E23=U23+V23-W23,0&lt;3))),1,0),IF(AND(I23+J23-K23&gt;0,OR(I23+J23-K23&lt;U23+V23-W23,AND(I23+J23-K23=U23+V23-W23,1&lt;3))),1,0),IF(AND(O23+P23-Q23&gt;0,OR(O23+P23-Q23&lt;U23+V23-W23,AND(O23+P23-Q23=U23+V23-W23,2&lt;3))),1,0),IF(AND(AA23+AB23-AC23&gt;0,OR(AA23+AB23-AC23&lt;U23+V23-W23,AND(AA23+AB23-AC23=U23+V23-W23,4&lt;3))),1,0)))</x:f>
        <x:v>99</x:v>
      </x:c>
      <x:c r="Y23" s="6" t="n">
        <x:f>IF('Debt strategy'!$C$16&gt;0,0,MIN(U23+V23-W23,MAX(0,'Debt strategy'!$C$5-SUM(E23,K23,Q23,W23,AC23)-SUM(IF(F23&lt;X23,C23+D23-E23,0),IF(L23&lt;X23,I23+J23-K23,0),IF(R23&lt;X23,O23+P23-Q23,0),IF(AD23&lt;X23,AA23+AB23-AC23,0)))))</x:f>
        <x:v>0</x:v>
      </x:c>
      <x:c r="Z23" s="6" t="n">
        <x:f>ROUND(MAX(0,U23+V23-W23-Y23),2)</x:f>
        <x:v>0</x:v>
      </x:c>
      <x:c r="AA23" s="6" t="n">
        <x:f>AF22</x:f>
        <x:v>0</x:v>
      </x:c>
      <x:c r="AB23" s="6" t="n">
        <x:f>ROUND(AA23*'Debt strategy'!$D$13/12,2)</x:f>
        <x:v>0</x:v>
      </x:c>
      <x:c r="AC23" s="6" t="n">
        <x:f>MIN(AA23+AB23,'Debt strategy'!$E$13)</x:f>
        <x:v>0</x:v>
      </x:c>
      <x:c r="AD23" s="27" t="n">
        <x:f>IF(AA23+AB23-AC23&lt;=0,99,1+SUM(IF(AND(C23+D23-E23&gt;0,OR(C23+D23-E23&lt;AA23+AB23-AC23,AND(C23+D23-E23=AA23+AB23-AC23,0&lt;4))),1,0),IF(AND(I23+J23-K23&gt;0,OR(I23+J23-K23&lt;AA23+AB23-AC23,AND(I23+J23-K23=AA23+AB23-AC23,1&lt;4))),1,0),IF(AND(O23+P23-Q23&gt;0,OR(O23+P23-Q23&lt;AA23+AB23-AC23,AND(O23+P23-Q23=AA23+AB23-AC23,2&lt;4))),1,0),IF(AND(U23+V23-W23&gt;0,OR(U23+V23-W23&lt;AA23+AB23-AC23,AND(U23+V23-W23=AA23+AB23-AC23,3&lt;4))),1,0)))</x:f>
        <x:v>99</x:v>
      </x:c>
      <x:c r="AE23" s="6" t="n">
        <x:f>IF('Debt strategy'!$C$16&gt;0,0,MIN(AA23+AB23-AC23,MAX(0,'Debt strategy'!$C$5-SUM(E23,K23,Q23,W23,AC23)-SUM(IF(F23&lt;AD23,C23+D23-E23,0),IF(L23&lt;AD23,I23+J23-K23,0),IF(R23&lt;AD23,O23+P23-Q23,0),IF(X23&lt;AD23,U23+V23-W23,0)))))</x:f>
        <x:v>0</x:v>
      </x:c>
      <x:c r="AF23" s="6" t="n">
        <x:f>ROUND(MAX(0,AA23+AB23-AC23-AE23),2)</x:f>
        <x:v>0</x:v>
      </x:c>
      <x:c r="AG23" s="6" t="n">
        <x:f>SUM(H23,N23,T23,Z23,AF23)</x:f>
        <x:v>4243.79</x:v>
      </x:c>
      <x:c r="AH23" s="6" t="n">
        <x:f>SUM(D23,J23,P23,V23,AB23)+AH22</x:f>
        <x:v>1143.79</x:v>
      </x:c>
      <x:c r="AI23" s="2"/>
    </x:row>
    <x:row r="24" ht="23" customHeight="1">
      <x:c r="B24" s="2" t="n">
        <x:f>16</x:f>
        <x:v>16</x:v>
      </x:c>
      <x:c r="C24" s="6" t="n">
        <x:f>H23</x:f>
        <x:v>1077.87</x:v>
      </x:c>
      <x:c r="D24" s="6" t="n">
        <x:f>ROUND(C24*'Debt strategy'!$D$9/12,2)</x:f>
        <x:v>19.76</x:v>
      </x:c>
      <x:c r="E24" s="6" t="n">
        <x:f>MIN(C24+D24,'Debt strategy'!$E$9)</x:f>
        <x:v>100</x:v>
      </x:c>
      <x:c r="F24" s="27" t="n">
        <x:f>IF(C24+D24-E24&lt;=0,99,1+SUM(IF(AND(I24+J24-K24&gt;0,OR(I24+J24-K24&lt;C24+D24-E24,AND(I24+J24-K24=C24+D24-E24,1&lt;0))),1,0),IF(AND(O24+P24-Q24&gt;0,OR(O24+P24-Q24&lt;C24+D24-E24,AND(O24+P24-Q24=C24+D24-E24,2&lt;0))),1,0),IF(AND(U24+V24-W24&gt;0,OR(U24+V24-W24&lt;C24+D24-E24,AND(U24+V24-W24=C24+D24-E24,3&lt;0))),1,0),IF(AND(AA24+AB24-AC24&gt;0,OR(AA24+AB24-AC24&lt;C24+D24-E24,AND(AA24+AB24-AC24=C24+D24-E24,4&lt;0))),1,0)))</x:f>
        <x:v>1</x:v>
      </x:c>
      <x:c r="G24" s="6" t="n">
        <x:f>IF('Debt strategy'!$C$16&gt;0,0,MIN(C24+D24-E24,MAX(0,'Debt strategy'!$C$5-SUM(E24,K24,Q24,W24,AC24)-SUM(IF(L24&lt;F24,I24+J24-K24,0),IF(R24&lt;F24,O24+P24-Q24,0),IF(X24&lt;F24,U24+V24-W24,0),IF(AD24&lt;F24,AA24+AB24-AC24,0)))))</x:f>
        <x:v>150</x:v>
      </x:c>
      <x:c r="H24" s="6" t="n">
        <x:f>ROUND(MAX(0,C24+D24-E24-G24),2)</x:f>
        <x:v>847.63</x:v>
      </x:c>
      <x:c r="I24" s="6" t="n">
        <x:f>N23</x:f>
        <x:v>3165.92</x:v>
      </x:c>
      <x:c r="J24" s="6" t="n">
        <x:f>ROUND(I24*'Debt strategy'!$D$10/12,2)</x:f>
        <x:v>21.11</x:v>
      </x:c>
      <x:c r="K24" s="6" t="n">
        <x:f>MIN(I24+J24,'Debt strategy'!$E$10)</x:f>
        <x:v>150</x:v>
      </x:c>
      <x:c r="L24" s="27" t="n">
        <x:f>IF(I24+J24-K24&lt;=0,99,1+SUM(IF(AND(C24+D24-E24&gt;0,OR(C24+D24-E24&lt;I24+J24-K24,AND(C24+D24-E24=I24+J24-K24,0&lt;1))),1,0),IF(AND(O24+P24-Q24&gt;0,OR(O24+P24-Q24&lt;I24+J24-K24,AND(O24+P24-Q24=I24+J24-K24,2&lt;1))),1,0),IF(AND(U24+V24-W24&gt;0,OR(U24+V24-W24&lt;I24+J24-K24,AND(U24+V24-W24=I24+J24-K24,3&lt;1))),1,0),IF(AND(AA24+AB24-AC24&gt;0,OR(AA24+AB24-AC24&lt;I24+J24-K24,AND(AA24+AB24-AC24=I24+J24-K24,4&lt;1))),1,0)))</x:f>
        <x:v>2</x:v>
      </x:c>
      <x:c r="M24" s="6" t="n">
        <x:f>IF('Debt strategy'!$C$16&gt;0,0,MIN(I24+J24-K24,MAX(0,'Debt strategy'!$C$5-SUM(E24,K24,Q24,W24,AC24)-SUM(IF(F24&lt;L24,C24+D24-E24,0),IF(R24&lt;L24,O24+P24-Q24,0),IF(X24&lt;L24,U24+V24-W24,0),IF(AD24&lt;L24,AA24+AB24-AC24,0)))))</x:f>
        <x:v>0</x:v>
      </x:c>
      <x:c r="N24" s="6" t="n">
        <x:f>ROUND(MAX(0,I24+J24-K24-M24),2)</x:f>
        <x:v>3037.03</x:v>
      </x:c>
      <x:c r="O24" s="6" t="n">
        <x:f>T23</x:f>
        <x:v>0</x:v>
      </x:c>
      <x:c r="P24" s="6" t="n">
        <x:f>ROUND(O24*'Debt strategy'!$D$11/12,2)</x:f>
        <x:v>0</x:v>
      </x:c>
      <x:c r="Q24" s="6" t="n">
        <x:f>MIN(O24+P24,'Debt strategy'!$E$11)</x:f>
        <x:v>0</x:v>
      </x:c>
      <x:c r="R24" s="27" t="n">
        <x:f>IF(O24+P24-Q24&lt;=0,99,1+SUM(IF(AND(C24+D24-E24&gt;0,OR(C24+D24-E24&lt;O24+P24-Q24,AND(C24+D24-E24=O24+P24-Q24,0&lt;2))),1,0),IF(AND(I24+J24-K24&gt;0,OR(I24+J24-K24&lt;O24+P24-Q24,AND(I24+J24-K24=O24+P24-Q24,1&lt;2))),1,0),IF(AND(U24+V24-W24&gt;0,OR(U24+V24-W24&lt;O24+P24-Q24,AND(U24+V24-W24=O24+P24-Q24,3&lt;2))),1,0),IF(AND(AA24+AB24-AC24&gt;0,OR(AA24+AB24-AC24&lt;O24+P24-Q24,AND(AA24+AB24-AC24=O24+P24-Q24,4&lt;2))),1,0)))</x:f>
        <x:v>99</x:v>
      </x:c>
      <x:c r="S24" s="6" t="n">
        <x:f>IF('Debt strategy'!$C$16&gt;0,0,MIN(O24+P24-Q24,MAX(0,'Debt strategy'!$C$5-SUM(E24,K24,Q24,W24,AC24)-SUM(IF(F24&lt;R24,C24+D24-E24,0),IF(L24&lt;R24,I24+J24-K24,0),IF(X24&lt;R24,U24+V24-W24,0),IF(AD24&lt;R24,AA24+AB24-AC24,0)))))</x:f>
        <x:v>0</x:v>
      </x:c>
      <x:c r="T24" s="6" t="n">
        <x:f>ROUND(MAX(0,O24+P24-Q24-S24),2)</x:f>
        <x:v>0</x:v>
      </x:c>
      <x:c r="U24" s="6" t="n">
        <x:f>Z23</x:f>
        <x:v>0</x:v>
      </x:c>
      <x:c r="V24" s="6" t="n">
        <x:f>ROUND(U24*'Debt strategy'!$D$12/12,2)</x:f>
        <x:v>0</x:v>
      </x:c>
      <x:c r="W24" s="6" t="n">
        <x:f>MIN(U24+V24,'Debt strategy'!$E$12)</x:f>
        <x:v>0</x:v>
      </x:c>
      <x:c r="X24" s="27" t="n">
        <x:f>IF(U24+V24-W24&lt;=0,99,1+SUM(IF(AND(C24+D24-E24&gt;0,OR(C24+D24-E24&lt;U24+V24-W24,AND(C24+D24-E24=U24+V24-W24,0&lt;3))),1,0),IF(AND(I24+J24-K24&gt;0,OR(I24+J24-K24&lt;U24+V24-W24,AND(I24+J24-K24=U24+V24-W24,1&lt;3))),1,0),IF(AND(O24+P24-Q24&gt;0,OR(O24+P24-Q24&lt;U24+V24-W24,AND(O24+P24-Q24=U24+V24-W24,2&lt;3))),1,0),IF(AND(AA24+AB24-AC24&gt;0,OR(AA24+AB24-AC24&lt;U24+V24-W24,AND(AA24+AB24-AC24=U24+V24-W24,4&lt;3))),1,0)))</x:f>
        <x:v>99</x:v>
      </x:c>
      <x:c r="Y24" s="6" t="n">
        <x:f>IF('Debt strategy'!$C$16&gt;0,0,MIN(U24+V24-W24,MAX(0,'Debt strategy'!$C$5-SUM(E24,K24,Q24,W24,AC24)-SUM(IF(F24&lt;X24,C24+D24-E24,0),IF(L24&lt;X24,I24+J24-K24,0),IF(R24&lt;X24,O24+P24-Q24,0),IF(AD24&lt;X24,AA24+AB24-AC24,0)))))</x:f>
        <x:v>0</x:v>
      </x:c>
      <x:c r="Z24" s="6" t="n">
        <x:f>ROUND(MAX(0,U24+V24-W24-Y24),2)</x:f>
        <x:v>0</x:v>
      </x:c>
      <x:c r="AA24" s="6" t="n">
        <x:f>AF23</x:f>
        <x:v>0</x:v>
      </x:c>
      <x:c r="AB24" s="6" t="n">
        <x:f>ROUND(AA24*'Debt strategy'!$D$13/12,2)</x:f>
        <x:v>0</x:v>
      </x:c>
      <x:c r="AC24" s="6" t="n">
        <x:f>MIN(AA24+AB24,'Debt strategy'!$E$13)</x:f>
        <x:v>0</x:v>
      </x:c>
      <x:c r="AD24" s="27" t="n">
        <x:f>IF(AA24+AB24-AC24&lt;=0,99,1+SUM(IF(AND(C24+D24-E24&gt;0,OR(C24+D24-E24&lt;AA24+AB24-AC24,AND(C24+D24-E24=AA24+AB24-AC24,0&lt;4))),1,0),IF(AND(I24+J24-K24&gt;0,OR(I24+J24-K24&lt;AA24+AB24-AC24,AND(I24+J24-K24=AA24+AB24-AC24,1&lt;4))),1,0),IF(AND(O24+P24-Q24&gt;0,OR(O24+P24-Q24&lt;AA24+AB24-AC24,AND(O24+P24-Q24=AA24+AB24-AC24,2&lt;4))),1,0),IF(AND(U24+V24-W24&gt;0,OR(U24+V24-W24&lt;AA24+AB24-AC24,AND(U24+V24-W24=AA24+AB24-AC24,3&lt;4))),1,0)))</x:f>
        <x:v>99</x:v>
      </x:c>
      <x:c r="AE24" s="6" t="n">
        <x:f>IF('Debt strategy'!$C$16&gt;0,0,MIN(AA24+AB24-AC24,MAX(0,'Debt strategy'!$C$5-SUM(E24,K24,Q24,W24,AC24)-SUM(IF(F24&lt;AD24,C24+D24-E24,0),IF(L24&lt;AD24,I24+J24-K24,0),IF(R24&lt;AD24,O24+P24-Q24,0),IF(X24&lt;AD24,U24+V24-W24,0)))))</x:f>
        <x:v>0</x:v>
      </x:c>
      <x:c r="AF24" s="6" t="n">
        <x:f>ROUND(MAX(0,AA24+AB24-AC24-AE24),2)</x:f>
        <x:v>0</x:v>
      </x:c>
      <x:c r="AG24" s="6" t="n">
        <x:f>SUM(H24,N24,T24,Z24,AF24)</x:f>
        <x:v>3884.6600000000003</x:v>
      </x:c>
      <x:c r="AH24" s="6" t="n">
        <x:f>SUM(D24,J24,P24,V24,AB24)+AH23</x:f>
        <x:v>1184.6599999999999</x:v>
      </x:c>
      <x:c r="AI24" s="2"/>
    </x:row>
    <x:row r="25" ht="23" customHeight="1">
      <x:c r="B25" s="2" t="n">
        <x:f>17</x:f>
        <x:v>17</x:v>
      </x:c>
      <x:c r="C25" s="6" t="n">
        <x:f>H24</x:f>
        <x:v>847.63</x:v>
      </x:c>
      <x:c r="D25" s="6" t="n">
        <x:f>ROUND(C25*'Debt strategy'!$D$9/12,2)</x:f>
        <x:v>15.54</x:v>
      </x:c>
      <x:c r="E25" s="6" t="n">
        <x:f>MIN(C25+D25,'Debt strategy'!$E$9)</x:f>
        <x:v>100</x:v>
      </x:c>
      <x:c r="F25" s="27" t="n">
        <x:f>IF(C25+D25-E25&lt;=0,99,1+SUM(IF(AND(I25+J25-K25&gt;0,OR(I25+J25-K25&lt;C25+D25-E25,AND(I25+J25-K25=C25+D25-E25,1&lt;0))),1,0),IF(AND(O25+P25-Q25&gt;0,OR(O25+P25-Q25&lt;C25+D25-E25,AND(O25+P25-Q25=C25+D25-E25,2&lt;0))),1,0),IF(AND(U25+V25-W25&gt;0,OR(U25+V25-W25&lt;C25+D25-E25,AND(U25+V25-W25=C25+D25-E25,3&lt;0))),1,0),IF(AND(AA25+AB25-AC25&gt;0,OR(AA25+AB25-AC25&lt;C25+D25-E25,AND(AA25+AB25-AC25=C25+D25-E25,4&lt;0))),1,0)))</x:f>
        <x:v>1</x:v>
      </x:c>
      <x:c r="G25" s="6" t="n">
        <x:f>IF('Debt strategy'!$C$16&gt;0,0,MIN(C25+D25-E25,MAX(0,'Debt strategy'!$C$5-SUM(E25,K25,Q25,W25,AC25)-SUM(IF(L25&lt;F25,I25+J25-K25,0),IF(R25&lt;F25,O25+P25-Q25,0),IF(X25&lt;F25,U25+V25-W25,0),IF(AD25&lt;F25,AA25+AB25-AC25,0)))))</x:f>
        <x:v>150</x:v>
      </x:c>
      <x:c r="H25" s="6" t="n">
        <x:f>ROUND(MAX(0,C25+D25-E25-G25),2)</x:f>
        <x:v>613.17</x:v>
      </x:c>
      <x:c r="I25" s="6" t="n">
        <x:f>N24</x:f>
        <x:v>3037.03</x:v>
      </x:c>
      <x:c r="J25" s="6" t="n">
        <x:f>ROUND(I25*'Debt strategy'!$D$10/12,2)</x:f>
        <x:v>20.25</x:v>
      </x:c>
      <x:c r="K25" s="6" t="n">
        <x:f>MIN(I25+J25,'Debt strategy'!$E$10)</x:f>
        <x:v>150</x:v>
      </x:c>
      <x:c r="L25" s="27" t="n">
        <x:f>IF(I25+J25-K25&lt;=0,99,1+SUM(IF(AND(C25+D25-E25&gt;0,OR(C25+D25-E25&lt;I25+J25-K25,AND(C25+D25-E25=I25+J25-K25,0&lt;1))),1,0),IF(AND(O25+P25-Q25&gt;0,OR(O25+P25-Q25&lt;I25+J25-K25,AND(O25+P25-Q25=I25+J25-K25,2&lt;1))),1,0),IF(AND(U25+V25-W25&gt;0,OR(U25+V25-W25&lt;I25+J25-K25,AND(U25+V25-W25=I25+J25-K25,3&lt;1))),1,0),IF(AND(AA25+AB25-AC25&gt;0,OR(AA25+AB25-AC25&lt;I25+J25-K25,AND(AA25+AB25-AC25=I25+J25-K25,4&lt;1))),1,0)))</x:f>
        <x:v>2</x:v>
      </x:c>
      <x:c r="M25" s="6" t="n">
        <x:f>IF('Debt strategy'!$C$16&gt;0,0,MIN(I25+J25-K25,MAX(0,'Debt strategy'!$C$5-SUM(E25,K25,Q25,W25,AC25)-SUM(IF(F25&lt;L25,C25+D25-E25,0),IF(R25&lt;L25,O25+P25-Q25,0),IF(X25&lt;L25,U25+V25-W25,0),IF(AD25&lt;L25,AA25+AB25-AC25,0)))))</x:f>
        <x:v>0</x:v>
      </x:c>
      <x:c r="N25" s="6" t="n">
        <x:f>ROUND(MAX(0,I25+J25-K25-M25),2)</x:f>
        <x:v>2907.28</x:v>
      </x:c>
      <x:c r="O25" s="6" t="n">
        <x:f>T24</x:f>
        <x:v>0</x:v>
      </x:c>
      <x:c r="P25" s="6" t="n">
        <x:f>ROUND(O25*'Debt strategy'!$D$11/12,2)</x:f>
        <x:v>0</x:v>
      </x:c>
      <x:c r="Q25" s="6" t="n">
        <x:f>MIN(O25+P25,'Debt strategy'!$E$11)</x:f>
        <x:v>0</x:v>
      </x:c>
      <x:c r="R25" s="27" t="n">
        <x:f>IF(O25+P25-Q25&lt;=0,99,1+SUM(IF(AND(C25+D25-E25&gt;0,OR(C25+D25-E25&lt;O25+P25-Q25,AND(C25+D25-E25=O25+P25-Q25,0&lt;2))),1,0),IF(AND(I25+J25-K25&gt;0,OR(I25+J25-K25&lt;O25+P25-Q25,AND(I25+J25-K25=O25+P25-Q25,1&lt;2))),1,0),IF(AND(U25+V25-W25&gt;0,OR(U25+V25-W25&lt;O25+P25-Q25,AND(U25+V25-W25=O25+P25-Q25,3&lt;2))),1,0),IF(AND(AA25+AB25-AC25&gt;0,OR(AA25+AB25-AC25&lt;O25+P25-Q25,AND(AA25+AB25-AC25=O25+P25-Q25,4&lt;2))),1,0)))</x:f>
        <x:v>99</x:v>
      </x:c>
      <x:c r="S25" s="6" t="n">
        <x:f>IF('Debt strategy'!$C$16&gt;0,0,MIN(O25+P25-Q25,MAX(0,'Debt strategy'!$C$5-SUM(E25,K25,Q25,W25,AC25)-SUM(IF(F25&lt;R25,C25+D25-E25,0),IF(L25&lt;R25,I25+J25-K25,0),IF(X25&lt;R25,U25+V25-W25,0),IF(AD25&lt;R25,AA25+AB25-AC25,0)))))</x:f>
        <x:v>0</x:v>
      </x:c>
      <x:c r="T25" s="6" t="n">
        <x:f>ROUND(MAX(0,O25+P25-Q25-S25),2)</x:f>
        <x:v>0</x:v>
      </x:c>
      <x:c r="U25" s="6" t="n">
        <x:f>Z24</x:f>
        <x:v>0</x:v>
      </x:c>
      <x:c r="V25" s="6" t="n">
        <x:f>ROUND(U25*'Debt strategy'!$D$12/12,2)</x:f>
        <x:v>0</x:v>
      </x:c>
      <x:c r="W25" s="6" t="n">
        <x:f>MIN(U25+V25,'Debt strategy'!$E$12)</x:f>
        <x:v>0</x:v>
      </x:c>
      <x:c r="X25" s="27" t="n">
        <x:f>IF(U25+V25-W25&lt;=0,99,1+SUM(IF(AND(C25+D25-E25&gt;0,OR(C25+D25-E25&lt;U25+V25-W25,AND(C25+D25-E25=U25+V25-W25,0&lt;3))),1,0),IF(AND(I25+J25-K25&gt;0,OR(I25+J25-K25&lt;U25+V25-W25,AND(I25+J25-K25=U25+V25-W25,1&lt;3))),1,0),IF(AND(O25+P25-Q25&gt;0,OR(O25+P25-Q25&lt;U25+V25-W25,AND(O25+P25-Q25=U25+V25-W25,2&lt;3))),1,0),IF(AND(AA25+AB25-AC25&gt;0,OR(AA25+AB25-AC25&lt;U25+V25-W25,AND(AA25+AB25-AC25=U25+V25-W25,4&lt;3))),1,0)))</x:f>
        <x:v>99</x:v>
      </x:c>
      <x:c r="Y25" s="6" t="n">
        <x:f>IF('Debt strategy'!$C$16&gt;0,0,MIN(U25+V25-W25,MAX(0,'Debt strategy'!$C$5-SUM(E25,K25,Q25,W25,AC25)-SUM(IF(F25&lt;X25,C25+D25-E25,0),IF(L25&lt;X25,I25+J25-K25,0),IF(R25&lt;X25,O25+P25-Q25,0),IF(AD25&lt;X25,AA25+AB25-AC25,0)))))</x:f>
        <x:v>0</x:v>
      </x:c>
      <x:c r="Z25" s="6" t="n">
        <x:f>ROUND(MAX(0,U25+V25-W25-Y25),2)</x:f>
        <x:v>0</x:v>
      </x:c>
      <x:c r="AA25" s="6" t="n">
        <x:f>AF24</x:f>
        <x:v>0</x:v>
      </x:c>
      <x:c r="AB25" s="6" t="n">
        <x:f>ROUND(AA25*'Debt strategy'!$D$13/12,2)</x:f>
        <x:v>0</x:v>
      </x:c>
      <x:c r="AC25" s="6" t="n">
        <x:f>MIN(AA25+AB25,'Debt strategy'!$E$13)</x:f>
        <x:v>0</x:v>
      </x:c>
      <x:c r="AD25" s="27" t="n">
        <x:f>IF(AA25+AB25-AC25&lt;=0,99,1+SUM(IF(AND(C25+D25-E25&gt;0,OR(C25+D25-E25&lt;AA25+AB25-AC25,AND(C25+D25-E25=AA25+AB25-AC25,0&lt;4))),1,0),IF(AND(I25+J25-K25&gt;0,OR(I25+J25-K25&lt;AA25+AB25-AC25,AND(I25+J25-K25=AA25+AB25-AC25,1&lt;4))),1,0),IF(AND(O25+P25-Q25&gt;0,OR(O25+P25-Q25&lt;AA25+AB25-AC25,AND(O25+P25-Q25=AA25+AB25-AC25,2&lt;4))),1,0),IF(AND(U25+V25-W25&gt;0,OR(U25+V25-W25&lt;AA25+AB25-AC25,AND(U25+V25-W25=AA25+AB25-AC25,3&lt;4))),1,0)))</x:f>
        <x:v>99</x:v>
      </x:c>
      <x:c r="AE25" s="6" t="n">
        <x:f>IF('Debt strategy'!$C$16&gt;0,0,MIN(AA25+AB25-AC25,MAX(0,'Debt strategy'!$C$5-SUM(E25,K25,Q25,W25,AC25)-SUM(IF(F25&lt;AD25,C25+D25-E25,0),IF(L25&lt;AD25,I25+J25-K25,0),IF(R25&lt;AD25,O25+P25-Q25,0),IF(X25&lt;AD25,U25+V25-W25,0)))))</x:f>
        <x:v>0</x:v>
      </x:c>
      <x:c r="AF25" s="6" t="n">
        <x:f>ROUND(MAX(0,AA25+AB25-AC25-AE25),2)</x:f>
        <x:v>0</x:v>
      </x:c>
      <x:c r="AG25" s="6" t="n">
        <x:f>SUM(H25,N25,T25,Z25,AF25)</x:f>
        <x:v>3520.4500000000003</x:v>
      </x:c>
      <x:c r="AH25" s="6" t="n">
        <x:f>SUM(D25,J25,P25,V25,AB25)+AH24</x:f>
        <x:v>1220.4499999999998</x:v>
      </x:c>
      <x:c r="AI25" s="2"/>
    </x:row>
    <x:row r="26" ht="23" customHeight="1">
      <x:c r="B26" s="2" t="n">
        <x:f>18</x:f>
        <x:v>18</x:v>
      </x:c>
      <x:c r="C26" s="6" t="n">
        <x:f>H25</x:f>
        <x:v>613.17</x:v>
      </x:c>
      <x:c r="D26" s="6" t="n">
        <x:f>ROUND(C26*'Debt strategy'!$D$9/12,2)</x:f>
        <x:v>11.24</x:v>
      </x:c>
      <x:c r="E26" s="6" t="n">
        <x:f>MIN(C26+D26,'Debt strategy'!$E$9)</x:f>
        <x:v>100</x:v>
      </x:c>
      <x:c r="F26" s="27" t="n">
        <x:f>IF(C26+D26-E26&lt;=0,99,1+SUM(IF(AND(I26+J26-K26&gt;0,OR(I26+J26-K26&lt;C26+D26-E26,AND(I26+J26-K26=C26+D26-E26,1&lt;0))),1,0),IF(AND(O26+P26-Q26&gt;0,OR(O26+P26-Q26&lt;C26+D26-E26,AND(O26+P26-Q26=C26+D26-E26,2&lt;0))),1,0),IF(AND(U26+V26-W26&gt;0,OR(U26+V26-W26&lt;C26+D26-E26,AND(U26+V26-W26=C26+D26-E26,3&lt;0))),1,0),IF(AND(AA26+AB26-AC26&gt;0,OR(AA26+AB26-AC26&lt;C26+D26-E26,AND(AA26+AB26-AC26=C26+D26-E26,4&lt;0))),1,0)))</x:f>
        <x:v>1</x:v>
      </x:c>
      <x:c r="G26" s="6" t="n">
        <x:f>IF('Debt strategy'!$C$16&gt;0,0,MIN(C26+D26-E26,MAX(0,'Debt strategy'!$C$5-SUM(E26,K26,Q26,W26,AC26)-SUM(IF(L26&lt;F26,I26+J26-K26,0),IF(R26&lt;F26,O26+P26-Q26,0),IF(X26&lt;F26,U26+V26-W26,0),IF(AD26&lt;F26,AA26+AB26-AC26,0)))))</x:f>
        <x:v>150</x:v>
      </x:c>
      <x:c r="H26" s="6" t="n">
        <x:f>ROUND(MAX(0,C26+D26-E26-G26),2)</x:f>
        <x:v>374.41</x:v>
      </x:c>
      <x:c r="I26" s="6" t="n">
        <x:f>N25</x:f>
        <x:v>2907.28</x:v>
      </x:c>
      <x:c r="J26" s="6" t="n">
        <x:f>ROUND(I26*'Debt strategy'!$D$10/12,2)</x:f>
        <x:v>19.38</x:v>
      </x:c>
      <x:c r="K26" s="6" t="n">
        <x:f>MIN(I26+J26,'Debt strategy'!$E$10)</x:f>
        <x:v>150</x:v>
      </x:c>
      <x:c r="L26" s="27" t="n">
        <x:f>IF(I26+J26-K26&lt;=0,99,1+SUM(IF(AND(C26+D26-E26&gt;0,OR(C26+D26-E26&lt;I26+J26-K26,AND(C26+D26-E26=I26+J26-K26,0&lt;1))),1,0),IF(AND(O26+P26-Q26&gt;0,OR(O26+P26-Q26&lt;I26+J26-K26,AND(O26+P26-Q26=I26+J26-K26,2&lt;1))),1,0),IF(AND(U26+V26-W26&gt;0,OR(U26+V26-W26&lt;I26+J26-K26,AND(U26+V26-W26=I26+J26-K26,3&lt;1))),1,0),IF(AND(AA26+AB26-AC26&gt;0,OR(AA26+AB26-AC26&lt;I26+J26-K26,AND(AA26+AB26-AC26=I26+J26-K26,4&lt;1))),1,0)))</x:f>
        <x:v>2</x:v>
      </x:c>
      <x:c r="M26" s="6" t="n">
        <x:f>IF('Debt strategy'!$C$16&gt;0,0,MIN(I26+J26-K26,MAX(0,'Debt strategy'!$C$5-SUM(E26,K26,Q26,W26,AC26)-SUM(IF(F26&lt;L26,C26+D26-E26,0),IF(R26&lt;L26,O26+P26-Q26,0),IF(X26&lt;L26,U26+V26-W26,0),IF(AD26&lt;L26,AA26+AB26-AC26,0)))))</x:f>
        <x:v>0</x:v>
      </x:c>
      <x:c r="N26" s="6" t="n">
        <x:f>ROUND(MAX(0,I26+J26-K26-M26),2)</x:f>
        <x:v>2776.66</x:v>
      </x:c>
      <x:c r="O26" s="6" t="n">
        <x:f>T25</x:f>
        <x:v>0</x:v>
      </x:c>
      <x:c r="P26" s="6" t="n">
        <x:f>ROUND(O26*'Debt strategy'!$D$11/12,2)</x:f>
        <x:v>0</x:v>
      </x:c>
      <x:c r="Q26" s="6" t="n">
        <x:f>MIN(O26+P26,'Debt strategy'!$E$11)</x:f>
        <x:v>0</x:v>
      </x:c>
      <x:c r="R26" s="27" t="n">
        <x:f>IF(O26+P26-Q26&lt;=0,99,1+SUM(IF(AND(C26+D26-E26&gt;0,OR(C26+D26-E26&lt;O26+P26-Q26,AND(C26+D26-E26=O26+P26-Q26,0&lt;2))),1,0),IF(AND(I26+J26-K26&gt;0,OR(I26+J26-K26&lt;O26+P26-Q26,AND(I26+J26-K26=O26+P26-Q26,1&lt;2))),1,0),IF(AND(U26+V26-W26&gt;0,OR(U26+V26-W26&lt;O26+P26-Q26,AND(U26+V26-W26=O26+P26-Q26,3&lt;2))),1,0),IF(AND(AA26+AB26-AC26&gt;0,OR(AA26+AB26-AC26&lt;O26+P26-Q26,AND(AA26+AB26-AC26=O26+P26-Q26,4&lt;2))),1,0)))</x:f>
        <x:v>99</x:v>
      </x:c>
      <x:c r="S26" s="6" t="n">
        <x:f>IF('Debt strategy'!$C$16&gt;0,0,MIN(O26+P26-Q26,MAX(0,'Debt strategy'!$C$5-SUM(E26,K26,Q26,W26,AC26)-SUM(IF(F26&lt;R26,C26+D26-E26,0),IF(L26&lt;R26,I26+J26-K26,0),IF(X26&lt;R26,U26+V26-W26,0),IF(AD26&lt;R26,AA26+AB26-AC26,0)))))</x:f>
        <x:v>0</x:v>
      </x:c>
      <x:c r="T26" s="6" t="n">
        <x:f>ROUND(MAX(0,O26+P26-Q26-S26),2)</x:f>
        <x:v>0</x:v>
      </x:c>
      <x:c r="U26" s="6" t="n">
        <x:f>Z25</x:f>
        <x:v>0</x:v>
      </x:c>
      <x:c r="V26" s="6" t="n">
        <x:f>ROUND(U26*'Debt strategy'!$D$12/12,2)</x:f>
        <x:v>0</x:v>
      </x:c>
      <x:c r="W26" s="6" t="n">
        <x:f>MIN(U26+V26,'Debt strategy'!$E$12)</x:f>
        <x:v>0</x:v>
      </x:c>
      <x:c r="X26" s="27" t="n">
        <x:f>IF(U26+V26-W26&lt;=0,99,1+SUM(IF(AND(C26+D26-E26&gt;0,OR(C26+D26-E26&lt;U26+V26-W26,AND(C26+D26-E26=U26+V26-W26,0&lt;3))),1,0),IF(AND(I26+J26-K26&gt;0,OR(I26+J26-K26&lt;U26+V26-W26,AND(I26+J26-K26=U26+V26-W26,1&lt;3))),1,0),IF(AND(O26+P26-Q26&gt;0,OR(O26+P26-Q26&lt;U26+V26-W26,AND(O26+P26-Q26=U26+V26-W26,2&lt;3))),1,0),IF(AND(AA26+AB26-AC26&gt;0,OR(AA26+AB26-AC26&lt;U26+V26-W26,AND(AA26+AB26-AC26=U26+V26-W26,4&lt;3))),1,0)))</x:f>
        <x:v>99</x:v>
      </x:c>
      <x:c r="Y26" s="6" t="n">
        <x:f>IF('Debt strategy'!$C$16&gt;0,0,MIN(U26+V26-W26,MAX(0,'Debt strategy'!$C$5-SUM(E26,K26,Q26,W26,AC26)-SUM(IF(F26&lt;X26,C26+D26-E26,0),IF(L26&lt;X26,I26+J26-K26,0),IF(R26&lt;X26,O26+P26-Q26,0),IF(AD26&lt;X26,AA26+AB26-AC26,0)))))</x:f>
        <x:v>0</x:v>
      </x:c>
      <x:c r="Z26" s="6" t="n">
        <x:f>ROUND(MAX(0,U26+V26-W26-Y26),2)</x:f>
        <x:v>0</x:v>
      </x:c>
      <x:c r="AA26" s="6" t="n">
        <x:f>AF25</x:f>
        <x:v>0</x:v>
      </x:c>
      <x:c r="AB26" s="6" t="n">
        <x:f>ROUND(AA26*'Debt strategy'!$D$13/12,2)</x:f>
        <x:v>0</x:v>
      </x:c>
      <x:c r="AC26" s="6" t="n">
        <x:f>MIN(AA26+AB26,'Debt strategy'!$E$13)</x:f>
        <x:v>0</x:v>
      </x:c>
      <x:c r="AD26" s="27" t="n">
        <x:f>IF(AA26+AB26-AC26&lt;=0,99,1+SUM(IF(AND(C26+D26-E26&gt;0,OR(C26+D26-E26&lt;AA26+AB26-AC26,AND(C26+D26-E26=AA26+AB26-AC26,0&lt;4))),1,0),IF(AND(I26+J26-K26&gt;0,OR(I26+J26-K26&lt;AA26+AB26-AC26,AND(I26+J26-K26=AA26+AB26-AC26,1&lt;4))),1,0),IF(AND(O26+P26-Q26&gt;0,OR(O26+P26-Q26&lt;AA26+AB26-AC26,AND(O26+P26-Q26=AA26+AB26-AC26,2&lt;4))),1,0),IF(AND(U26+V26-W26&gt;0,OR(U26+V26-W26&lt;AA26+AB26-AC26,AND(U26+V26-W26=AA26+AB26-AC26,3&lt;4))),1,0)))</x:f>
        <x:v>99</x:v>
      </x:c>
      <x:c r="AE26" s="6" t="n">
        <x:f>IF('Debt strategy'!$C$16&gt;0,0,MIN(AA26+AB26-AC26,MAX(0,'Debt strategy'!$C$5-SUM(E26,K26,Q26,W26,AC26)-SUM(IF(F26&lt;AD26,C26+D26-E26,0),IF(L26&lt;AD26,I26+J26-K26,0),IF(R26&lt;AD26,O26+P26-Q26,0),IF(X26&lt;AD26,U26+V26-W26,0)))))</x:f>
        <x:v>0</x:v>
      </x:c>
      <x:c r="AF26" s="6" t="n">
        <x:f>ROUND(MAX(0,AA26+AB26-AC26-AE26),2)</x:f>
        <x:v>0</x:v>
      </x:c>
      <x:c r="AG26" s="6" t="n">
        <x:f>SUM(H26,N26,T26,Z26,AF26)</x:f>
        <x:v>3151.0699999999997</x:v>
      </x:c>
      <x:c r="AH26" s="6" t="n">
        <x:f>SUM(D26,J26,P26,V26,AB26)+AH25</x:f>
        <x:v>1251.0699999999997</x:v>
      </x:c>
      <x:c r="AI26" s="2"/>
    </x:row>
    <x:row r="27" ht="23" customHeight="1">
      <x:c r="B27" s="2" t="n">
        <x:f>19</x:f>
        <x:v>19</x:v>
      </x:c>
      <x:c r="C27" s="6" t="n">
        <x:f>H26</x:f>
        <x:v>374.41</x:v>
      </x:c>
      <x:c r="D27" s="6" t="n">
        <x:f>ROUND(C27*'Debt strategy'!$D$9/12,2)</x:f>
        <x:v>6.86</x:v>
      </x:c>
      <x:c r="E27" s="6" t="n">
        <x:f>MIN(C27+D27,'Debt strategy'!$E$9)</x:f>
        <x:v>100</x:v>
      </x:c>
      <x:c r="F27" s="27" t="n">
        <x:f>IF(C27+D27-E27&lt;=0,99,1+SUM(IF(AND(I27+J27-K27&gt;0,OR(I27+J27-K27&lt;C27+D27-E27,AND(I27+J27-K27=C27+D27-E27,1&lt;0))),1,0),IF(AND(O27+P27-Q27&gt;0,OR(O27+P27-Q27&lt;C27+D27-E27,AND(O27+P27-Q27=C27+D27-E27,2&lt;0))),1,0),IF(AND(U27+V27-W27&gt;0,OR(U27+V27-W27&lt;C27+D27-E27,AND(U27+V27-W27=C27+D27-E27,3&lt;0))),1,0),IF(AND(AA27+AB27-AC27&gt;0,OR(AA27+AB27-AC27&lt;C27+D27-E27,AND(AA27+AB27-AC27=C27+D27-E27,4&lt;0))),1,0)))</x:f>
        <x:v>1</x:v>
      </x:c>
      <x:c r="G27" s="6" t="n">
        <x:f>IF('Debt strategy'!$C$16&gt;0,0,MIN(C27+D27-E27,MAX(0,'Debt strategy'!$C$5-SUM(E27,K27,Q27,W27,AC27)-SUM(IF(L27&lt;F27,I27+J27-K27,0),IF(R27&lt;F27,O27+P27-Q27,0),IF(X27&lt;F27,U27+V27-W27,0),IF(AD27&lt;F27,AA27+AB27-AC27,0)))))</x:f>
        <x:v>150</x:v>
      </x:c>
      <x:c r="H27" s="6" t="n">
        <x:f>ROUND(MAX(0,C27+D27-E27-G27),2)</x:f>
        <x:v>131.27</x:v>
      </x:c>
      <x:c r="I27" s="6" t="n">
        <x:f>N26</x:f>
        <x:v>2776.66</x:v>
      </x:c>
      <x:c r="J27" s="6" t="n">
        <x:f>ROUND(I27*'Debt strategy'!$D$10/12,2)</x:f>
        <x:v>18.51</x:v>
      </x:c>
      <x:c r="K27" s="6" t="n">
        <x:f>MIN(I27+J27,'Debt strategy'!$E$10)</x:f>
        <x:v>150</x:v>
      </x:c>
      <x:c r="L27" s="27" t="n">
        <x:f>IF(I27+J27-K27&lt;=0,99,1+SUM(IF(AND(C27+D27-E27&gt;0,OR(C27+D27-E27&lt;I27+J27-K27,AND(C27+D27-E27=I27+J27-K27,0&lt;1))),1,0),IF(AND(O27+P27-Q27&gt;0,OR(O27+P27-Q27&lt;I27+J27-K27,AND(O27+P27-Q27=I27+J27-K27,2&lt;1))),1,0),IF(AND(U27+V27-W27&gt;0,OR(U27+V27-W27&lt;I27+J27-K27,AND(U27+V27-W27=I27+J27-K27,3&lt;1))),1,0),IF(AND(AA27+AB27-AC27&gt;0,OR(AA27+AB27-AC27&lt;I27+J27-K27,AND(AA27+AB27-AC27=I27+J27-K27,4&lt;1))),1,0)))</x:f>
        <x:v>2</x:v>
      </x:c>
      <x:c r="M27" s="6" t="n">
        <x:f>IF('Debt strategy'!$C$16&gt;0,0,MIN(I27+J27-K27,MAX(0,'Debt strategy'!$C$5-SUM(E27,K27,Q27,W27,AC27)-SUM(IF(F27&lt;L27,C27+D27-E27,0),IF(R27&lt;L27,O27+P27-Q27,0),IF(X27&lt;L27,U27+V27-W27,0),IF(AD27&lt;L27,AA27+AB27-AC27,0)))))</x:f>
        <x:v>0</x:v>
      </x:c>
      <x:c r="N27" s="6" t="n">
        <x:f>ROUND(MAX(0,I27+J27-K27-M27),2)</x:f>
        <x:v>2645.17</x:v>
      </x:c>
      <x:c r="O27" s="6" t="n">
        <x:f>T26</x:f>
        <x:v>0</x:v>
      </x:c>
      <x:c r="P27" s="6" t="n">
        <x:f>ROUND(O27*'Debt strategy'!$D$11/12,2)</x:f>
        <x:v>0</x:v>
      </x:c>
      <x:c r="Q27" s="6" t="n">
        <x:f>MIN(O27+P27,'Debt strategy'!$E$11)</x:f>
        <x:v>0</x:v>
      </x:c>
      <x:c r="R27" s="27" t="n">
        <x:f>IF(O27+P27-Q27&lt;=0,99,1+SUM(IF(AND(C27+D27-E27&gt;0,OR(C27+D27-E27&lt;O27+P27-Q27,AND(C27+D27-E27=O27+P27-Q27,0&lt;2))),1,0),IF(AND(I27+J27-K27&gt;0,OR(I27+J27-K27&lt;O27+P27-Q27,AND(I27+J27-K27=O27+P27-Q27,1&lt;2))),1,0),IF(AND(U27+V27-W27&gt;0,OR(U27+V27-W27&lt;O27+P27-Q27,AND(U27+V27-W27=O27+P27-Q27,3&lt;2))),1,0),IF(AND(AA27+AB27-AC27&gt;0,OR(AA27+AB27-AC27&lt;O27+P27-Q27,AND(AA27+AB27-AC27=O27+P27-Q27,4&lt;2))),1,0)))</x:f>
        <x:v>99</x:v>
      </x:c>
      <x:c r="S27" s="6" t="n">
        <x:f>IF('Debt strategy'!$C$16&gt;0,0,MIN(O27+P27-Q27,MAX(0,'Debt strategy'!$C$5-SUM(E27,K27,Q27,W27,AC27)-SUM(IF(F27&lt;R27,C27+D27-E27,0),IF(L27&lt;R27,I27+J27-K27,0),IF(X27&lt;R27,U27+V27-W27,0),IF(AD27&lt;R27,AA27+AB27-AC27,0)))))</x:f>
        <x:v>0</x:v>
      </x:c>
      <x:c r="T27" s="6" t="n">
        <x:f>ROUND(MAX(0,O27+P27-Q27-S27),2)</x:f>
        <x:v>0</x:v>
      </x:c>
      <x:c r="U27" s="6" t="n">
        <x:f>Z26</x:f>
        <x:v>0</x:v>
      </x:c>
      <x:c r="V27" s="6" t="n">
        <x:f>ROUND(U27*'Debt strategy'!$D$12/12,2)</x:f>
        <x:v>0</x:v>
      </x:c>
      <x:c r="W27" s="6" t="n">
        <x:f>MIN(U27+V27,'Debt strategy'!$E$12)</x:f>
        <x:v>0</x:v>
      </x:c>
      <x:c r="X27" s="27" t="n">
        <x:f>IF(U27+V27-W27&lt;=0,99,1+SUM(IF(AND(C27+D27-E27&gt;0,OR(C27+D27-E27&lt;U27+V27-W27,AND(C27+D27-E27=U27+V27-W27,0&lt;3))),1,0),IF(AND(I27+J27-K27&gt;0,OR(I27+J27-K27&lt;U27+V27-W27,AND(I27+J27-K27=U27+V27-W27,1&lt;3))),1,0),IF(AND(O27+P27-Q27&gt;0,OR(O27+P27-Q27&lt;U27+V27-W27,AND(O27+P27-Q27=U27+V27-W27,2&lt;3))),1,0),IF(AND(AA27+AB27-AC27&gt;0,OR(AA27+AB27-AC27&lt;U27+V27-W27,AND(AA27+AB27-AC27=U27+V27-W27,4&lt;3))),1,0)))</x:f>
        <x:v>99</x:v>
      </x:c>
      <x:c r="Y27" s="6" t="n">
        <x:f>IF('Debt strategy'!$C$16&gt;0,0,MIN(U27+V27-W27,MAX(0,'Debt strategy'!$C$5-SUM(E27,K27,Q27,W27,AC27)-SUM(IF(F27&lt;X27,C27+D27-E27,0),IF(L27&lt;X27,I27+J27-K27,0),IF(R27&lt;X27,O27+P27-Q27,0),IF(AD27&lt;X27,AA27+AB27-AC27,0)))))</x:f>
        <x:v>0</x:v>
      </x:c>
      <x:c r="Z27" s="6" t="n">
        <x:f>ROUND(MAX(0,U27+V27-W27-Y27),2)</x:f>
        <x:v>0</x:v>
      </x:c>
      <x:c r="AA27" s="6" t="n">
        <x:f>AF26</x:f>
        <x:v>0</x:v>
      </x:c>
      <x:c r="AB27" s="6" t="n">
        <x:f>ROUND(AA27*'Debt strategy'!$D$13/12,2)</x:f>
        <x:v>0</x:v>
      </x:c>
      <x:c r="AC27" s="6" t="n">
        <x:f>MIN(AA27+AB27,'Debt strategy'!$E$13)</x:f>
        <x:v>0</x:v>
      </x:c>
      <x:c r="AD27" s="27" t="n">
        <x:f>IF(AA27+AB27-AC27&lt;=0,99,1+SUM(IF(AND(C27+D27-E27&gt;0,OR(C27+D27-E27&lt;AA27+AB27-AC27,AND(C27+D27-E27=AA27+AB27-AC27,0&lt;4))),1,0),IF(AND(I27+J27-K27&gt;0,OR(I27+J27-K27&lt;AA27+AB27-AC27,AND(I27+J27-K27=AA27+AB27-AC27,1&lt;4))),1,0),IF(AND(O27+P27-Q27&gt;0,OR(O27+P27-Q27&lt;AA27+AB27-AC27,AND(O27+P27-Q27=AA27+AB27-AC27,2&lt;4))),1,0),IF(AND(U27+V27-W27&gt;0,OR(U27+V27-W27&lt;AA27+AB27-AC27,AND(U27+V27-W27=AA27+AB27-AC27,3&lt;4))),1,0)))</x:f>
        <x:v>99</x:v>
      </x:c>
      <x:c r="AE27" s="6" t="n">
        <x:f>IF('Debt strategy'!$C$16&gt;0,0,MIN(AA27+AB27-AC27,MAX(0,'Debt strategy'!$C$5-SUM(E27,K27,Q27,W27,AC27)-SUM(IF(F27&lt;AD27,C27+D27-E27,0),IF(L27&lt;AD27,I27+J27-K27,0),IF(R27&lt;AD27,O27+P27-Q27,0),IF(X27&lt;AD27,U27+V27-W27,0)))))</x:f>
        <x:v>0</x:v>
      </x:c>
      <x:c r="AF27" s="6" t="n">
        <x:f>ROUND(MAX(0,AA27+AB27-AC27-AE27),2)</x:f>
        <x:v>0</x:v>
      </x:c>
      <x:c r="AG27" s="6" t="n">
        <x:f>SUM(H27,N27,T27,Z27,AF27)</x:f>
        <x:v>2776.44</x:v>
      </x:c>
      <x:c r="AH27" s="6" t="n">
        <x:f>SUM(D27,J27,P27,V27,AB27)+AH26</x:f>
        <x:v>1276.4399999999996</x:v>
      </x:c>
      <x:c r="AI27" s="2"/>
    </x:row>
    <x:row r="28" ht="23" customHeight="1">
      <x:c r="B28" s="2" t="n">
        <x:f>20</x:f>
        <x:v>20</x:v>
      </x:c>
      <x:c r="C28" s="6" t="n">
        <x:f>H27</x:f>
        <x:v>131.27</x:v>
      </x:c>
      <x:c r="D28" s="6" t="n">
        <x:f>ROUND(C28*'Debt strategy'!$D$9/12,2)</x:f>
        <x:v>2.41</x:v>
      </x:c>
      <x:c r="E28" s="6" t="n">
        <x:f>MIN(C28+D28,'Debt strategy'!$E$9)</x:f>
        <x:v>100</x:v>
      </x:c>
      <x:c r="F28" s="27" t="n">
        <x:f>IF(C28+D28-E28&lt;=0,99,1+SUM(IF(AND(I28+J28-K28&gt;0,OR(I28+J28-K28&lt;C28+D28-E28,AND(I28+J28-K28=C28+D28-E28,1&lt;0))),1,0),IF(AND(O28+P28-Q28&gt;0,OR(O28+P28-Q28&lt;C28+D28-E28,AND(O28+P28-Q28=C28+D28-E28,2&lt;0))),1,0),IF(AND(U28+V28-W28&gt;0,OR(U28+V28-W28&lt;C28+D28-E28,AND(U28+V28-W28=C28+D28-E28,3&lt;0))),1,0),IF(AND(AA28+AB28-AC28&gt;0,OR(AA28+AB28-AC28&lt;C28+D28-E28,AND(AA28+AB28-AC28=C28+D28-E28,4&lt;0))),1,0)))</x:f>
        <x:v>1</x:v>
      </x:c>
      <x:c r="G28" s="6" t="n">
        <x:f>IF('Debt strategy'!$C$16&gt;0,0,MIN(C28+D28-E28,MAX(0,'Debt strategy'!$C$5-SUM(E28,K28,Q28,W28,AC28)-SUM(IF(L28&lt;F28,I28+J28-K28,0),IF(R28&lt;F28,O28+P28-Q28,0),IF(X28&lt;F28,U28+V28-W28,0),IF(AD28&lt;F28,AA28+AB28-AC28,0)))))</x:f>
        <x:v>33.68000000000001</x:v>
      </x:c>
      <x:c r="H28" s="6" t="n">
        <x:f>ROUND(MAX(0,C28+D28-E28-G28),2)</x:f>
        <x:v>0</x:v>
      </x:c>
      <x:c r="I28" s="6" t="n">
        <x:f>N27</x:f>
        <x:v>2645.17</x:v>
      </x:c>
      <x:c r="J28" s="6" t="n">
        <x:f>ROUND(I28*'Debt strategy'!$D$10/12,2)</x:f>
        <x:v>17.63</x:v>
      </x:c>
      <x:c r="K28" s="6" t="n">
        <x:f>MIN(I28+J28,'Debt strategy'!$E$10)</x:f>
        <x:v>150</x:v>
      </x:c>
      <x:c r="L28" s="27" t="n">
        <x:f>IF(I28+J28-K28&lt;=0,99,1+SUM(IF(AND(C28+D28-E28&gt;0,OR(C28+D28-E28&lt;I28+J28-K28,AND(C28+D28-E28=I28+J28-K28,0&lt;1))),1,0),IF(AND(O28+P28-Q28&gt;0,OR(O28+P28-Q28&lt;I28+J28-K28,AND(O28+P28-Q28=I28+J28-K28,2&lt;1))),1,0),IF(AND(U28+V28-W28&gt;0,OR(U28+V28-W28&lt;I28+J28-K28,AND(U28+V28-W28=I28+J28-K28,3&lt;1))),1,0),IF(AND(AA28+AB28-AC28&gt;0,OR(AA28+AB28-AC28&lt;I28+J28-K28,AND(AA28+AB28-AC28=I28+J28-K28,4&lt;1))),1,0)))</x:f>
        <x:v>2</x:v>
      </x:c>
      <x:c r="M28" s="6" t="n">
        <x:f>IF('Debt strategy'!$C$16&gt;0,0,MIN(I28+J28-K28,MAX(0,'Debt strategy'!$C$5-SUM(E28,K28,Q28,W28,AC28)-SUM(IF(F28&lt;L28,C28+D28-E28,0),IF(R28&lt;L28,O28+P28-Q28,0),IF(X28&lt;L28,U28+V28-W28,0),IF(AD28&lt;L28,AA28+AB28-AC28,0)))))</x:f>
        <x:v>116.32</x:v>
      </x:c>
      <x:c r="N28" s="6" t="n">
        <x:f>ROUND(MAX(0,I28+J28-K28-M28),2)</x:f>
        <x:v>2396.48</x:v>
      </x:c>
      <x:c r="O28" s="6" t="n">
        <x:f>T27</x:f>
        <x:v>0</x:v>
      </x:c>
      <x:c r="P28" s="6" t="n">
        <x:f>ROUND(O28*'Debt strategy'!$D$11/12,2)</x:f>
        <x:v>0</x:v>
      </x:c>
      <x:c r="Q28" s="6" t="n">
        <x:f>MIN(O28+P28,'Debt strategy'!$E$11)</x:f>
        <x:v>0</x:v>
      </x:c>
      <x:c r="R28" s="27" t="n">
        <x:f>IF(O28+P28-Q28&lt;=0,99,1+SUM(IF(AND(C28+D28-E28&gt;0,OR(C28+D28-E28&lt;O28+P28-Q28,AND(C28+D28-E28=O28+P28-Q28,0&lt;2))),1,0),IF(AND(I28+J28-K28&gt;0,OR(I28+J28-K28&lt;O28+P28-Q28,AND(I28+J28-K28=O28+P28-Q28,1&lt;2))),1,0),IF(AND(U28+V28-W28&gt;0,OR(U28+V28-W28&lt;O28+P28-Q28,AND(U28+V28-W28=O28+P28-Q28,3&lt;2))),1,0),IF(AND(AA28+AB28-AC28&gt;0,OR(AA28+AB28-AC28&lt;O28+P28-Q28,AND(AA28+AB28-AC28=O28+P28-Q28,4&lt;2))),1,0)))</x:f>
        <x:v>99</x:v>
      </x:c>
      <x:c r="S28" s="6" t="n">
        <x:f>IF('Debt strategy'!$C$16&gt;0,0,MIN(O28+P28-Q28,MAX(0,'Debt strategy'!$C$5-SUM(E28,K28,Q28,W28,AC28)-SUM(IF(F28&lt;R28,C28+D28-E28,0),IF(L28&lt;R28,I28+J28-K28,0),IF(X28&lt;R28,U28+V28-W28,0),IF(AD28&lt;R28,AA28+AB28-AC28,0)))))</x:f>
        <x:v>0</x:v>
      </x:c>
      <x:c r="T28" s="6" t="n">
        <x:f>ROUND(MAX(0,O28+P28-Q28-S28),2)</x:f>
        <x:v>0</x:v>
      </x:c>
      <x:c r="U28" s="6" t="n">
        <x:f>Z27</x:f>
        <x:v>0</x:v>
      </x:c>
      <x:c r="V28" s="6" t="n">
        <x:f>ROUND(U28*'Debt strategy'!$D$12/12,2)</x:f>
        <x:v>0</x:v>
      </x:c>
      <x:c r="W28" s="6" t="n">
        <x:f>MIN(U28+V28,'Debt strategy'!$E$12)</x:f>
        <x:v>0</x:v>
      </x:c>
      <x:c r="X28" s="27" t="n">
        <x:f>IF(U28+V28-W28&lt;=0,99,1+SUM(IF(AND(C28+D28-E28&gt;0,OR(C28+D28-E28&lt;U28+V28-W28,AND(C28+D28-E28=U28+V28-W28,0&lt;3))),1,0),IF(AND(I28+J28-K28&gt;0,OR(I28+J28-K28&lt;U28+V28-W28,AND(I28+J28-K28=U28+V28-W28,1&lt;3))),1,0),IF(AND(O28+P28-Q28&gt;0,OR(O28+P28-Q28&lt;U28+V28-W28,AND(O28+P28-Q28=U28+V28-W28,2&lt;3))),1,0),IF(AND(AA28+AB28-AC28&gt;0,OR(AA28+AB28-AC28&lt;U28+V28-W28,AND(AA28+AB28-AC28=U28+V28-W28,4&lt;3))),1,0)))</x:f>
        <x:v>99</x:v>
      </x:c>
      <x:c r="Y28" s="6" t="n">
        <x:f>IF('Debt strategy'!$C$16&gt;0,0,MIN(U28+V28-W28,MAX(0,'Debt strategy'!$C$5-SUM(E28,K28,Q28,W28,AC28)-SUM(IF(F28&lt;X28,C28+D28-E28,0),IF(L28&lt;X28,I28+J28-K28,0),IF(R28&lt;X28,O28+P28-Q28,0),IF(AD28&lt;X28,AA28+AB28-AC28,0)))))</x:f>
        <x:v>0</x:v>
      </x:c>
      <x:c r="Z28" s="6" t="n">
        <x:f>ROUND(MAX(0,U28+V28-W28-Y28),2)</x:f>
        <x:v>0</x:v>
      </x:c>
      <x:c r="AA28" s="6" t="n">
        <x:f>AF27</x:f>
        <x:v>0</x:v>
      </x:c>
      <x:c r="AB28" s="6" t="n">
        <x:f>ROUND(AA28*'Debt strategy'!$D$13/12,2)</x:f>
        <x:v>0</x:v>
      </x:c>
      <x:c r="AC28" s="6" t="n">
        <x:f>MIN(AA28+AB28,'Debt strategy'!$E$13)</x:f>
        <x:v>0</x:v>
      </x:c>
      <x:c r="AD28" s="27" t="n">
        <x:f>IF(AA28+AB28-AC28&lt;=0,99,1+SUM(IF(AND(C28+D28-E28&gt;0,OR(C28+D28-E28&lt;AA28+AB28-AC28,AND(C28+D28-E28=AA28+AB28-AC28,0&lt;4))),1,0),IF(AND(I28+J28-K28&gt;0,OR(I28+J28-K28&lt;AA28+AB28-AC28,AND(I28+J28-K28=AA28+AB28-AC28,1&lt;4))),1,0),IF(AND(O28+P28-Q28&gt;0,OR(O28+P28-Q28&lt;AA28+AB28-AC28,AND(O28+P28-Q28=AA28+AB28-AC28,2&lt;4))),1,0),IF(AND(U28+V28-W28&gt;0,OR(U28+V28-W28&lt;AA28+AB28-AC28,AND(U28+V28-W28=AA28+AB28-AC28,3&lt;4))),1,0)))</x:f>
        <x:v>99</x:v>
      </x:c>
      <x:c r="AE28" s="6" t="n">
        <x:f>IF('Debt strategy'!$C$16&gt;0,0,MIN(AA28+AB28-AC28,MAX(0,'Debt strategy'!$C$5-SUM(E28,K28,Q28,W28,AC28)-SUM(IF(F28&lt;AD28,C28+D28-E28,0),IF(L28&lt;AD28,I28+J28-K28,0),IF(R28&lt;AD28,O28+P28-Q28,0),IF(X28&lt;AD28,U28+V28-W28,0)))))</x:f>
        <x:v>0</x:v>
      </x:c>
      <x:c r="AF28" s="6" t="n">
        <x:f>ROUND(MAX(0,AA28+AB28-AC28-AE28),2)</x:f>
        <x:v>0</x:v>
      </x:c>
      <x:c r="AG28" s="6" t="n">
        <x:f>SUM(H28,N28,T28,Z28,AF28)</x:f>
        <x:v>2396.48</x:v>
      </x:c>
      <x:c r="AH28" s="6" t="n">
        <x:f>SUM(D28,J28,P28,V28,AB28)+AH27</x:f>
        <x:v>1296.4799999999996</x:v>
      </x:c>
      <x:c r="AI28" s="2"/>
    </x:row>
    <x:row r="29" ht="23" customHeight="1">
      <x:c r="B29" s="2" t="n">
        <x:f>21</x:f>
        <x:v>21</x:v>
      </x:c>
      <x:c r="C29" s="6" t="n">
        <x:f>H28</x:f>
        <x:v>0</x:v>
      </x:c>
      <x:c r="D29" s="6" t="n">
        <x:f>ROUND(C29*'Debt strategy'!$D$9/12,2)</x:f>
        <x:v>0</x:v>
      </x:c>
      <x:c r="E29" s="6" t="n">
        <x:f>MIN(C29+D29,'Debt strategy'!$E$9)</x:f>
        <x:v>0</x:v>
      </x:c>
      <x:c r="F29" s="27" t="n">
        <x:f>IF(C29+D29-E29&lt;=0,99,1+SUM(IF(AND(I29+J29-K29&gt;0,OR(I29+J29-K29&lt;C29+D29-E29,AND(I29+J29-K29=C29+D29-E29,1&lt;0))),1,0),IF(AND(O29+P29-Q29&gt;0,OR(O29+P29-Q29&lt;C29+D29-E29,AND(O29+P29-Q29=C29+D29-E29,2&lt;0))),1,0),IF(AND(U29+V29-W29&gt;0,OR(U29+V29-W29&lt;C29+D29-E29,AND(U29+V29-W29=C29+D29-E29,3&lt;0))),1,0),IF(AND(AA29+AB29-AC29&gt;0,OR(AA29+AB29-AC29&lt;C29+D29-E29,AND(AA29+AB29-AC29=C29+D29-E29,4&lt;0))),1,0)))</x:f>
        <x:v>99</x:v>
      </x:c>
      <x:c r="G29" s="6" t="n">
        <x:f>IF('Debt strategy'!$C$16&gt;0,0,MIN(C29+D29-E29,MAX(0,'Debt strategy'!$C$5-SUM(E29,K29,Q29,W29,AC29)-SUM(IF(L29&lt;F29,I29+J29-K29,0),IF(R29&lt;F29,O29+P29-Q29,0),IF(X29&lt;F29,U29+V29-W29,0),IF(AD29&lt;F29,AA29+AB29-AC29,0)))))</x:f>
        <x:v>0</x:v>
      </x:c>
      <x:c r="H29" s="6" t="n">
        <x:f>ROUND(MAX(0,C29+D29-E29-G29),2)</x:f>
        <x:v>0</x:v>
      </x:c>
      <x:c r="I29" s="6" t="n">
        <x:f>N28</x:f>
        <x:v>2396.48</x:v>
      </x:c>
      <x:c r="J29" s="6" t="n">
        <x:f>ROUND(I29*'Debt strategy'!$D$10/12,2)</x:f>
        <x:v>15.98</x:v>
      </x:c>
      <x:c r="K29" s="6" t="n">
        <x:f>MIN(I29+J29,'Debt strategy'!$E$10)</x:f>
        <x:v>150</x:v>
      </x:c>
      <x:c r="L29" s="27" t="n">
        <x:f>IF(I29+J29-K29&lt;=0,99,1+SUM(IF(AND(C29+D29-E29&gt;0,OR(C29+D29-E29&lt;I29+J29-K29,AND(C29+D29-E29=I29+J29-K29,0&lt;1))),1,0),IF(AND(O29+P29-Q29&gt;0,OR(O29+P29-Q29&lt;I29+J29-K29,AND(O29+P29-Q29=I29+J29-K29,2&lt;1))),1,0),IF(AND(U29+V29-W29&gt;0,OR(U29+V29-W29&lt;I29+J29-K29,AND(U29+V29-W29=I29+J29-K29,3&lt;1))),1,0),IF(AND(AA29+AB29-AC29&gt;0,OR(AA29+AB29-AC29&lt;I29+J29-K29,AND(AA29+AB29-AC29=I29+J29-K29,4&lt;1))),1,0)))</x:f>
        <x:v>1</x:v>
      </x:c>
      <x:c r="M29" s="6" t="n">
        <x:f>IF('Debt strategy'!$C$16&gt;0,0,MIN(I29+J29-K29,MAX(0,'Debt strategy'!$C$5-SUM(E29,K29,Q29,W29,AC29)-SUM(IF(F29&lt;L29,C29+D29-E29,0),IF(R29&lt;L29,O29+P29-Q29,0),IF(X29&lt;L29,U29+V29-W29,0),IF(AD29&lt;L29,AA29+AB29-AC29,0)))))</x:f>
        <x:v>250</x:v>
      </x:c>
      <x:c r="N29" s="6" t="n">
        <x:f>ROUND(MAX(0,I29+J29-K29-M29),2)</x:f>
        <x:v>2012.46</x:v>
      </x:c>
      <x:c r="O29" s="6" t="n">
        <x:f>T28</x:f>
        <x:v>0</x:v>
      </x:c>
      <x:c r="P29" s="6" t="n">
        <x:f>ROUND(O29*'Debt strategy'!$D$11/12,2)</x:f>
        <x:v>0</x:v>
      </x:c>
      <x:c r="Q29" s="6" t="n">
        <x:f>MIN(O29+P29,'Debt strategy'!$E$11)</x:f>
        <x:v>0</x:v>
      </x:c>
      <x:c r="R29" s="27" t="n">
        <x:f>IF(O29+P29-Q29&lt;=0,99,1+SUM(IF(AND(C29+D29-E29&gt;0,OR(C29+D29-E29&lt;O29+P29-Q29,AND(C29+D29-E29=O29+P29-Q29,0&lt;2))),1,0),IF(AND(I29+J29-K29&gt;0,OR(I29+J29-K29&lt;O29+P29-Q29,AND(I29+J29-K29=O29+P29-Q29,1&lt;2))),1,0),IF(AND(U29+V29-W29&gt;0,OR(U29+V29-W29&lt;O29+P29-Q29,AND(U29+V29-W29=O29+P29-Q29,3&lt;2))),1,0),IF(AND(AA29+AB29-AC29&gt;0,OR(AA29+AB29-AC29&lt;O29+P29-Q29,AND(AA29+AB29-AC29=O29+P29-Q29,4&lt;2))),1,0)))</x:f>
        <x:v>99</x:v>
      </x:c>
      <x:c r="S29" s="6" t="n">
        <x:f>IF('Debt strategy'!$C$16&gt;0,0,MIN(O29+P29-Q29,MAX(0,'Debt strategy'!$C$5-SUM(E29,K29,Q29,W29,AC29)-SUM(IF(F29&lt;R29,C29+D29-E29,0),IF(L29&lt;R29,I29+J29-K29,0),IF(X29&lt;R29,U29+V29-W29,0),IF(AD29&lt;R29,AA29+AB29-AC29,0)))))</x:f>
        <x:v>0</x:v>
      </x:c>
      <x:c r="T29" s="6" t="n">
        <x:f>ROUND(MAX(0,O29+P29-Q29-S29),2)</x:f>
        <x:v>0</x:v>
      </x:c>
      <x:c r="U29" s="6" t="n">
        <x:f>Z28</x:f>
        <x:v>0</x:v>
      </x:c>
      <x:c r="V29" s="6" t="n">
        <x:f>ROUND(U29*'Debt strategy'!$D$12/12,2)</x:f>
        <x:v>0</x:v>
      </x:c>
      <x:c r="W29" s="6" t="n">
        <x:f>MIN(U29+V29,'Debt strategy'!$E$12)</x:f>
        <x:v>0</x:v>
      </x:c>
      <x:c r="X29" s="27" t="n">
        <x:f>IF(U29+V29-W29&lt;=0,99,1+SUM(IF(AND(C29+D29-E29&gt;0,OR(C29+D29-E29&lt;U29+V29-W29,AND(C29+D29-E29=U29+V29-W29,0&lt;3))),1,0),IF(AND(I29+J29-K29&gt;0,OR(I29+J29-K29&lt;U29+V29-W29,AND(I29+J29-K29=U29+V29-W29,1&lt;3))),1,0),IF(AND(O29+P29-Q29&gt;0,OR(O29+P29-Q29&lt;U29+V29-W29,AND(O29+P29-Q29=U29+V29-W29,2&lt;3))),1,0),IF(AND(AA29+AB29-AC29&gt;0,OR(AA29+AB29-AC29&lt;U29+V29-W29,AND(AA29+AB29-AC29=U29+V29-W29,4&lt;3))),1,0)))</x:f>
        <x:v>99</x:v>
      </x:c>
      <x:c r="Y29" s="6" t="n">
        <x:f>IF('Debt strategy'!$C$16&gt;0,0,MIN(U29+V29-W29,MAX(0,'Debt strategy'!$C$5-SUM(E29,K29,Q29,W29,AC29)-SUM(IF(F29&lt;X29,C29+D29-E29,0),IF(L29&lt;X29,I29+J29-K29,0),IF(R29&lt;X29,O29+P29-Q29,0),IF(AD29&lt;X29,AA29+AB29-AC29,0)))))</x:f>
        <x:v>0</x:v>
      </x:c>
      <x:c r="Z29" s="6" t="n">
        <x:f>ROUND(MAX(0,U29+V29-W29-Y29),2)</x:f>
        <x:v>0</x:v>
      </x:c>
      <x:c r="AA29" s="6" t="n">
        <x:f>AF28</x:f>
        <x:v>0</x:v>
      </x:c>
      <x:c r="AB29" s="6" t="n">
        <x:f>ROUND(AA29*'Debt strategy'!$D$13/12,2)</x:f>
        <x:v>0</x:v>
      </x:c>
      <x:c r="AC29" s="6" t="n">
        <x:f>MIN(AA29+AB29,'Debt strategy'!$E$13)</x:f>
        <x:v>0</x:v>
      </x:c>
      <x:c r="AD29" s="27" t="n">
        <x:f>IF(AA29+AB29-AC29&lt;=0,99,1+SUM(IF(AND(C29+D29-E29&gt;0,OR(C29+D29-E29&lt;AA29+AB29-AC29,AND(C29+D29-E29=AA29+AB29-AC29,0&lt;4))),1,0),IF(AND(I29+J29-K29&gt;0,OR(I29+J29-K29&lt;AA29+AB29-AC29,AND(I29+J29-K29=AA29+AB29-AC29,1&lt;4))),1,0),IF(AND(O29+P29-Q29&gt;0,OR(O29+P29-Q29&lt;AA29+AB29-AC29,AND(O29+P29-Q29=AA29+AB29-AC29,2&lt;4))),1,0),IF(AND(U29+V29-W29&gt;0,OR(U29+V29-W29&lt;AA29+AB29-AC29,AND(U29+V29-W29=AA29+AB29-AC29,3&lt;4))),1,0)))</x:f>
        <x:v>99</x:v>
      </x:c>
      <x:c r="AE29" s="6" t="n">
        <x:f>IF('Debt strategy'!$C$16&gt;0,0,MIN(AA29+AB29-AC29,MAX(0,'Debt strategy'!$C$5-SUM(E29,K29,Q29,W29,AC29)-SUM(IF(F29&lt;AD29,C29+D29-E29,0),IF(L29&lt;AD29,I29+J29-K29,0),IF(R29&lt;AD29,O29+P29-Q29,0),IF(X29&lt;AD29,U29+V29-W29,0)))))</x:f>
        <x:v>0</x:v>
      </x:c>
      <x:c r="AF29" s="6" t="n">
        <x:f>ROUND(MAX(0,AA29+AB29-AC29-AE29),2)</x:f>
        <x:v>0</x:v>
      </x:c>
      <x:c r="AG29" s="6" t="n">
        <x:f>SUM(H29,N29,T29,Z29,AF29)</x:f>
        <x:v>2012.46</x:v>
      </x:c>
      <x:c r="AH29" s="6" t="n">
        <x:f>SUM(D29,J29,P29,V29,AB29)+AH28</x:f>
        <x:v>1312.4599999999996</x:v>
      </x:c>
      <x:c r="AI29" s="2"/>
    </x:row>
    <x:row r="30" ht="23" customHeight="1">
      <x:c r="B30" s="2" t="n">
        <x:f>22</x:f>
        <x:v>22</x:v>
      </x:c>
      <x:c r="C30" s="6" t="n">
        <x:f>H29</x:f>
        <x:v>0</x:v>
      </x:c>
      <x:c r="D30" s="6" t="n">
        <x:f>ROUND(C30*'Debt strategy'!$D$9/12,2)</x:f>
        <x:v>0</x:v>
      </x:c>
      <x:c r="E30" s="6" t="n">
        <x:f>MIN(C30+D30,'Debt strategy'!$E$9)</x:f>
        <x:v>0</x:v>
      </x:c>
      <x:c r="F30" s="27" t="n">
        <x:f>IF(C30+D30-E30&lt;=0,99,1+SUM(IF(AND(I30+J30-K30&gt;0,OR(I30+J30-K30&lt;C30+D30-E30,AND(I30+J30-K30=C30+D30-E30,1&lt;0))),1,0),IF(AND(O30+P30-Q30&gt;0,OR(O30+P30-Q30&lt;C30+D30-E30,AND(O30+P30-Q30=C30+D30-E30,2&lt;0))),1,0),IF(AND(U30+V30-W30&gt;0,OR(U30+V30-W30&lt;C30+D30-E30,AND(U30+V30-W30=C30+D30-E30,3&lt;0))),1,0),IF(AND(AA30+AB30-AC30&gt;0,OR(AA30+AB30-AC30&lt;C30+D30-E30,AND(AA30+AB30-AC30=C30+D30-E30,4&lt;0))),1,0)))</x:f>
        <x:v>99</x:v>
      </x:c>
      <x:c r="G30" s="6" t="n">
        <x:f>IF('Debt strategy'!$C$16&gt;0,0,MIN(C30+D30-E30,MAX(0,'Debt strategy'!$C$5-SUM(E30,K30,Q30,W30,AC30)-SUM(IF(L30&lt;F30,I30+J30-K30,0),IF(R30&lt;F30,O30+P30-Q30,0),IF(X30&lt;F30,U30+V30-W30,0),IF(AD30&lt;F30,AA30+AB30-AC30,0)))))</x:f>
        <x:v>0</x:v>
      </x:c>
      <x:c r="H30" s="6" t="n">
        <x:f>ROUND(MAX(0,C30+D30-E30-G30),2)</x:f>
        <x:v>0</x:v>
      </x:c>
      <x:c r="I30" s="6" t="n">
        <x:f>N29</x:f>
        <x:v>2012.46</x:v>
      </x:c>
      <x:c r="J30" s="6" t="n">
        <x:f>ROUND(I30*'Debt strategy'!$D$10/12,2)</x:f>
        <x:v>13.42</x:v>
      </x:c>
      <x:c r="K30" s="6" t="n">
        <x:f>MIN(I30+J30,'Debt strategy'!$E$10)</x:f>
        <x:v>150</x:v>
      </x:c>
      <x:c r="L30" s="27" t="n">
        <x:f>IF(I30+J30-K30&lt;=0,99,1+SUM(IF(AND(C30+D30-E30&gt;0,OR(C30+D30-E30&lt;I30+J30-K30,AND(C30+D30-E30=I30+J30-K30,0&lt;1))),1,0),IF(AND(O30+P30-Q30&gt;0,OR(O30+P30-Q30&lt;I30+J30-K30,AND(O30+P30-Q30=I30+J30-K30,2&lt;1))),1,0),IF(AND(U30+V30-W30&gt;0,OR(U30+V30-W30&lt;I30+J30-K30,AND(U30+V30-W30=I30+J30-K30,3&lt;1))),1,0),IF(AND(AA30+AB30-AC30&gt;0,OR(AA30+AB30-AC30&lt;I30+J30-K30,AND(AA30+AB30-AC30=I30+J30-K30,4&lt;1))),1,0)))</x:f>
        <x:v>1</x:v>
      </x:c>
      <x:c r="M30" s="6" t="n">
        <x:f>IF('Debt strategy'!$C$16&gt;0,0,MIN(I30+J30-K30,MAX(0,'Debt strategy'!$C$5-SUM(E30,K30,Q30,W30,AC30)-SUM(IF(F30&lt;L30,C30+D30-E30,0),IF(R30&lt;L30,O30+P30-Q30,0),IF(X30&lt;L30,U30+V30-W30,0),IF(AD30&lt;L30,AA30+AB30-AC30,0)))))</x:f>
        <x:v>250</x:v>
      </x:c>
      <x:c r="N30" s="6" t="n">
        <x:f>ROUND(MAX(0,I30+J30-K30-M30),2)</x:f>
        <x:v>1625.88</x:v>
      </x:c>
      <x:c r="O30" s="6" t="n">
        <x:f>T29</x:f>
        <x:v>0</x:v>
      </x:c>
      <x:c r="P30" s="6" t="n">
        <x:f>ROUND(O30*'Debt strategy'!$D$11/12,2)</x:f>
        <x:v>0</x:v>
      </x:c>
      <x:c r="Q30" s="6" t="n">
        <x:f>MIN(O30+P30,'Debt strategy'!$E$11)</x:f>
        <x:v>0</x:v>
      </x:c>
      <x:c r="R30" s="27" t="n">
        <x:f>IF(O30+P30-Q30&lt;=0,99,1+SUM(IF(AND(C30+D30-E30&gt;0,OR(C30+D30-E30&lt;O30+P30-Q30,AND(C30+D30-E30=O30+P30-Q30,0&lt;2))),1,0),IF(AND(I30+J30-K30&gt;0,OR(I30+J30-K30&lt;O30+P30-Q30,AND(I30+J30-K30=O30+P30-Q30,1&lt;2))),1,0),IF(AND(U30+V30-W30&gt;0,OR(U30+V30-W30&lt;O30+P30-Q30,AND(U30+V30-W30=O30+P30-Q30,3&lt;2))),1,0),IF(AND(AA30+AB30-AC30&gt;0,OR(AA30+AB30-AC30&lt;O30+P30-Q30,AND(AA30+AB30-AC30=O30+P30-Q30,4&lt;2))),1,0)))</x:f>
        <x:v>99</x:v>
      </x:c>
      <x:c r="S30" s="6" t="n">
        <x:f>IF('Debt strategy'!$C$16&gt;0,0,MIN(O30+P30-Q30,MAX(0,'Debt strategy'!$C$5-SUM(E30,K30,Q30,W30,AC30)-SUM(IF(F30&lt;R30,C30+D30-E30,0),IF(L30&lt;R30,I30+J30-K30,0),IF(X30&lt;R30,U30+V30-W30,0),IF(AD30&lt;R30,AA30+AB30-AC30,0)))))</x:f>
        <x:v>0</x:v>
      </x:c>
      <x:c r="T30" s="6" t="n">
        <x:f>ROUND(MAX(0,O30+P30-Q30-S30),2)</x:f>
        <x:v>0</x:v>
      </x:c>
      <x:c r="U30" s="6" t="n">
        <x:f>Z29</x:f>
        <x:v>0</x:v>
      </x:c>
      <x:c r="V30" s="6" t="n">
        <x:f>ROUND(U30*'Debt strategy'!$D$12/12,2)</x:f>
        <x:v>0</x:v>
      </x:c>
      <x:c r="W30" s="6" t="n">
        <x:f>MIN(U30+V30,'Debt strategy'!$E$12)</x:f>
        <x:v>0</x:v>
      </x:c>
      <x:c r="X30" s="27" t="n">
        <x:f>IF(U30+V30-W30&lt;=0,99,1+SUM(IF(AND(C30+D30-E30&gt;0,OR(C30+D30-E30&lt;U30+V30-W30,AND(C30+D30-E30=U30+V30-W30,0&lt;3))),1,0),IF(AND(I30+J30-K30&gt;0,OR(I30+J30-K30&lt;U30+V30-W30,AND(I30+J30-K30=U30+V30-W30,1&lt;3))),1,0),IF(AND(O30+P30-Q30&gt;0,OR(O30+P30-Q30&lt;U30+V30-W30,AND(O30+P30-Q30=U30+V30-W30,2&lt;3))),1,0),IF(AND(AA30+AB30-AC30&gt;0,OR(AA30+AB30-AC30&lt;U30+V30-W30,AND(AA30+AB30-AC30=U30+V30-W30,4&lt;3))),1,0)))</x:f>
        <x:v>99</x:v>
      </x:c>
      <x:c r="Y30" s="6" t="n">
        <x:f>IF('Debt strategy'!$C$16&gt;0,0,MIN(U30+V30-W30,MAX(0,'Debt strategy'!$C$5-SUM(E30,K30,Q30,W30,AC30)-SUM(IF(F30&lt;X30,C30+D30-E30,0),IF(L30&lt;X30,I30+J30-K30,0),IF(R30&lt;X30,O30+P30-Q30,0),IF(AD30&lt;X30,AA30+AB30-AC30,0)))))</x:f>
        <x:v>0</x:v>
      </x:c>
      <x:c r="Z30" s="6" t="n">
        <x:f>ROUND(MAX(0,U30+V30-W30-Y30),2)</x:f>
        <x:v>0</x:v>
      </x:c>
      <x:c r="AA30" s="6" t="n">
        <x:f>AF29</x:f>
        <x:v>0</x:v>
      </x:c>
      <x:c r="AB30" s="6" t="n">
        <x:f>ROUND(AA30*'Debt strategy'!$D$13/12,2)</x:f>
        <x:v>0</x:v>
      </x:c>
      <x:c r="AC30" s="6" t="n">
        <x:f>MIN(AA30+AB30,'Debt strategy'!$E$13)</x:f>
        <x:v>0</x:v>
      </x:c>
      <x:c r="AD30" s="27" t="n">
        <x:f>IF(AA30+AB30-AC30&lt;=0,99,1+SUM(IF(AND(C30+D30-E30&gt;0,OR(C30+D30-E30&lt;AA30+AB30-AC30,AND(C30+D30-E30=AA30+AB30-AC30,0&lt;4))),1,0),IF(AND(I30+J30-K30&gt;0,OR(I30+J30-K30&lt;AA30+AB30-AC30,AND(I30+J30-K30=AA30+AB30-AC30,1&lt;4))),1,0),IF(AND(O30+P30-Q30&gt;0,OR(O30+P30-Q30&lt;AA30+AB30-AC30,AND(O30+P30-Q30=AA30+AB30-AC30,2&lt;4))),1,0),IF(AND(U30+V30-W30&gt;0,OR(U30+V30-W30&lt;AA30+AB30-AC30,AND(U30+V30-W30=AA30+AB30-AC30,3&lt;4))),1,0)))</x:f>
        <x:v>99</x:v>
      </x:c>
      <x:c r="AE30" s="6" t="n">
        <x:f>IF('Debt strategy'!$C$16&gt;0,0,MIN(AA30+AB30-AC30,MAX(0,'Debt strategy'!$C$5-SUM(E30,K30,Q30,W30,AC30)-SUM(IF(F30&lt;AD30,C30+D30-E30,0),IF(L30&lt;AD30,I30+J30-K30,0),IF(R30&lt;AD30,O30+P30-Q30,0),IF(X30&lt;AD30,U30+V30-W30,0)))))</x:f>
        <x:v>0</x:v>
      </x:c>
      <x:c r="AF30" s="6" t="n">
        <x:f>ROUND(MAX(0,AA30+AB30-AC30-AE30),2)</x:f>
        <x:v>0</x:v>
      </x:c>
      <x:c r="AG30" s="6" t="n">
        <x:f>SUM(H30,N30,T30,Z30,AF30)</x:f>
        <x:v>1625.88</x:v>
      </x:c>
      <x:c r="AH30" s="6" t="n">
        <x:f>SUM(D30,J30,P30,V30,AB30)+AH29</x:f>
        <x:v>1325.8799999999997</x:v>
      </x:c>
      <x:c r="AI30" s="2"/>
    </x:row>
    <x:row r="31" ht="23" customHeight="1">
      <x:c r="B31" s="2" t="n">
        <x:f>23</x:f>
        <x:v>23</x:v>
      </x:c>
      <x:c r="C31" s="6" t="n">
        <x:f>H30</x:f>
        <x:v>0</x:v>
      </x:c>
      <x:c r="D31" s="6" t="n">
        <x:f>ROUND(C31*'Debt strategy'!$D$9/12,2)</x:f>
        <x:v>0</x:v>
      </x:c>
      <x:c r="E31" s="6" t="n">
        <x:f>MIN(C31+D31,'Debt strategy'!$E$9)</x:f>
        <x:v>0</x:v>
      </x:c>
      <x:c r="F31" s="27" t="n">
        <x:f>IF(C31+D31-E31&lt;=0,99,1+SUM(IF(AND(I31+J31-K31&gt;0,OR(I31+J31-K31&lt;C31+D31-E31,AND(I31+J31-K31=C31+D31-E31,1&lt;0))),1,0),IF(AND(O31+P31-Q31&gt;0,OR(O31+P31-Q31&lt;C31+D31-E31,AND(O31+P31-Q31=C31+D31-E31,2&lt;0))),1,0),IF(AND(U31+V31-W31&gt;0,OR(U31+V31-W31&lt;C31+D31-E31,AND(U31+V31-W31=C31+D31-E31,3&lt;0))),1,0),IF(AND(AA31+AB31-AC31&gt;0,OR(AA31+AB31-AC31&lt;C31+D31-E31,AND(AA31+AB31-AC31=C31+D31-E31,4&lt;0))),1,0)))</x:f>
        <x:v>99</x:v>
      </x:c>
      <x:c r="G31" s="6" t="n">
        <x:f>IF('Debt strategy'!$C$16&gt;0,0,MIN(C31+D31-E31,MAX(0,'Debt strategy'!$C$5-SUM(E31,K31,Q31,W31,AC31)-SUM(IF(L31&lt;F31,I31+J31-K31,0),IF(R31&lt;F31,O31+P31-Q31,0),IF(X31&lt;F31,U31+V31-W31,0),IF(AD31&lt;F31,AA31+AB31-AC31,0)))))</x:f>
        <x:v>0</x:v>
      </x:c>
      <x:c r="H31" s="6" t="n">
        <x:f>ROUND(MAX(0,C31+D31-E31-G31),2)</x:f>
        <x:v>0</x:v>
      </x:c>
      <x:c r="I31" s="6" t="n">
        <x:f>N30</x:f>
        <x:v>1625.88</x:v>
      </x:c>
      <x:c r="J31" s="6" t="n">
        <x:f>ROUND(I31*'Debt strategy'!$D$10/12,2)</x:f>
        <x:v>10.84</x:v>
      </x:c>
      <x:c r="K31" s="6" t="n">
        <x:f>MIN(I31+J31,'Debt strategy'!$E$10)</x:f>
        <x:v>150</x:v>
      </x:c>
      <x:c r="L31" s="27" t="n">
        <x:f>IF(I31+J31-K31&lt;=0,99,1+SUM(IF(AND(C31+D31-E31&gt;0,OR(C31+D31-E31&lt;I31+J31-K31,AND(C31+D31-E31=I31+J31-K31,0&lt;1))),1,0),IF(AND(O31+P31-Q31&gt;0,OR(O31+P31-Q31&lt;I31+J31-K31,AND(O31+P31-Q31=I31+J31-K31,2&lt;1))),1,0),IF(AND(U31+V31-W31&gt;0,OR(U31+V31-W31&lt;I31+J31-K31,AND(U31+V31-W31=I31+J31-K31,3&lt;1))),1,0),IF(AND(AA31+AB31-AC31&gt;0,OR(AA31+AB31-AC31&lt;I31+J31-K31,AND(AA31+AB31-AC31=I31+J31-K31,4&lt;1))),1,0)))</x:f>
        <x:v>1</x:v>
      </x:c>
      <x:c r="M31" s="6" t="n">
        <x:f>IF('Debt strategy'!$C$16&gt;0,0,MIN(I31+J31-K31,MAX(0,'Debt strategy'!$C$5-SUM(E31,K31,Q31,W31,AC31)-SUM(IF(F31&lt;L31,C31+D31-E31,0),IF(R31&lt;L31,O31+P31-Q31,0),IF(X31&lt;L31,U31+V31-W31,0),IF(AD31&lt;L31,AA31+AB31-AC31,0)))))</x:f>
        <x:v>250</x:v>
      </x:c>
      <x:c r="N31" s="6" t="n">
        <x:f>ROUND(MAX(0,I31+J31-K31-M31),2)</x:f>
        <x:v>1236.72</x:v>
      </x:c>
      <x:c r="O31" s="6" t="n">
        <x:f>T30</x:f>
        <x:v>0</x:v>
      </x:c>
      <x:c r="P31" s="6" t="n">
        <x:f>ROUND(O31*'Debt strategy'!$D$11/12,2)</x:f>
        <x:v>0</x:v>
      </x:c>
      <x:c r="Q31" s="6" t="n">
        <x:f>MIN(O31+P31,'Debt strategy'!$E$11)</x:f>
        <x:v>0</x:v>
      </x:c>
      <x:c r="R31" s="27" t="n">
        <x:f>IF(O31+P31-Q31&lt;=0,99,1+SUM(IF(AND(C31+D31-E31&gt;0,OR(C31+D31-E31&lt;O31+P31-Q31,AND(C31+D31-E31=O31+P31-Q31,0&lt;2))),1,0),IF(AND(I31+J31-K31&gt;0,OR(I31+J31-K31&lt;O31+P31-Q31,AND(I31+J31-K31=O31+P31-Q31,1&lt;2))),1,0),IF(AND(U31+V31-W31&gt;0,OR(U31+V31-W31&lt;O31+P31-Q31,AND(U31+V31-W31=O31+P31-Q31,3&lt;2))),1,0),IF(AND(AA31+AB31-AC31&gt;0,OR(AA31+AB31-AC31&lt;O31+P31-Q31,AND(AA31+AB31-AC31=O31+P31-Q31,4&lt;2))),1,0)))</x:f>
        <x:v>99</x:v>
      </x:c>
      <x:c r="S31" s="6" t="n">
        <x:f>IF('Debt strategy'!$C$16&gt;0,0,MIN(O31+P31-Q31,MAX(0,'Debt strategy'!$C$5-SUM(E31,K31,Q31,W31,AC31)-SUM(IF(F31&lt;R31,C31+D31-E31,0),IF(L31&lt;R31,I31+J31-K31,0),IF(X31&lt;R31,U31+V31-W31,0),IF(AD31&lt;R31,AA31+AB31-AC31,0)))))</x:f>
        <x:v>0</x:v>
      </x:c>
      <x:c r="T31" s="6" t="n">
        <x:f>ROUND(MAX(0,O31+P31-Q31-S31),2)</x:f>
        <x:v>0</x:v>
      </x:c>
      <x:c r="U31" s="6" t="n">
        <x:f>Z30</x:f>
        <x:v>0</x:v>
      </x:c>
      <x:c r="V31" s="6" t="n">
        <x:f>ROUND(U31*'Debt strategy'!$D$12/12,2)</x:f>
        <x:v>0</x:v>
      </x:c>
      <x:c r="W31" s="6" t="n">
        <x:f>MIN(U31+V31,'Debt strategy'!$E$12)</x:f>
        <x:v>0</x:v>
      </x:c>
      <x:c r="X31" s="27" t="n">
        <x:f>IF(U31+V31-W31&lt;=0,99,1+SUM(IF(AND(C31+D31-E31&gt;0,OR(C31+D31-E31&lt;U31+V31-W31,AND(C31+D31-E31=U31+V31-W31,0&lt;3))),1,0),IF(AND(I31+J31-K31&gt;0,OR(I31+J31-K31&lt;U31+V31-W31,AND(I31+J31-K31=U31+V31-W31,1&lt;3))),1,0),IF(AND(O31+P31-Q31&gt;0,OR(O31+P31-Q31&lt;U31+V31-W31,AND(O31+P31-Q31=U31+V31-W31,2&lt;3))),1,0),IF(AND(AA31+AB31-AC31&gt;0,OR(AA31+AB31-AC31&lt;U31+V31-W31,AND(AA31+AB31-AC31=U31+V31-W31,4&lt;3))),1,0)))</x:f>
        <x:v>99</x:v>
      </x:c>
      <x:c r="Y31" s="6" t="n">
        <x:f>IF('Debt strategy'!$C$16&gt;0,0,MIN(U31+V31-W31,MAX(0,'Debt strategy'!$C$5-SUM(E31,K31,Q31,W31,AC31)-SUM(IF(F31&lt;X31,C31+D31-E31,0),IF(L31&lt;X31,I31+J31-K31,0),IF(R31&lt;X31,O31+P31-Q31,0),IF(AD31&lt;X31,AA31+AB31-AC31,0)))))</x:f>
        <x:v>0</x:v>
      </x:c>
      <x:c r="Z31" s="6" t="n">
        <x:f>ROUND(MAX(0,U31+V31-W31-Y31),2)</x:f>
        <x:v>0</x:v>
      </x:c>
      <x:c r="AA31" s="6" t="n">
        <x:f>AF30</x:f>
        <x:v>0</x:v>
      </x:c>
      <x:c r="AB31" s="6" t="n">
        <x:f>ROUND(AA31*'Debt strategy'!$D$13/12,2)</x:f>
        <x:v>0</x:v>
      </x:c>
      <x:c r="AC31" s="6" t="n">
        <x:f>MIN(AA31+AB31,'Debt strategy'!$E$13)</x:f>
        <x:v>0</x:v>
      </x:c>
      <x:c r="AD31" s="27" t="n">
        <x:f>IF(AA31+AB31-AC31&lt;=0,99,1+SUM(IF(AND(C31+D31-E31&gt;0,OR(C31+D31-E31&lt;AA31+AB31-AC31,AND(C31+D31-E31=AA31+AB31-AC31,0&lt;4))),1,0),IF(AND(I31+J31-K31&gt;0,OR(I31+J31-K31&lt;AA31+AB31-AC31,AND(I31+J31-K31=AA31+AB31-AC31,1&lt;4))),1,0),IF(AND(O31+P31-Q31&gt;0,OR(O31+P31-Q31&lt;AA31+AB31-AC31,AND(O31+P31-Q31=AA31+AB31-AC31,2&lt;4))),1,0),IF(AND(U31+V31-W31&gt;0,OR(U31+V31-W31&lt;AA31+AB31-AC31,AND(U31+V31-W31=AA31+AB31-AC31,3&lt;4))),1,0)))</x:f>
        <x:v>99</x:v>
      </x:c>
      <x:c r="AE31" s="6" t="n">
        <x:f>IF('Debt strategy'!$C$16&gt;0,0,MIN(AA31+AB31-AC31,MAX(0,'Debt strategy'!$C$5-SUM(E31,K31,Q31,W31,AC31)-SUM(IF(F31&lt;AD31,C31+D31-E31,0),IF(L31&lt;AD31,I31+J31-K31,0),IF(R31&lt;AD31,O31+P31-Q31,0),IF(X31&lt;AD31,U31+V31-W31,0)))))</x:f>
        <x:v>0</x:v>
      </x:c>
      <x:c r="AF31" s="6" t="n">
        <x:f>ROUND(MAX(0,AA31+AB31-AC31-AE31),2)</x:f>
        <x:v>0</x:v>
      </x:c>
      <x:c r="AG31" s="6" t="n">
        <x:f>SUM(H31,N31,T31,Z31,AF31)</x:f>
        <x:v>1236.72</x:v>
      </x:c>
      <x:c r="AH31" s="6" t="n">
        <x:f>SUM(D31,J31,P31,V31,AB31)+AH30</x:f>
        <x:v>1336.7199999999996</x:v>
      </x:c>
      <x:c r="AI31" s="2"/>
    </x:row>
    <x:row r="32" ht="23" customHeight="1">
      <x:c r="B32" s="2" t="n">
        <x:f>24</x:f>
        <x:v>24</x:v>
      </x:c>
      <x:c r="C32" s="6" t="n">
        <x:f>H31</x:f>
        <x:v>0</x:v>
      </x:c>
      <x:c r="D32" s="6" t="n">
        <x:f>ROUND(C32*'Debt strategy'!$D$9/12,2)</x:f>
        <x:v>0</x:v>
      </x:c>
      <x:c r="E32" s="6" t="n">
        <x:f>MIN(C32+D32,'Debt strategy'!$E$9)</x:f>
        <x:v>0</x:v>
      </x:c>
      <x:c r="F32" s="27" t="n">
        <x:f>IF(C32+D32-E32&lt;=0,99,1+SUM(IF(AND(I32+J32-K32&gt;0,OR(I32+J32-K32&lt;C32+D32-E32,AND(I32+J32-K32=C32+D32-E32,1&lt;0))),1,0),IF(AND(O32+P32-Q32&gt;0,OR(O32+P32-Q32&lt;C32+D32-E32,AND(O32+P32-Q32=C32+D32-E32,2&lt;0))),1,0),IF(AND(U32+V32-W32&gt;0,OR(U32+V32-W32&lt;C32+D32-E32,AND(U32+V32-W32=C32+D32-E32,3&lt;0))),1,0),IF(AND(AA32+AB32-AC32&gt;0,OR(AA32+AB32-AC32&lt;C32+D32-E32,AND(AA32+AB32-AC32=C32+D32-E32,4&lt;0))),1,0)))</x:f>
        <x:v>99</x:v>
      </x:c>
      <x:c r="G32" s="6" t="n">
        <x:f>IF('Debt strategy'!$C$16&gt;0,0,MIN(C32+D32-E32,MAX(0,'Debt strategy'!$C$5-SUM(E32,K32,Q32,W32,AC32)-SUM(IF(L32&lt;F32,I32+J32-K32,0),IF(R32&lt;F32,O32+P32-Q32,0),IF(X32&lt;F32,U32+V32-W32,0),IF(AD32&lt;F32,AA32+AB32-AC32,0)))))</x:f>
        <x:v>0</x:v>
      </x:c>
      <x:c r="H32" s="6" t="n">
        <x:f>ROUND(MAX(0,C32+D32-E32-G32),2)</x:f>
        <x:v>0</x:v>
      </x:c>
      <x:c r="I32" s="6" t="n">
        <x:f>N31</x:f>
        <x:v>1236.72</x:v>
      </x:c>
      <x:c r="J32" s="6" t="n">
        <x:f>ROUND(I32*'Debt strategy'!$D$10/12,2)</x:f>
        <x:v>8.24</x:v>
      </x:c>
      <x:c r="K32" s="6" t="n">
        <x:f>MIN(I32+J32,'Debt strategy'!$E$10)</x:f>
        <x:v>150</x:v>
      </x:c>
      <x:c r="L32" s="27" t="n">
        <x:f>IF(I32+J32-K32&lt;=0,99,1+SUM(IF(AND(C32+D32-E32&gt;0,OR(C32+D32-E32&lt;I32+J32-K32,AND(C32+D32-E32=I32+J32-K32,0&lt;1))),1,0),IF(AND(O32+P32-Q32&gt;0,OR(O32+P32-Q32&lt;I32+J32-K32,AND(O32+P32-Q32=I32+J32-K32,2&lt;1))),1,0),IF(AND(U32+V32-W32&gt;0,OR(U32+V32-W32&lt;I32+J32-K32,AND(U32+V32-W32=I32+J32-K32,3&lt;1))),1,0),IF(AND(AA32+AB32-AC32&gt;0,OR(AA32+AB32-AC32&lt;I32+J32-K32,AND(AA32+AB32-AC32=I32+J32-K32,4&lt;1))),1,0)))</x:f>
        <x:v>1</x:v>
      </x:c>
      <x:c r="M32" s="6" t="n">
        <x:f>IF('Debt strategy'!$C$16&gt;0,0,MIN(I32+J32-K32,MAX(0,'Debt strategy'!$C$5-SUM(E32,K32,Q32,W32,AC32)-SUM(IF(F32&lt;L32,C32+D32-E32,0),IF(R32&lt;L32,O32+P32-Q32,0),IF(X32&lt;L32,U32+V32-W32,0),IF(AD32&lt;L32,AA32+AB32-AC32,0)))))</x:f>
        <x:v>250</x:v>
      </x:c>
      <x:c r="N32" s="6" t="n">
        <x:f>ROUND(MAX(0,I32+J32-K32-M32),2)</x:f>
        <x:v>844.96</x:v>
      </x:c>
      <x:c r="O32" s="6" t="n">
        <x:f>T31</x:f>
        <x:v>0</x:v>
      </x:c>
      <x:c r="P32" s="6" t="n">
        <x:f>ROUND(O32*'Debt strategy'!$D$11/12,2)</x:f>
        <x:v>0</x:v>
      </x:c>
      <x:c r="Q32" s="6" t="n">
        <x:f>MIN(O32+P32,'Debt strategy'!$E$11)</x:f>
        <x:v>0</x:v>
      </x:c>
      <x:c r="R32" s="27" t="n">
        <x:f>IF(O32+P32-Q32&lt;=0,99,1+SUM(IF(AND(C32+D32-E32&gt;0,OR(C32+D32-E32&lt;O32+P32-Q32,AND(C32+D32-E32=O32+P32-Q32,0&lt;2))),1,0),IF(AND(I32+J32-K32&gt;0,OR(I32+J32-K32&lt;O32+P32-Q32,AND(I32+J32-K32=O32+P32-Q32,1&lt;2))),1,0),IF(AND(U32+V32-W32&gt;0,OR(U32+V32-W32&lt;O32+P32-Q32,AND(U32+V32-W32=O32+P32-Q32,3&lt;2))),1,0),IF(AND(AA32+AB32-AC32&gt;0,OR(AA32+AB32-AC32&lt;O32+P32-Q32,AND(AA32+AB32-AC32=O32+P32-Q32,4&lt;2))),1,0)))</x:f>
        <x:v>99</x:v>
      </x:c>
      <x:c r="S32" s="6" t="n">
        <x:f>IF('Debt strategy'!$C$16&gt;0,0,MIN(O32+P32-Q32,MAX(0,'Debt strategy'!$C$5-SUM(E32,K32,Q32,W32,AC32)-SUM(IF(F32&lt;R32,C32+D32-E32,0),IF(L32&lt;R32,I32+J32-K32,0),IF(X32&lt;R32,U32+V32-W32,0),IF(AD32&lt;R32,AA32+AB32-AC32,0)))))</x:f>
        <x:v>0</x:v>
      </x:c>
      <x:c r="T32" s="6" t="n">
        <x:f>ROUND(MAX(0,O32+P32-Q32-S32),2)</x:f>
        <x:v>0</x:v>
      </x:c>
      <x:c r="U32" s="6" t="n">
        <x:f>Z31</x:f>
        <x:v>0</x:v>
      </x:c>
      <x:c r="V32" s="6" t="n">
        <x:f>ROUND(U32*'Debt strategy'!$D$12/12,2)</x:f>
        <x:v>0</x:v>
      </x:c>
      <x:c r="W32" s="6" t="n">
        <x:f>MIN(U32+V32,'Debt strategy'!$E$12)</x:f>
        <x:v>0</x:v>
      </x:c>
      <x:c r="X32" s="27" t="n">
        <x:f>IF(U32+V32-W32&lt;=0,99,1+SUM(IF(AND(C32+D32-E32&gt;0,OR(C32+D32-E32&lt;U32+V32-W32,AND(C32+D32-E32=U32+V32-W32,0&lt;3))),1,0),IF(AND(I32+J32-K32&gt;0,OR(I32+J32-K32&lt;U32+V32-W32,AND(I32+J32-K32=U32+V32-W32,1&lt;3))),1,0),IF(AND(O32+P32-Q32&gt;0,OR(O32+P32-Q32&lt;U32+V32-W32,AND(O32+P32-Q32=U32+V32-W32,2&lt;3))),1,0),IF(AND(AA32+AB32-AC32&gt;0,OR(AA32+AB32-AC32&lt;U32+V32-W32,AND(AA32+AB32-AC32=U32+V32-W32,4&lt;3))),1,0)))</x:f>
        <x:v>99</x:v>
      </x:c>
      <x:c r="Y32" s="6" t="n">
        <x:f>IF('Debt strategy'!$C$16&gt;0,0,MIN(U32+V32-W32,MAX(0,'Debt strategy'!$C$5-SUM(E32,K32,Q32,W32,AC32)-SUM(IF(F32&lt;X32,C32+D32-E32,0),IF(L32&lt;X32,I32+J32-K32,0),IF(R32&lt;X32,O32+P32-Q32,0),IF(AD32&lt;X32,AA32+AB32-AC32,0)))))</x:f>
        <x:v>0</x:v>
      </x:c>
      <x:c r="Z32" s="6" t="n">
        <x:f>ROUND(MAX(0,U32+V32-W32-Y32),2)</x:f>
        <x:v>0</x:v>
      </x:c>
      <x:c r="AA32" s="6" t="n">
        <x:f>AF31</x:f>
        <x:v>0</x:v>
      </x:c>
      <x:c r="AB32" s="6" t="n">
        <x:f>ROUND(AA32*'Debt strategy'!$D$13/12,2)</x:f>
        <x:v>0</x:v>
      </x:c>
      <x:c r="AC32" s="6" t="n">
        <x:f>MIN(AA32+AB32,'Debt strategy'!$E$13)</x:f>
        <x:v>0</x:v>
      </x:c>
      <x:c r="AD32" s="27" t="n">
        <x:f>IF(AA32+AB32-AC32&lt;=0,99,1+SUM(IF(AND(C32+D32-E32&gt;0,OR(C32+D32-E32&lt;AA32+AB32-AC32,AND(C32+D32-E32=AA32+AB32-AC32,0&lt;4))),1,0),IF(AND(I32+J32-K32&gt;0,OR(I32+J32-K32&lt;AA32+AB32-AC32,AND(I32+J32-K32=AA32+AB32-AC32,1&lt;4))),1,0),IF(AND(O32+P32-Q32&gt;0,OR(O32+P32-Q32&lt;AA32+AB32-AC32,AND(O32+P32-Q32=AA32+AB32-AC32,2&lt;4))),1,0),IF(AND(U32+V32-W32&gt;0,OR(U32+V32-W32&lt;AA32+AB32-AC32,AND(U32+V32-W32=AA32+AB32-AC32,3&lt;4))),1,0)))</x:f>
        <x:v>99</x:v>
      </x:c>
      <x:c r="AE32" s="6" t="n">
        <x:f>IF('Debt strategy'!$C$16&gt;0,0,MIN(AA32+AB32-AC32,MAX(0,'Debt strategy'!$C$5-SUM(E32,K32,Q32,W32,AC32)-SUM(IF(F32&lt;AD32,C32+D32-E32,0),IF(L32&lt;AD32,I32+J32-K32,0),IF(R32&lt;AD32,O32+P32-Q32,0),IF(X32&lt;AD32,U32+V32-W32,0)))))</x:f>
        <x:v>0</x:v>
      </x:c>
      <x:c r="AF32" s="6" t="n">
        <x:f>ROUND(MAX(0,AA32+AB32-AC32-AE32),2)</x:f>
        <x:v>0</x:v>
      </x:c>
      <x:c r="AG32" s="6" t="n">
        <x:f>SUM(H32,N32,T32,Z32,AF32)</x:f>
        <x:v>844.96</x:v>
      </x:c>
      <x:c r="AH32" s="6" t="n">
        <x:f>SUM(D32,J32,P32,V32,AB32)+AH31</x:f>
        <x:v>1344.9599999999996</x:v>
      </x:c>
      <x:c r="AI32" s="2"/>
    </x:row>
    <x:row r="33" ht="23" customHeight="1">
      <x:c r="B33" s="2" t="n">
        <x:f>25</x:f>
        <x:v>25</x:v>
      </x:c>
      <x:c r="C33" s="6" t="n">
        <x:f>H32</x:f>
        <x:v>0</x:v>
      </x:c>
      <x:c r="D33" s="6" t="n">
        <x:f>ROUND(C33*'Debt strategy'!$D$9/12,2)</x:f>
        <x:v>0</x:v>
      </x:c>
      <x:c r="E33" s="6" t="n">
        <x:f>MIN(C33+D33,'Debt strategy'!$E$9)</x:f>
        <x:v>0</x:v>
      </x:c>
      <x:c r="F33" s="27" t="n">
        <x:f>IF(C33+D33-E33&lt;=0,99,1+SUM(IF(AND(I33+J33-K33&gt;0,OR(I33+J33-K33&lt;C33+D33-E33,AND(I33+J33-K33=C33+D33-E33,1&lt;0))),1,0),IF(AND(O33+P33-Q33&gt;0,OR(O33+P33-Q33&lt;C33+D33-E33,AND(O33+P33-Q33=C33+D33-E33,2&lt;0))),1,0),IF(AND(U33+V33-W33&gt;0,OR(U33+V33-W33&lt;C33+D33-E33,AND(U33+V33-W33=C33+D33-E33,3&lt;0))),1,0),IF(AND(AA33+AB33-AC33&gt;0,OR(AA33+AB33-AC33&lt;C33+D33-E33,AND(AA33+AB33-AC33=C33+D33-E33,4&lt;0))),1,0)))</x:f>
        <x:v>99</x:v>
      </x:c>
      <x:c r="G33" s="6" t="n">
        <x:f>IF('Debt strategy'!$C$16&gt;0,0,MIN(C33+D33-E33,MAX(0,'Debt strategy'!$C$5-SUM(E33,K33,Q33,W33,AC33)-SUM(IF(L33&lt;F33,I33+J33-K33,0),IF(R33&lt;F33,O33+P33-Q33,0),IF(X33&lt;F33,U33+V33-W33,0),IF(AD33&lt;F33,AA33+AB33-AC33,0)))))</x:f>
        <x:v>0</x:v>
      </x:c>
      <x:c r="H33" s="6" t="n">
        <x:f>ROUND(MAX(0,C33+D33-E33-G33),2)</x:f>
        <x:v>0</x:v>
      </x:c>
      <x:c r="I33" s="6" t="n">
        <x:f>N32</x:f>
        <x:v>844.96</x:v>
      </x:c>
      <x:c r="J33" s="6" t="n">
        <x:f>ROUND(I33*'Debt strategy'!$D$10/12,2)</x:f>
        <x:v>5.63</x:v>
      </x:c>
      <x:c r="K33" s="6" t="n">
        <x:f>MIN(I33+J33,'Debt strategy'!$E$10)</x:f>
        <x:v>150</x:v>
      </x:c>
      <x:c r="L33" s="27" t="n">
        <x:f>IF(I33+J33-K33&lt;=0,99,1+SUM(IF(AND(C33+D33-E33&gt;0,OR(C33+D33-E33&lt;I33+J33-K33,AND(C33+D33-E33=I33+J33-K33,0&lt;1))),1,0),IF(AND(O33+P33-Q33&gt;0,OR(O33+P33-Q33&lt;I33+J33-K33,AND(O33+P33-Q33=I33+J33-K33,2&lt;1))),1,0),IF(AND(U33+V33-W33&gt;0,OR(U33+V33-W33&lt;I33+J33-K33,AND(U33+V33-W33=I33+J33-K33,3&lt;1))),1,0),IF(AND(AA33+AB33-AC33&gt;0,OR(AA33+AB33-AC33&lt;I33+J33-K33,AND(AA33+AB33-AC33=I33+J33-K33,4&lt;1))),1,0)))</x:f>
        <x:v>1</x:v>
      </x:c>
      <x:c r="M33" s="6" t="n">
        <x:f>IF('Debt strategy'!$C$16&gt;0,0,MIN(I33+J33-K33,MAX(0,'Debt strategy'!$C$5-SUM(E33,K33,Q33,W33,AC33)-SUM(IF(F33&lt;L33,C33+D33-E33,0),IF(R33&lt;L33,O33+P33-Q33,0),IF(X33&lt;L33,U33+V33-W33,0),IF(AD33&lt;L33,AA33+AB33-AC33,0)))))</x:f>
        <x:v>250</x:v>
      </x:c>
      <x:c r="N33" s="6" t="n">
        <x:f>ROUND(MAX(0,I33+J33-K33-M33),2)</x:f>
        <x:v>450.59</x:v>
      </x:c>
      <x:c r="O33" s="6" t="n">
        <x:f>T32</x:f>
        <x:v>0</x:v>
      </x:c>
      <x:c r="P33" s="6" t="n">
        <x:f>ROUND(O33*'Debt strategy'!$D$11/12,2)</x:f>
        <x:v>0</x:v>
      </x:c>
      <x:c r="Q33" s="6" t="n">
        <x:f>MIN(O33+P33,'Debt strategy'!$E$11)</x:f>
        <x:v>0</x:v>
      </x:c>
      <x:c r="R33" s="27" t="n">
        <x:f>IF(O33+P33-Q33&lt;=0,99,1+SUM(IF(AND(C33+D33-E33&gt;0,OR(C33+D33-E33&lt;O33+P33-Q33,AND(C33+D33-E33=O33+P33-Q33,0&lt;2))),1,0),IF(AND(I33+J33-K33&gt;0,OR(I33+J33-K33&lt;O33+P33-Q33,AND(I33+J33-K33=O33+P33-Q33,1&lt;2))),1,0),IF(AND(U33+V33-W33&gt;0,OR(U33+V33-W33&lt;O33+P33-Q33,AND(U33+V33-W33=O33+P33-Q33,3&lt;2))),1,0),IF(AND(AA33+AB33-AC33&gt;0,OR(AA33+AB33-AC33&lt;O33+P33-Q33,AND(AA33+AB33-AC33=O33+P33-Q33,4&lt;2))),1,0)))</x:f>
        <x:v>99</x:v>
      </x:c>
      <x:c r="S33" s="6" t="n">
        <x:f>IF('Debt strategy'!$C$16&gt;0,0,MIN(O33+P33-Q33,MAX(0,'Debt strategy'!$C$5-SUM(E33,K33,Q33,W33,AC33)-SUM(IF(F33&lt;R33,C33+D33-E33,0),IF(L33&lt;R33,I33+J33-K33,0),IF(X33&lt;R33,U33+V33-W33,0),IF(AD33&lt;R33,AA33+AB33-AC33,0)))))</x:f>
        <x:v>0</x:v>
      </x:c>
      <x:c r="T33" s="6" t="n">
        <x:f>ROUND(MAX(0,O33+P33-Q33-S33),2)</x:f>
        <x:v>0</x:v>
      </x:c>
      <x:c r="U33" s="6" t="n">
        <x:f>Z32</x:f>
        <x:v>0</x:v>
      </x:c>
      <x:c r="V33" s="6" t="n">
        <x:f>ROUND(U33*'Debt strategy'!$D$12/12,2)</x:f>
        <x:v>0</x:v>
      </x:c>
      <x:c r="W33" s="6" t="n">
        <x:f>MIN(U33+V33,'Debt strategy'!$E$12)</x:f>
        <x:v>0</x:v>
      </x:c>
      <x:c r="X33" s="27" t="n">
        <x:f>IF(U33+V33-W33&lt;=0,99,1+SUM(IF(AND(C33+D33-E33&gt;0,OR(C33+D33-E33&lt;U33+V33-W33,AND(C33+D33-E33=U33+V33-W33,0&lt;3))),1,0),IF(AND(I33+J33-K33&gt;0,OR(I33+J33-K33&lt;U33+V33-W33,AND(I33+J33-K33=U33+V33-W33,1&lt;3))),1,0),IF(AND(O33+P33-Q33&gt;0,OR(O33+P33-Q33&lt;U33+V33-W33,AND(O33+P33-Q33=U33+V33-W33,2&lt;3))),1,0),IF(AND(AA33+AB33-AC33&gt;0,OR(AA33+AB33-AC33&lt;U33+V33-W33,AND(AA33+AB33-AC33=U33+V33-W33,4&lt;3))),1,0)))</x:f>
        <x:v>99</x:v>
      </x:c>
      <x:c r="Y33" s="6" t="n">
        <x:f>IF('Debt strategy'!$C$16&gt;0,0,MIN(U33+V33-W33,MAX(0,'Debt strategy'!$C$5-SUM(E33,K33,Q33,W33,AC33)-SUM(IF(F33&lt;X33,C33+D33-E33,0),IF(L33&lt;X33,I33+J33-K33,0),IF(R33&lt;X33,O33+P33-Q33,0),IF(AD33&lt;X33,AA33+AB33-AC33,0)))))</x:f>
        <x:v>0</x:v>
      </x:c>
      <x:c r="Z33" s="6" t="n">
        <x:f>ROUND(MAX(0,U33+V33-W33-Y33),2)</x:f>
        <x:v>0</x:v>
      </x:c>
      <x:c r="AA33" s="6" t="n">
        <x:f>AF32</x:f>
        <x:v>0</x:v>
      </x:c>
      <x:c r="AB33" s="6" t="n">
        <x:f>ROUND(AA33*'Debt strategy'!$D$13/12,2)</x:f>
        <x:v>0</x:v>
      </x:c>
      <x:c r="AC33" s="6" t="n">
        <x:f>MIN(AA33+AB33,'Debt strategy'!$E$13)</x:f>
        <x:v>0</x:v>
      </x:c>
      <x:c r="AD33" s="27" t="n">
        <x:f>IF(AA33+AB33-AC33&lt;=0,99,1+SUM(IF(AND(C33+D33-E33&gt;0,OR(C33+D33-E33&lt;AA33+AB33-AC33,AND(C33+D33-E33=AA33+AB33-AC33,0&lt;4))),1,0),IF(AND(I33+J33-K33&gt;0,OR(I33+J33-K33&lt;AA33+AB33-AC33,AND(I33+J33-K33=AA33+AB33-AC33,1&lt;4))),1,0),IF(AND(O33+P33-Q33&gt;0,OR(O33+P33-Q33&lt;AA33+AB33-AC33,AND(O33+P33-Q33=AA33+AB33-AC33,2&lt;4))),1,0),IF(AND(U33+V33-W33&gt;0,OR(U33+V33-W33&lt;AA33+AB33-AC33,AND(U33+V33-W33=AA33+AB33-AC33,3&lt;4))),1,0)))</x:f>
        <x:v>99</x:v>
      </x:c>
      <x:c r="AE33" s="6" t="n">
        <x:f>IF('Debt strategy'!$C$16&gt;0,0,MIN(AA33+AB33-AC33,MAX(0,'Debt strategy'!$C$5-SUM(E33,K33,Q33,W33,AC33)-SUM(IF(F33&lt;AD33,C33+D33-E33,0),IF(L33&lt;AD33,I33+J33-K33,0),IF(R33&lt;AD33,O33+P33-Q33,0),IF(X33&lt;AD33,U33+V33-W33,0)))))</x:f>
        <x:v>0</x:v>
      </x:c>
      <x:c r="AF33" s="6" t="n">
        <x:f>ROUND(MAX(0,AA33+AB33-AC33-AE33),2)</x:f>
        <x:v>0</x:v>
      </x:c>
      <x:c r="AG33" s="6" t="n">
        <x:f>SUM(H33,N33,T33,Z33,AF33)</x:f>
        <x:v>450.59</x:v>
      </x:c>
      <x:c r="AH33" s="6" t="n">
        <x:f>SUM(D33,J33,P33,V33,AB33)+AH32</x:f>
        <x:v>1350.5899999999997</x:v>
      </x:c>
      <x:c r="AI33" s="2"/>
    </x:row>
    <x:row r="34" ht="23" customHeight="1">
      <x:c r="B34" s="2" t="n">
        <x:f>26</x:f>
        <x:v>26</x:v>
      </x:c>
      <x:c r="C34" s="6" t="n">
        <x:f>H33</x:f>
        <x:v>0</x:v>
      </x:c>
      <x:c r="D34" s="6" t="n">
        <x:f>ROUND(C34*'Debt strategy'!$D$9/12,2)</x:f>
        <x:v>0</x:v>
      </x:c>
      <x:c r="E34" s="6" t="n">
        <x:f>MIN(C34+D34,'Debt strategy'!$E$9)</x:f>
        <x:v>0</x:v>
      </x:c>
      <x:c r="F34" s="27" t="n">
        <x:f>IF(C34+D34-E34&lt;=0,99,1+SUM(IF(AND(I34+J34-K34&gt;0,OR(I34+J34-K34&lt;C34+D34-E34,AND(I34+J34-K34=C34+D34-E34,1&lt;0))),1,0),IF(AND(O34+P34-Q34&gt;0,OR(O34+P34-Q34&lt;C34+D34-E34,AND(O34+P34-Q34=C34+D34-E34,2&lt;0))),1,0),IF(AND(U34+V34-W34&gt;0,OR(U34+V34-W34&lt;C34+D34-E34,AND(U34+V34-W34=C34+D34-E34,3&lt;0))),1,0),IF(AND(AA34+AB34-AC34&gt;0,OR(AA34+AB34-AC34&lt;C34+D34-E34,AND(AA34+AB34-AC34=C34+D34-E34,4&lt;0))),1,0)))</x:f>
        <x:v>99</x:v>
      </x:c>
      <x:c r="G34" s="6" t="n">
        <x:f>IF('Debt strategy'!$C$16&gt;0,0,MIN(C34+D34-E34,MAX(0,'Debt strategy'!$C$5-SUM(E34,K34,Q34,W34,AC34)-SUM(IF(L34&lt;F34,I34+J34-K34,0),IF(R34&lt;F34,O34+P34-Q34,0),IF(X34&lt;F34,U34+V34-W34,0),IF(AD34&lt;F34,AA34+AB34-AC34,0)))))</x:f>
        <x:v>0</x:v>
      </x:c>
      <x:c r="H34" s="6" t="n">
        <x:f>ROUND(MAX(0,C34+D34-E34-G34),2)</x:f>
        <x:v>0</x:v>
      </x:c>
      <x:c r="I34" s="6" t="n">
        <x:f>N33</x:f>
        <x:v>450.59</x:v>
      </x:c>
      <x:c r="J34" s="6" t="n">
        <x:f>ROUND(I34*'Debt strategy'!$D$10/12,2)</x:f>
        <x:v>3</x:v>
      </x:c>
      <x:c r="K34" s="6" t="n">
        <x:f>MIN(I34+J34,'Debt strategy'!$E$10)</x:f>
        <x:v>150</x:v>
      </x:c>
      <x:c r="L34" s="27" t="n">
        <x:f>IF(I34+J34-K34&lt;=0,99,1+SUM(IF(AND(C34+D34-E34&gt;0,OR(C34+D34-E34&lt;I34+J34-K34,AND(C34+D34-E34=I34+J34-K34,0&lt;1))),1,0),IF(AND(O34+P34-Q34&gt;0,OR(O34+P34-Q34&lt;I34+J34-K34,AND(O34+P34-Q34=I34+J34-K34,2&lt;1))),1,0),IF(AND(U34+V34-W34&gt;0,OR(U34+V34-W34&lt;I34+J34-K34,AND(U34+V34-W34=I34+J34-K34,3&lt;1))),1,0),IF(AND(AA34+AB34-AC34&gt;0,OR(AA34+AB34-AC34&lt;I34+J34-K34,AND(AA34+AB34-AC34=I34+J34-K34,4&lt;1))),1,0)))</x:f>
        <x:v>1</x:v>
      </x:c>
      <x:c r="M34" s="6" t="n">
        <x:f>IF('Debt strategy'!$C$16&gt;0,0,MIN(I34+J34-K34,MAX(0,'Debt strategy'!$C$5-SUM(E34,K34,Q34,W34,AC34)-SUM(IF(F34&lt;L34,C34+D34-E34,0),IF(R34&lt;L34,O34+P34-Q34,0),IF(X34&lt;L34,U34+V34-W34,0),IF(AD34&lt;L34,AA34+AB34-AC34,0)))))</x:f>
        <x:v>250</x:v>
      </x:c>
      <x:c r="N34" s="6" t="n">
        <x:f>ROUND(MAX(0,I34+J34-K34-M34),2)</x:f>
        <x:v>53.59</x:v>
      </x:c>
      <x:c r="O34" s="6" t="n">
        <x:f>T33</x:f>
        <x:v>0</x:v>
      </x:c>
      <x:c r="P34" s="6" t="n">
        <x:f>ROUND(O34*'Debt strategy'!$D$11/12,2)</x:f>
        <x:v>0</x:v>
      </x:c>
      <x:c r="Q34" s="6" t="n">
        <x:f>MIN(O34+P34,'Debt strategy'!$E$11)</x:f>
        <x:v>0</x:v>
      </x:c>
      <x:c r="R34" s="27" t="n">
        <x:f>IF(O34+P34-Q34&lt;=0,99,1+SUM(IF(AND(C34+D34-E34&gt;0,OR(C34+D34-E34&lt;O34+P34-Q34,AND(C34+D34-E34=O34+P34-Q34,0&lt;2))),1,0),IF(AND(I34+J34-K34&gt;0,OR(I34+J34-K34&lt;O34+P34-Q34,AND(I34+J34-K34=O34+P34-Q34,1&lt;2))),1,0),IF(AND(U34+V34-W34&gt;0,OR(U34+V34-W34&lt;O34+P34-Q34,AND(U34+V34-W34=O34+P34-Q34,3&lt;2))),1,0),IF(AND(AA34+AB34-AC34&gt;0,OR(AA34+AB34-AC34&lt;O34+P34-Q34,AND(AA34+AB34-AC34=O34+P34-Q34,4&lt;2))),1,0)))</x:f>
        <x:v>99</x:v>
      </x:c>
      <x:c r="S34" s="6" t="n">
        <x:f>IF('Debt strategy'!$C$16&gt;0,0,MIN(O34+P34-Q34,MAX(0,'Debt strategy'!$C$5-SUM(E34,K34,Q34,W34,AC34)-SUM(IF(F34&lt;R34,C34+D34-E34,0),IF(L34&lt;R34,I34+J34-K34,0),IF(X34&lt;R34,U34+V34-W34,0),IF(AD34&lt;R34,AA34+AB34-AC34,0)))))</x:f>
        <x:v>0</x:v>
      </x:c>
      <x:c r="T34" s="6" t="n">
        <x:f>ROUND(MAX(0,O34+P34-Q34-S34),2)</x:f>
        <x:v>0</x:v>
      </x:c>
      <x:c r="U34" s="6" t="n">
        <x:f>Z33</x:f>
        <x:v>0</x:v>
      </x:c>
      <x:c r="V34" s="6" t="n">
        <x:f>ROUND(U34*'Debt strategy'!$D$12/12,2)</x:f>
        <x:v>0</x:v>
      </x:c>
      <x:c r="W34" s="6" t="n">
        <x:f>MIN(U34+V34,'Debt strategy'!$E$12)</x:f>
        <x:v>0</x:v>
      </x:c>
      <x:c r="X34" s="27" t="n">
        <x:f>IF(U34+V34-W34&lt;=0,99,1+SUM(IF(AND(C34+D34-E34&gt;0,OR(C34+D34-E34&lt;U34+V34-W34,AND(C34+D34-E34=U34+V34-W34,0&lt;3))),1,0),IF(AND(I34+J34-K34&gt;0,OR(I34+J34-K34&lt;U34+V34-W34,AND(I34+J34-K34=U34+V34-W34,1&lt;3))),1,0),IF(AND(O34+P34-Q34&gt;0,OR(O34+P34-Q34&lt;U34+V34-W34,AND(O34+P34-Q34=U34+V34-W34,2&lt;3))),1,0),IF(AND(AA34+AB34-AC34&gt;0,OR(AA34+AB34-AC34&lt;U34+V34-W34,AND(AA34+AB34-AC34=U34+V34-W34,4&lt;3))),1,0)))</x:f>
        <x:v>99</x:v>
      </x:c>
      <x:c r="Y34" s="6" t="n">
        <x:f>IF('Debt strategy'!$C$16&gt;0,0,MIN(U34+V34-W34,MAX(0,'Debt strategy'!$C$5-SUM(E34,K34,Q34,W34,AC34)-SUM(IF(F34&lt;X34,C34+D34-E34,0),IF(L34&lt;X34,I34+J34-K34,0),IF(R34&lt;X34,O34+P34-Q34,0),IF(AD34&lt;X34,AA34+AB34-AC34,0)))))</x:f>
        <x:v>0</x:v>
      </x:c>
      <x:c r="Z34" s="6" t="n">
        <x:f>ROUND(MAX(0,U34+V34-W34-Y34),2)</x:f>
        <x:v>0</x:v>
      </x:c>
      <x:c r="AA34" s="6" t="n">
        <x:f>AF33</x:f>
        <x:v>0</x:v>
      </x:c>
      <x:c r="AB34" s="6" t="n">
        <x:f>ROUND(AA34*'Debt strategy'!$D$13/12,2)</x:f>
        <x:v>0</x:v>
      </x:c>
      <x:c r="AC34" s="6" t="n">
        <x:f>MIN(AA34+AB34,'Debt strategy'!$E$13)</x:f>
        <x:v>0</x:v>
      </x:c>
      <x:c r="AD34" s="27" t="n">
        <x:f>IF(AA34+AB34-AC34&lt;=0,99,1+SUM(IF(AND(C34+D34-E34&gt;0,OR(C34+D34-E34&lt;AA34+AB34-AC34,AND(C34+D34-E34=AA34+AB34-AC34,0&lt;4))),1,0),IF(AND(I34+J34-K34&gt;0,OR(I34+J34-K34&lt;AA34+AB34-AC34,AND(I34+J34-K34=AA34+AB34-AC34,1&lt;4))),1,0),IF(AND(O34+P34-Q34&gt;0,OR(O34+P34-Q34&lt;AA34+AB34-AC34,AND(O34+P34-Q34=AA34+AB34-AC34,2&lt;4))),1,0),IF(AND(U34+V34-W34&gt;0,OR(U34+V34-W34&lt;AA34+AB34-AC34,AND(U34+V34-W34=AA34+AB34-AC34,3&lt;4))),1,0)))</x:f>
        <x:v>99</x:v>
      </x:c>
      <x:c r="AE34" s="6" t="n">
        <x:f>IF('Debt strategy'!$C$16&gt;0,0,MIN(AA34+AB34-AC34,MAX(0,'Debt strategy'!$C$5-SUM(E34,K34,Q34,W34,AC34)-SUM(IF(F34&lt;AD34,C34+D34-E34,0),IF(L34&lt;AD34,I34+J34-K34,0),IF(R34&lt;AD34,O34+P34-Q34,0),IF(X34&lt;AD34,U34+V34-W34,0)))))</x:f>
        <x:v>0</x:v>
      </x:c>
      <x:c r="AF34" s="6" t="n">
        <x:f>ROUND(MAX(0,AA34+AB34-AC34-AE34),2)</x:f>
        <x:v>0</x:v>
      </x:c>
      <x:c r="AG34" s="6" t="n">
        <x:f>SUM(H34,N34,T34,Z34,AF34)</x:f>
        <x:v>53.59</x:v>
      </x:c>
      <x:c r="AH34" s="6" t="n">
        <x:f>SUM(D34,J34,P34,V34,AB34)+AH33</x:f>
        <x:v>1353.5899999999997</x:v>
      </x:c>
      <x:c r="AI34" s="2"/>
    </x:row>
    <x:row r="35" ht="23" customHeight="1">
      <x:c r="B35" s="2" t="n">
        <x:f>27</x:f>
        <x:v>27</x:v>
      </x:c>
      <x:c r="C35" s="6" t="n">
        <x:f>H34</x:f>
        <x:v>0</x:v>
      </x:c>
      <x:c r="D35" s="6" t="n">
        <x:f>ROUND(C35*'Debt strategy'!$D$9/12,2)</x:f>
        <x:v>0</x:v>
      </x:c>
      <x:c r="E35" s="6" t="n">
        <x:f>MIN(C35+D35,'Debt strategy'!$E$9)</x:f>
        <x:v>0</x:v>
      </x:c>
      <x:c r="F35" s="27" t="n">
        <x:f>IF(C35+D35-E35&lt;=0,99,1+SUM(IF(AND(I35+J35-K35&gt;0,OR(I35+J35-K35&lt;C35+D35-E35,AND(I35+J35-K35=C35+D35-E35,1&lt;0))),1,0),IF(AND(O35+P35-Q35&gt;0,OR(O35+P35-Q35&lt;C35+D35-E35,AND(O35+P35-Q35=C35+D35-E35,2&lt;0))),1,0),IF(AND(U35+V35-W35&gt;0,OR(U35+V35-W35&lt;C35+D35-E35,AND(U35+V35-W35=C35+D35-E35,3&lt;0))),1,0),IF(AND(AA35+AB35-AC35&gt;0,OR(AA35+AB35-AC35&lt;C35+D35-E35,AND(AA35+AB35-AC35=C35+D35-E35,4&lt;0))),1,0)))</x:f>
        <x:v>99</x:v>
      </x:c>
      <x:c r="G35" s="6" t="n">
        <x:f>IF('Debt strategy'!$C$16&gt;0,0,MIN(C35+D35-E35,MAX(0,'Debt strategy'!$C$5-SUM(E35,K35,Q35,W35,AC35)-SUM(IF(L35&lt;F35,I35+J35-K35,0),IF(R35&lt;F35,O35+P35-Q35,0),IF(X35&lt;F35,U35+V35-W35,0),IF(AD35&lt;F35,AA35+AB35-AC35,0)))))</x:f>
        <x:v>0</x:v>
      </x:c>
      <x:c r="H35" s="6" t="n">
        <x:f>ROUND(MAX(0,C35+D35-E35-G35),2)</x:f>
        <x:v>0</x:v>
      </x:c>
      <x:c r="I35" s="6" t="n">
        <x:f>N34</x:f>
        <x:v>53.59</x:v>
      </x:c>
      <x:c r="J35" s="6" t="n">
        <x:f>ROUND(I35*'Debt strategy'!$D$10/12,2)</x:f>
        <x:v>0.36</x:v>
      </x:c>
      <x:c r="K35" s="6" t="n">
        <x:f>MIN(I35+J35,'Debt strategy'!$E$10)</x:f>
        <x:v>53.95</x:v>
      </x:c>
      <x:c r="L35" s="27" t="n">
        <x:f>IF(I35+J35-K35&lt;=0,99,1+SUM(IF(AND(C35+D35-E35&gt;0,OR(C35+D35-E35&lt;I35+J35-K35,AND(C35+D35-E35=I35+J35-K35,0&lt;1))),1,0),IF(AND(O35+P35-Q35&gt;0,OR(O35+P35-Q35&lt;I35+J35-K35,AND(O35+P35-Q35=I35+J35-K35,2&lt;1))),1,0),IF(AND(U35+V35-W35&gt;0,OR(U35+V35-W35&lt;I35+J35-K35,AND(U35+V35-W35=I35+J35-K35,3&lt;1))),1,0),IF(AND(AA35+AB35-AC35&gt;0,OR(AA35+AB35-AC35&lt;I35+J35-K35,AND(AA35+AB35-AC35=I35+J35-K35,4&lt;1))),1,0)))</x:f>
        <x:v>99</x:v>
      </x:c>
      <x:c r="M35" s="6" t="n">
        <x:f>IF('Debt strategy'!$C$16&gt;0,0,MIN(I35+J35-K35,MAX(0,'Debt strategy'!$C$5-SUM(E35,K35,Q35,W35,AC35)-SUM(IF(F35&lt;L35,C35+D35-E35,0),IF(R35&lt;L35,O35+P35-Q35,0),IF(X35&lt;L35,U35+V35-W35,0),IF(AD35&lt;L35,AA35+AB35-AC35,0)))))</x:f>
        <x:v>0</x:v>
      </x:c>
      <x:c r="N35" s="6" t="n">
        <x:f>ROUND(MAX(0,I35+J35-K35-M35),2)</x:f>
        <x:v>0</x:v>
      </x:c>
      <x:c r="O35" s="6" t="n">
        <x:f>T34</x:f>
        <x:v>0</x:v>
      </x:c>
      <x:c r="P35" s="6" t="n">
        <x:f>ROUND(O35*'Debt strategy'!$D$11/12,2)</x:f>
        <x:v>0</x:v>
      </x:c>
      <x:c r="Q35" s="6" t="n">
        <x:f>MIN(O35+P35,'Debt strategy'!$E$11)</x:f>
        <x:v>0</x:v>
      </x:c>
      <x:c r="R35" s="27" t="n">
        <x:f>IF(O35+P35-Q35&lt;=0,99,1+SUM(IF(AND(C35+D35-E35&gt;0,OR(C35+D35-E35&lt;O35+P35-Q35,AND(C35+D35-E35=O35+P35-Q35,0&lt;2))),1,0),IF(AND(I35+J35-K35&gt;0,OR(I35+J35-K35&lt;O35+P35-Q35,AND(I35+J35-K35=O35+P35-Q35,1&lt;2))),1,0),IF(AND(U35+V35-W35&gt;0,OR(U35+V35-W35&lt;O35+P35-Q35,AND(U35+V35-W35=O35+P35-Q35,3&lt;2))),1,0),IF(AND(AA35+AB35-AC35&gt;0,OR(AA35+AB35-AC35&lt;O35+P35-Q35,AND(AA35+AB35-AC35=O35+P35-Q35,4&lt;2))),1,0)))</x:f>
        <x:v>99</x:v>
      </x:c>
      <x:c r="S35" s="6" t="n">
        <x:f>IF('Debt strategy'!$C$16&gt;0,0,MIN(O35+P35-Q35,MAX(0,'Debt strategy'!$C$5-SUM(E35,K35,Q35,W35,AC35)-SUM(IF(F35&lt;R35,C35+D35-E35,0),IF(L35&lt;R35,I35+J35-K35,0),IF(X35&lt;R35,U35+V35-W35,0),IF(AD35&lt;R35,AA35+AB35-AC35,0)))))</x:f>
        <x:v>0</x:v>
      </x:c>
      <x:c r="T35" s="6" t="n">
        <x:f>ROUND(MAX(0,O35+P35-Q35-S35),2)</x:f>
        <x:v>0</x:v>
      </x:c>
      <x:c r="U35" s="6" t="n">
        <x:f>Z34</x:f>
        <x:v>0</x:v>
      </x:c>
      <x:c r="V35" s="6" t="n">
        <x:f>ROUND(U35*'Debt strategy'!$D$12/12,2)</x:f>
        <x:v>0</x:v>
      </x:c>
      <x:c r="W35" s="6" t="n">
        <x:f>MIN(U35+V35,'Debt strategy'!$E$12)</x:f>
        <x:v>0</x:v>
      </x:c>
      <x:c r="X35" s="27" t="n">
        <x:f>IF(U35+V35-W35&lt;=0,99,1+SUM(IF(AND(C35+D35-E35&gt;0,OR(C35+D35-E35&lt;U35+V35-W35,AND(C35+D35-E35=U35+V35-W35,0&lt;3))),1,0),IF(AND(I35+J35-K35&gt;0,OR(I35+J35-K35&lt;U35+V35-W35,AND(I35+J35-K35=U35+V35-W35,1&lt;3))),1,0),IF(AND(O35+P35-Q35&gt;0,OR(O35+P35-Q35&lt;U35+V35-W35,AND(O35+P35-Q35=U35+V35-W35,2&lt;3))),1,0),IF(AND(AA35+AB35-AC35&gt;0,OR(AA35+AB35-AC35&lt;U35+V35-W35,AND(AA35+AB35-AC35=U35+V35-W35,4&lt;3))),1,0)))</x:f>
        <x:v>99</x:v>
      </x:c>
      <x:c r="Y35" s="6" t="n">
        <x:f>IF('Debt strategy'!$C$16&gt;0,0,MIN(U35+V35-W35,MAX(0,'Debt strategy'!$C$5-SUM(E35,K35,Q35,W35,AC35)-SUM(IF(F35&lt;X35,C35+D35-E35,0),IF(L35&lt;X35,I35+J35-K35,0),IF(R35&lt;X35,O35+P35-Q35,0),IF(AD35&lt;X35,AA35+AB35-AC35,0)))))</x:f>
        <x:v>0</x:v>
      </x:c>
      <x:c r="Z35" s="6" t="n">
        <x:f>ROUND(MAX(0,U35+V35-W35-Y35),2)</x:f>
        <x:v>0</x:v>
      </x:c>
      <x:c r="AA35" s="6" t="n">
        <x:f>AF34</x:f>
        <x:v>0</x:v>
      </x:c>
      <x:c r="AB35" s="6" t="n">
        <x:f>ROUND(AA35*'Debt strategy'!$D$13/12,2)</x:f>
        <x:v>0</x:v>
      </x:c>
      <x:c r="AC35" s="6" t="n">
        <x:f>MIN(AA35+AB35,'Debt strategy'!$E$13)</x:f>
        <x:v>0</x:v>
      </x:c>
      <x:c r="AD35" s="27" t="n">
        <x:f>IF(AA35+AB35-AC35&lt;=0,99,1+SUM(IF(AND(C35+D35-E35&gt;0,OR(C35+D35-E35&lt;AA35+AB35-AC35,AND(C35+D35-E35=AA35+AB35-AC35,0&lt;4))),1,0),IF(AND(I35+J35-K35&gt;0,OR(I35+J35-K35&lt;AA35+AB35-AC35,AND(I35+J35-K35=AA35+AB35-AC35,1&lt;4))),1,0),IF(AND(O35+P35-Q35&gt;0,OR(O35+P35-Q35&lt;AA35+AB35-AC35,AND(O35+P35-Q35=AA35+AB35-AC35,2&lt;4))),1,0),IF(AND(U35+V35-W35&gt;0,OR(U35+V35-W35&lt;AA35+AB35-AC35,AND(U35+V35-W35=AA35+AB35-AC35,3&lt;4))),1,0)))</x:f>
        <x:v>99</x:v>
      </x:c>
      <x:c r="AE35" s="6" t="n">
        <x:f>IF('Debt strategy'!$C$16&gt;0,0,MIN(AA35+AB35-AC35,MAX(0,'Debt strategy'!$C$5-SUM(E35,K35,Q35,W35,AC35)-SUM(IF(F35&lt;AD35,C35+D35-E35,0),IF(L35&lt;AD35,I35+J35-K35,0),IF(R35&lt;AD35,O35+P35-Q35,0),IF(X35&lt;AD35,U35+V35-W35,0)))))</x:f>
        <x:v>0</x:v>
      </x:c>
      <x:c r="AF35" s="6" t="n">
        <x:f>ROUND(MAX(0,AA35+AB35-AC35-AE35),2)</x:f>
        <x:v>0</x:v>
      </x:c>
      <x:c r="AG35" s="6" t="n">
        <x:f>SUM(H35,N35,T35,Z35,AF35)</x:f>
        <x:v>0</x:v>
      </x:c>
      <x:c r="AH35" s="6" t="n">
        <x:f>SUM(D35,J35,P35,V35,AB35)+AH34</x:f>
        <x:v>1353.9499999999996</x:v>
      </x:c>
      <x:c r="AI35" s="2"/>
    </x:row>
    <x:row r="36" ht="23" customHeight="1">
      <x:c r="B36" s="2" t="n">
        <x:f>28</x:f>
        <x:v>28</x:v>
      </x:c>
      <x:c r="C36" s="6" t="n">
        <x:f>H35</x:f>
        <x:v>0</x:v>
      </x:c>
      <x:c r="D36" s="6" t="n">
        <x:f>ROUND(C36*'Debt strategy'!$D$9/12,2)</x:f>
        <x:v>0</x:v>
      </x:c>
      <x:c r="E36" s="6" t="n">
        <x:f>MIN(C36+D36,'Debt strategy'!$E$9)</x:f>
        <x:v>0</x:v>
      </x:c>
      <x:c r="F36" s="27" t="n">
        <x:f>IF(C36+D36-E36&lt;=0,99,1+SUM(IF(AND(I36+J36-K36&gt;0,OR(I36+J36-K36&lt;C36+D36-E36,AND(I36+J36-K36=C36+D36-E36,1&lt;0))),1,0),IF(AND(O36+P36-Q36&gt;0,OR(O36+P36-Q36&lt;C36+D36-E36,AND(O36+P36-Q36=C36+D36-E36,2&lt;0))),1,0),IF(AND(U36+V36-W36&gt;0,OR(U36+V36-W36&lt;C36+D36-E36,AND(U36+V36-W36=C36+D36-E36,3&lt;0))),1,0),IF(AND(AA36+AB36-AC36&gt;0,OR(AA36+AB36-AC36&lt;C36+D36-E36,AND(AA36+AB36-AC36=C36+D36-E36,4&lt;0))),1,0)))</x:f>
        <x:v>99</x:v>
      </x:c>
      <x:c r="G36" s="6" t="n">
        <x:f>IF('Debt strategy'!$C$16&gt;0,0,MIN(C36+D36-E36,MAX(0,'Debt strategy'!$C$5-SUM(E36,K36,Q36,W36,AC36)-SUM(IF(L36&lt;F36,I36+J36-K36,0),IF(R36&lt;F36,O36+P36-Q36,0),IF(X36&lt;F36,U36+V36-W36,0),IF(AD36&lt;F36,AA36+AB36-AC36,0)))))</x:f>
        <x:v>0</x:v>
      </x:c>
      <x:c r="H36" s="6" t="n">
        <x:f>ROUND(MAX(0,C36+D36-E36-G36),2)</x:f>
        <x:v>0</x:v>
      </x:c>
      <x:c r="I36" s="6" t="n">
        <x:f>N35</x:f>
        <x:v>0</x:v>
      </x:c>
      <x:c r="J36" s="6" t="n">
        <x:f>ROUND(I36*'Debt strategy'!$D$10/12,2)</x:f>
        <x:v>0</x:v>
      </x:c>
      <x:c r="K36" s="6" t="n">
        <x:f>MIN(I36+J36,'Debt strategy'!$E$10)</x:f>
        <x:v>0</x:v>
      </x:c>
      <x:c r="L36" s="27" t="n">
        <x:f>IF(I36+J36-K36&lt;=0,99,1+SUM(IF(AND(C36+D36-E36&gt;0,OR(C36+D36-E36&lt;I36+J36-K36,AND(C36+D36-E36=I36+J36-K36,0&lt;1))),1,0),IF(AND(O36+P36-Q36&gt;0,OR(O36+P36-Q36&lt;I36+J36-K36,AND(O36+P36-Q36=I36+J36-K36,2&lt;1))),1,0),IF(AND(U36+V36-W36&gt;0,OR(U36+V36-W36&lt;I36+J36-K36,AND(U36+V36-W36=I36+J36-K36,3&lt;1))),1,0),IF(AND(AA36+AB36-AC36&gt;0,OR(AA36+AB36-AC36&lt;I36+J36-K36,AND(AA36+AB36-AC36=I36+J36-K36,4&lt;1))),1,0)))</x:f>
        <x:v>99</x:v>
      </x:c>
      <x:c r="M36" s="6" t="n">
        <x:f>IF('Debt strategy'!$C$16&gt;0,0,MIN(I36+J36-K36,MAX(0,'Debt strategy'!$C$5-SUM(E36,K36,Q36,W36,AC36)-SUM(IF(F36&lt;L36,C36+D36-E36,0),IF(R36&lt;L36,O36+P36-Q36,0),IF(X36&lt;L36,U36+V36-W36,0),IF(AD36&lt;L36,AA36+AB36-AC36,0)))))</x:f>
        <x:v>0</x:v>
      </x:c>
      <x:c r="N36" s="6" t="n">
        <x:f>ROUND(MAX(0,I36+J36-K36-M36),2)</x:f>
        <x:v>0</x:v>
      </x:c>
      <x:c r="O36" s="6" t="n">
        <x:f>T35</x:f>
        <x:v>0</x:v>
      </x:c>
      <x:c r="P36" s="6" t="n">
        <x:f>ROUND(O36*'Debt strategy'!$D$11/12,2)</x:f>
        <x:v>0</x:v>
      </x:c>
      <x:c r="Q36" s="6" t="n">
        <x:f>MIN(O36+P36,'Debt strategy'!$E$11)</x:f>
        <x:v>0</x:v>
      </x:c>
      <x:c r="R36" s="27" t="n">
        <x:f>IF(O36+P36-Q36&lt;=0,99,1+SUM(IF(AND(C36+D36-E36&gt;0,OR(C36+D36-E36&lt;O36+P36-Q36,AND(C36+D36-E36=O36+P36-Q36,0&lt;2))),1,0),IF(AND(I36+J36-K36&gt;0,OR(I36+J36-K36&lt;O36+P36-Q36,AND(I36+J36-K36=O36+P36-Q36,1&lt;2))),1,0),IF(AND(U36+V36-W36&gt;0,OR(U36+V36-W36&lt;O36+P36-Q36,AND(U36+V36-W36=O36+P36-Q36,3&lt;2))),1,0),IF(AND(AA36+AB36-AC36&gt;0,OR(AA36+AB36-AC36&lt;O36+P36-Q36,AND(AA36+AB36-AC36=O36+P36-Q36,4&lt;2))),1,0)))</x:f>
        <x:v>99</x:v>
      </x:c>
      <x:c r="S36" s="6" t="n">
        <x:f>IF('Debt strategy'!$C$16&gt;0,0,MIN(O36+P36-Q36,MAX(0,'Debt strategy'!$C$5-SUM(E36,K36,Q36,W36,AC36)-SUM(IF(F36&lt;R36,C36+D36-E36,0),IF(L36&lt;R36,I36+J36-K36,0),IF(X36&lt;R36,U36+V36-W36,0),IF(AD36&lt;R36,AA36+AB36-AC36,0)))))</x:f>
        <x:v>0</x:v>
      </x:c>
      <x:c r="T36" s="6" t="n">
        <x:f>ROUND(MAX(0,O36+P36-Q36-S36),2)</x:f>
        <x:v>0</x:v>
      </x:c>
      <x:c r="U36" s="6" t="n">
        <x:f>Z35</x:f>
        <x:v>0</x:v>
      </x:c>
      <x:c r="V36" s="6" t="n">
        <x:f>ROUND(U36*'Debt strategy'!$D$12/12,2)</x:f>
        <x:v>0</x:v>
      </x:c>
      <x:c r="W36" s="6" t="n">
        <x:f>MIN(U36+V36,'Debt strategy'!$E$12)</x:f>
        <x:v>0</x:v>
      </x:c>
      <x:c r="X36" s="27" t="n">
        <x:f>IF(U36+V36-W36&lt;=0,99,1+SUM(IF(AND(C36+D36-E36&gt;0,OR(C36+D36-E36&lt;U36+V36-W36,AND(C36+D36-E36=U36+V36-W36,0&lt;3))),1,0),IF(AND(I36+J36-K36&gt;0,OR(I36+J36-K36&lt;U36+V36-W36,AND(I36+J36-K36=U36+V36-W36,1&lt;3))),1,0),IF(AND(O36+P36-Q36&gt;0,OR(O36+P36-Q36&lt;U36+V36-W36,AND(O36+P36-Q36=U36+V36-W36,2&lt;3))),1,0),IF(AND(AA36+AB36-AC36&gt;0,OR(AA36+AB36-AC36&lt;U36+V36-W36,AND(AA36+AB36-AC36=U36+V36-W36,4&lt;3))),1,0)))</x:f>
        <x:v>99</x:v>
      </x:c>
      <x:c r="Y36" s="6" t="n">
        <x:f>IF('Debt strategy'!$C$16&gt;0,0,MIN(U36+V36-W36,MAX(0,'Debt strategy'!$C$5-SUM(E36,K36,Q36,W36,AC36)-SUM(IF(F36&lt;X36,C36+D36-E36,0),IF(L36&lt;X36,I36+J36-K36,0),IF(R36&lt;X36,O36+P36-Q36,0),IF(AD36&lt;X36,AA36+AB36-AC36,0)))))</x:f>
        <x:v>0</x:v>
      </x:c>
      <x:c r="Z36" s="6" t="n">
        <x:f>ROUND(MAX(0,U36+V36-W36-Y36),2)</x:f>
        <x:v>0</x:v>
      </x:c>
      <x:c r="AA36" s="6" t="n">
        <x:f>AF35</x:f>
        <x:v>0</x:v>
      </x:c>
      <x:c r="AB36" s="6" t="n">
        <x:f>ROUND(AA36*'Debt strategy'!$D$13/12,2)</x:f>
        <x:v>0</x:v>
      </x:c>
      <x:c r="AC36" s="6" t="n">
        <x:f>MIN(AA36+AB36,'Debt strategy'!$E$13)</x:f>
        <x:v>0</x:v>
      </x:c>
      <x:c r="AD36" s="27" t="n">
        <x:f>IF(AA36+AB36-AC36&lt;=0,99,1+SUM(IF(AND(C36+D36-E36&gt;0,OR(C36+D36-E36&lt;AA36+AB36-AC36,AND(C36+D36-E36=AA36+AB36-AC36,0&lt;4))),1,0),IF(AND(I36+J36-K36&gt;0,OR(I36+J36-K36&lt;AA36+AB36-AC36,AND(I36+J36-K36=AA36+AB36-AC36,1&lt;4))),1,0),IF(AND(O36+P36-Q36&gt;0,OR(O36+P36-Q36&lt;AA36+AB36-AC36,AND(O36+P36-Q36=AA36+AB36-AC36,2&lt;4))),1,0),IF(AND(U36+V36-W36&gt;0,OR(U36+V36-W36&lt;AA36+AB36-AC36,AND(U36+V36-W36=AA36+AB36-AC36,3&lt;4))),1,0)))</x:f>
        <x:v>99</x:v>
      </x:c>
      <x:c r="AE36" s="6" t="n">
        <x:f>IF('Debt strategy'!$C$16&gt;0,0,MIN(AA36+AB36-AC36,MAX(0,'Debt strategy'!$C$5-SUM(E36,K36,Q36,W36,AC36)-SUM(IF(F36&lt;AD36,C36+D36-E36,0),IF(L36&lt;AD36,I36+J36-K36,0),IF(R36&lt;AD36,O36+P36-Q36,0),IF(X36&lt;AD36,U36+V36-W36,0)))))</x:f>
        <x:v>0</x:v>
      </x:c>
      <x:c r="AF36" s="6" t="n">
        <x:f>ROUND(MAX(0,AA36+AB36-AC36-AE36),2)</x:f>
        <x:v>0</x:v>
      </x:c>
      <x:c r="AG36" s="6" t="n">
        <x:f>SUM(H36,N36,T36,Z36,AF36)</x:f>
        <x:v>0</x:v>
      </x:c>
      <x:c r="AH36" s="6" t="n">
        <x:f>SUM(D36,J36,P36,V36,AB36)+AH35</x:f>
        <x:v>1353.9499999999996</x:v>
      </x:c>
      <x:c r="AI36" s="2"/>
    </x:row>
    <x:row r="37" ht="23" customHeight="1">
      <x:c r="B37" s="2" t="n">
        <x:f>29</x:f>
        <x:v>29</x:v>
      </x:c>
      <x:c r="C37" s="6" t="n">
        <x:f>H36</x:f>
        <x:v>0</x:v>
      </x:c>
      <x:c r="D37" s="6" t="n">
        <x:f>ROUND(C37*'Debt strategy'!$D$9/12,2)</x:f>
        <x:v>0</x:v>
      </x:c>
      <x:c r="E37" s="6" t="n">
        <x:f>MIN(C37+D37,'Debt strategy'!$E$9)</x:f>
        <x:v>0</x:v>
      </x:c>
      <x:c r="F37" s="27" t="n">
        <x:f>IF(C37+D37-E37&lt;=0,99,1+SUM(IF(AND(I37+J37-K37&gt;0,OR(I37+J37-K37&lt;C37+D37-E37,AND(I37+J37-K37=C37+D37-E37,1&lt;0))),1,0),IF(AND(O37+P37-Q37&gt;0,OR(O37+P37-Q37&lt;C37+D37-E37,AND(O37+P37-Q37=C37+D37-E37,2&lt;0))),1,0),IF(AND(U37+V37-W37&gt;0,OR(U37+V37-W37&lt;C37+D37-E37,AND(U37+V37-W37=C37+D37-E37,3&lt;0))),1,0),IF(AND(AA37+AB37-AC37&gt;0,OR(AA37+AB37-AC37&lt;C37+D37-E37,AND(AA37+AB37-AC37=C37+D37-E37,4&lt;0))),1,0)))</x:f>
        <x:v>99</x:v>
      </x:c>
      <x:c r="G37" s="6" t="n">
        <x:f>IF('Debt strategy'!$C$16&gt;0,0,MIN(C37+D37-E37,MAX(0,'Debt strategy'!$C$5-SUM(E37,K37,Q37,W37,AC37)-SUM(IF(L37&lt;F37,I37+J37-K37,0),IF(R37&lt;F37,O37+P37-Q37,0),IF(X37&lt;F37,U37+V37-W37,0),IF(AD37&lt;F37,AA37+AB37-AC37,0)))))</x:f>
        <x:v>0</x:v>
      </x:c>
      <x:c r="H37" s="6" t="n">
        <x:f>ROUND(MAX(0,C37+D37-E37-G37),2)</x:f>
        <x:v>0</x:v>
      </x:c>
      <x:c r="I37" s="6" t="n">
        <x:f>N36</x:f>
        <x:v>0</x:v>
      </x:c>
      <x:c r="J37" s="6" t="n">
        <x:f>ROUND(I37*'Debt strategy'!$D$10/12,2)</x:f>
        <x:v>0</x:v>
      </x:c>
      <x:c r="K37" s="6" t="n">
        <x:f>MIN(I37+J37,'Debt strategy'!$E$10)</x:f>
        <x:v>0</x:v>
      </x:c>
      <x:c r="L37" s="27" t="n">
        <x:f>IF(I37+J37-K37&lt;=0,99,1+SUM(IF(AND(C37+D37-E37&gt;0,OR(C37+D37-E37&lt;I37+J37-K37,AND(C37+D37-E37=I37+J37-K37,0&lt;1))),1,0),IF(AND(O37+P37-Q37&gt;0,OR(O37+P37-Q37&lt;I37+J37-K37,AND(O37+P37-Q37=I37+J37-K37,2&lt;1))),1,0),IF(AND(U37+V37-W37&gt;0,OR(U37+V37-W37&lt;I37+J37-K37,AND(U37+V37-W37=I37+J37-K37,3&lt;1))),1,0),IF(AND(AA37+AB37-AC37&gt;0,OR(AA37+AB37-AC37&lt;I37+J37-K37,AND(AA37+AB37-AC37=I37+J37-K37,4&lt;1))),1,0)))</x:f>
        <x:v>99</x:v>
      </x:c>
      <x:c r="M37" s="6" t="n">
        <x:f>IF('Debt strategy'!$C$16&gt;0,0,MIN(I37+J37-K37,MAX(0,'Debt strategy'!$C$5-SUM(E37,K37,Q37,W37,AC37)-SUM(IF(F37&lt;L37,C37+D37-E37,0),IF(R37&lt;L37,O37+P37-Q37,0),IF(X37&lt;L37,U37+V37-W37,0),IF(AD37&lt;L37,AA37+AB37-AC37,0)))))</x:f>
        <x:v>0</x:v>
      </x:c>
      <x:c r="N37" s="6" t="n">
        <x:f>ROUND(MAX(0,I37+J37-K37-M37),2)</x:f>
        <x:v>0</x:v>
      </x:c>
      <x:c r="O37" s="6" t="n">
        <x:f>T36</x:f>
        <x:v>0</x:v>
      </x:c>
      <x:c r="P37" s="6" t="n">
        <x:f>ROUND(O37*'Debt strategy'!$D$11/12,2)</x:f>
        <x:v>0</x:v>
      </x:c>
      <x:c r="Q37" s="6" t="n">
        <x:f>MIN(O37+P37,'Debt strategy'!$E$11)</x:f>
        <x:v>0</x:v>
      </x:c>
      <x:c r="R37" s="27" t="n">
        <x:f>IF(O37+P37-Q37&lt;=0,99,1+SUM(IF(AND(C37+D37-E37&gt;0,OR(C37+D37-E37&lt;O37+P37-Q37,AND(C37+D37-E37=O37+P37-Q37,0&lt;2))),1,0),IF(AND(I37+J37-K37&gt;0,OR(I37+J37-K37&lt;O37+P37-Q37,AND(I37+J37-K37=O37+P37-Q37,1&lt;2))),1,0),IF(AND(U37+V37-W37&gt;0,OR(U37+V37-W37&lt;O37+P37-Q37,AND(U37+V37-W37=O37+P37-Q37,3&lt;2))),1,0),IF(AND(AA37+AB37-AC37&gt;0,OR(AA37+AB37-AC37&lt;O37+P37-Q37,AND(AA37+AB37-AC37=O37+P37-Q37,4&lt;2))),1,0)))</x:f>
        <x:v>99</x:v>
      </x:c>
      <x:c r="S37" s="6" t="n">
        <x:f>IF('Debt strategy'!$C$16&gt;0,0,MIN(O37+P37-Q37,MAX(0,'Debt strategy'!$C$5-SUM(E37,K37,Q37,W37,AC37)-SUM(IF(F37&lt;R37,C37+D37-E37,0),IF(L37&lt;R37,I37+J37-K37,0),IF(X37&lt;R37,U37+V37-W37,0),IF(AD37&lt;R37,AA37+AB37-AC37,0)))))</x:f>
        <x:v>0</x:v>
      </x:c>
      <x:c r="T37" s="6" t="n">
        <x:f>ROUND(MAX(0,O37+P37-Q37-S37),2)</x:f>
        <x:v>0</x:v>
      </x:c>
      <x:c r="U37" s="6" t="n">
        <x:f>Z36</x:f>
        <x:v>0</x:v>
      </x:c>
      <x:c r="V37" s="6" t="n">
        <x:f>ROUND(U37*'Debt strategy'!$D$12/12,2)</x:f>
        <x:v>0</x:v>
      </x:c>
      <x:c r="W37" s="6" t="n">
        <x:f>MIN(U37+V37,'Debt strategy'!$E$12)</x:f>
        <x:v>0</x:v>
      </x:c>
      <x:c r="X37" s="27" t="n">
        <x:f>IF(U37+V37-W37&lt;=0,99,1+SUM(IF(AND(C37+D37-E37&gt;0,OR(C37+D37-E37&lt;U37+V37-W37,AND(C37+D37-E37=U37+V37-W37,0&lt;3))),1,0),IF(AND(I37+J37-K37&gt;0,OR(I37+J37-K37&lt;U37+V37-W37,AND(I37+J37-K37=U37+V37-W37,1&lt;3))),1,0),IF(AND(O37+P37-Q37&gt;0,OR(O37+P37-Q37&lt;U37+V37-W37,AND(O37+P37-Q37=U37+V37-W37,2&lt;3))),1,0),IF(AND(AA37+AB37-AC37&gt;0,OR(AA37+AB37-AC37&lt;U37+V37-W37,AND(AA37+AB37-AC37=U37+V37-W37,4&lt;3))),1,0)))</x:f>
        <x:v>99</x:v>
      </x:c>
      <x:c r="Y37" s="6" t="n">
        <x:f>IF('Debt strategy'!$C$16&gt;0,0,MIN(U37+V37-W37,MAX(0,'Debt strategy'!$C$5-SUM(E37,K37,Q37,W37,AC37)-SUM(IF(F37&lt;X37,C37+D37-E37,0),IF(L37&lt;X37,I37+J37-K37,0),IF(R37&lt;X37,O37+P37-Q37,0),IF(AD37&lt;X37,AA37+AB37-AC37,0)))))</x:f>
        <x:v>0</x:v>
      </x:c>
      <x:c r="Z37" s="6" t="n">
        <x:f>ROUND(MAX(0,U37+V37-W37-Y37),2)</x:f>
        <x:v>0</x:v>
      </x:c>
      <x:c r="AA37" s="6" t="n">
        <x:f>AF36</x:f>
        <x:v>0</x:v>
      </x:c>
      <x:c r="AB37" s="6" t="n">
        <x:f>ROUND(AA37*'Debt strategy'!$D$13/12,2)</x:f>
        <x:v>0</x:v>
      </x:c>
      <x:c r="AC37" s="6" t="n">
        <x:f>MIN(AA37+AB37,'Debt strategy'!$E$13)</x:f>
        <x:v>0</x:v>
      </x:c>
      <x:c r="AD37" s="27" t="n">
        <x:f>IF(AA37+AB37-AC37&lt;=0,99,1+SUM(IF(AND(C37+D37-E37&gt;0,OR(C37+D37-E37&lt;AA37+AB37-AC37,AND(C37+D37-E37=AA37+AB37-AC37,0&lt;4))),1,0),IF(AND(I37+J37-K37&gt;0,OR(I37+J37-K37&lt;AA37+AB37-AC37,AND(I37+J37-K37=AA37+AB37-AC37,1&lt;4))),1,0),IF(AND(O37+P37-Q37&gt;0,OR(O37+P37-Q37&lt;AA37+AB37-AC37,AND(O37+P37-Q37=AA37+AB37-AC37,2&lt;4))),1,0),IF(AND(U37+V37-W37&gt;0,OR(U37+V37-W37&lt;AA37+AB37-AC37,AND(U37+V37-W37=AA37+AB37-AC37,3&lt;4))),1,0)))</x:f>
        <x:v>99</x:v>
      </x:c>
      <x:c r="AE37" s="6" t="n">
        <x:f>IF('Debt strategy'!$C$16&gt;0,0,MIN(AA37+AB37-AC37,MAX(0,'Debt strategy'!$C$5-SUM(E37,K37,Q37,W37,AC37)-SUM(IF(F37&lt;AD37,C37+D37-E37,0),IF(L37&lt;AD37,I37+J37-K37,0),IF(R37&lt;AD37,O37+P37-Q37,0),IF(X37&lt;AD37,U37+V37-W37,0)))))</x:f>
        <x:v>0</x:v>
      </x:c>
      <x:c r="AF37" s="6" t="n">
        <x:f>ROUND(MAX(0,AA37+AB37-AC37-AE37),2)</x:f>
        <x:v>0</x:v>
      </x:c>
      <x:c r="AG37" s="6" t="n">
        <x:f>SUM(H37,N37,T37,Z37,AF37)</x:f>
        <x:v>0</x:v>
      </x:c>
      <x:c r="AH37" s="6" t="n">
        <x:f>SUM(D37,J37,P37,V37,AB37)+AH36</x:f>
        <x:v>1353.9499999999996</x:v>
      </x:c>
      <x:c r="AI37" s="2"/>
    </x:row>
    <x:row r="38" ht="23" customHeight="1">
      <x:c r="B38" s="2" t="n">
        <x:f>30</x:f>
        <x:v>30</x:v>
      </x:c>
      <x:c r="C38" s="6" t="n">
        <x:f>H37</x:f>
        <x:v>0</x:v>
      </x:c>
      <x:c r="D38" s="6" t="n">
        <x:f>ROUND(C38*'Debt strategy'!$D$9/12,2)</x:f>
        <x:v>0</x:v>
      </x:c>
      <x:c r="E38" s="6" t="n">
        <x:f>MIN(C38+D38,'Debt strategy'!$E$9)</x:f>
        <x:v>0</x:v>
      </x:c>
      <x:c r="F38" s="27" t="n">
        <x:f>IF(C38+D38-E38&lt;=0,99,1+SUM(IF(AND(I38+J38-K38&gt;0,OR(I38+J38-K38&lt;C38+D38-E38,AND(I38+J38-K38=C38+D38-E38,1&lt;0))),1,0),IF(AND(O38+P38-Q38&gt;0,OR(O38+P38-Q38&lt;C38+D38-E38,AND(O38+P38-Q38=C38+D38-E38,2&lt;0))),1,0),IF(AND(U38+V38-W38&gt;0,OR(U38+V38-W38&lt;C38+D38-E38,AND(U38+V38-W38=C38+D38-E38,3&lt;0))),1,0),IF(AND(AA38+AB38-AC38&gt;0,OR(AA38+AB38-AC38&lt;C38+D38-E38,AND(AA38+AB38-AC38=C38+D38-E38,4&lt;0))),1,0)))</x:f>
        <x:v>99</x:v>
      </x:c>
      <x:c r="G38" s="6" t="n">
        <x:f>IF('Debt strategy'!$C$16&gt;0,0,MIN(C38+D38-E38,MAX(0,'Debt strategy'!$C$5-SUM(E38,K38,Q38,W38,AC38)-SUM(IF(L38&lt;F38,I38+J38-K38,0),IF(R38&lt;F38,O38+P38-Q38,0),IF(X38&lt;F38,U38+V38-W38,0),IF(AD38&lt;F38,AA38+AB38-AC38,0)))))</x:f>
        <x:v>0</x:v>
      </x:c>
      <x:c r="H38" s="6" t="n">
        <x:f>ROUND(MAX(0,C38+D38-E38-G38),2)</x:f>
        <x:v>0</x:v>
      </x:c>
      <x:c r="I38" s="6" t="n">
        <x:f>N37</x:f>
        <x:v>0</x:v>
      </x:c>
      <x:c r="J38" s="6" t="n">
        <x:f>ROUND(I38*'Debt strategy'!$D$10/12,2)</x:f>
        <x:v>0</x:v>
      </x:c>
      <x:c r="K38" s="6" t="n">
        <x:f>MIN(I38+J38,'Debt strategy'!$E$10)</x:f>
        <x:v>0</x:v>
      </x:c>
      <x:c r="L38" s="27" t="n">
        <x:f>IF(I38+J38-K38&lt;=0,99,1+SUM(IF(AND(C38+D38-E38&gt;0,OR(C38+D38-E38&lt;I38+J38-K38,AND(C38+D38-E38=I38+J38-K38,0&lt;1))),1,0),IF(AND(O38+P38-Q38&gt;0,OR(O38+P38-Q38&lt;I38+J38-K38,AND(O38+P38-Q38=I38+J38-K38,2&lt;1))),1,0),IF(AND(U38+V38-W38&gt;0,OR(U38+V38-W38&lt;I38+J38-K38,AND(U38+V38-W38=I38+J38-K38,3&lt;1))),1,0),IF(AND(AA38+AB38-AC38&gt;0,OR(AA38+AB38-AC38&lt;I38+J38-K38,AND(AA38+AB38-AC38=I38+J38-K38,4&lt;1))),1,0)))</x:f>
        <x:v>99</x:v>
      </x:c>
      <x:c r="M38" s="6" t="n">
        <x:f>IF('Debt strategy'!$C$16&gt;0,0,MIN(I38+J38-K38,MAX(0,'Debt strategy'!$C$5-SUM(E38,K38,Q38,W38,AC38)-SUM(IF(F38&lt;L38,C38+D38-E38,0),IF(R38&lt;L38,O38+P38-Q38,0),IF(X38&lt;L38,U38+V38-W38,0),IF(AD38&lt;L38,AA38+AB38-AC38,0)))))</x:f>
        <x:v>0</x:v>
      </x:c>
      <x:c r="N38" s="6" t="n">
        <x:f>ROUND(MAX(0,I38+J38-K38-M38),2)</x:f>
        <x:v>0</x:v>
      </x:c>
      <x:c r="O38" s="6" t="n">
        <x:f>T37</x:f>
        <x:v>0</x:v>
      </x:c>
      <x:c r="P38" s="6" t="n">
        <x:f>ROUND(O38*'Debt strategy'!$D$11/12,2)</x:f>
        <x:v>0</x:v>
      </x:c>
      <x:c r="Q38" s="6" t="n">
        <x:f>MIN(O38+P38,'Debt strategy'!$E$11)</x:f>
        <x:v>0</x:v>
      </x:c>
      <x:c r="R38" s="27" t="n">
        <x:f>IF(O38+P38-Q38&lt;=0,99,1+SUM(IF(AND(C38+D38-E38&gt;0,OR(C38+D38-E38&lt;O38+P38-Q38,AND(C38+D38-E38=O38+P38-Q38,0&lt;2))),1,0),IF(AND(I38+J38-K38&gt;0,OR(I38+J38-K38&lt;O38+P38-Q38,AND(I38+J38-K38=O38+P38-Q38,1&lt;2))),1,0),IF(AND(U38+V38-W38&gt;0,OR(U38+V38-W38&lt;O38+P38-Q38,AND(U38+V38-W38=O38+P38-Q38,3&lt;2))),1,0),IF(AND(AA38+AB38-AC38&gt;0,OR(AA38+AB38-AC38&lt;O38+P38-Q38,AND(AA38+AB38-AC38=O38+P38-Q38,4&lt;2))),1,0)))</x:f>
        <x:v>99</x:v>
      </x:c>
      <x:c r="S38" s="6" t="n">
        <x:f>IF('Debt strategy'!$C$16&gt;0,0,MIN(O38+P38-Q38,MAX(0,'Debt strategy'!$C$5-SUM(E38,K38,Q38,W38,AC38)-SUM(IF(F38&lt;R38,C38+D38-E38,0),IF(L38&lt;R38,I38+J38-K38,0),IF(X38&lt;R38,U38+V38-W38,0),IF(AD38&lt;R38,AA38+AB38-AC38,0)))))</x:f>
        <x:v>0</x:v>
      </x:c>
      <x:c r="T38" s="6" t="n">
        <x:f>ROUND(MAX(0,O38+P38-Q38-S38),2)</x:f>
        <x:v>0</x:v>
      </x:c>
      <x:c r="U38" s="6" t="n">
        <x:f>Z37</x:f>
        <x:v>0</x:v>
      </x:c>
      <x:c r="V38" s="6" t="n">
        <x:f>ROUND(U38*'Debt strategy'!$D$12/12,2)</x:f>
        <x:v>0</x:v>
      </x:c>
      <x:c r="W38" s="6" t="n">
        <x:f>MIN(U38+V38,'Debt strategy'!$E$12)</x:f>
        <x:v>0</x:v>
      </x:c>
      <x:c r="X38" s="27" t="n">
        <x:f>IF(U38+V38-W38&lt;=0,99,1+SUM(IF(AND(C38+D38-E38&gt;0,OR(C38+D38-E38&lt;U38+V38-W38,AND(C38+D38-E38=U38+V38-W38,0&lt;3))),1,0),IF(AND(I38+J38-K38&gt;0,OR(I38+J38-K38&lt;U38+V38-W38,AND(I38+J38-K38=U38+V38-W38,1&lt;3))),1,0),IF(AND(O38+P38-Q38&gt;0,OR(O38+P38-Q38&lt;U38+V38-W38,AND(O38+P38-Q38=U38+V38-W38,2&lt;3))),1,0),IF(AND(AA38+AB38-AC38&gt;0,OR(AA38+AB38-AC38&lt;U38+V38-W38,AND(AA38+AB38-AC38=U38+V38-W38,4&lt;3))),1,0)))</x:f>
        <x:v>99</x:v>
      </x:c>
      <x:c r="Y38" s="6" t="n">
        <x:f>IF('Debt strategy'!$C$16&gt;0,0,MIN(U38+V38-W38,MAX(0,'Debt strategy'!$C$5-SUM(E38,K38,Q38,W38,AC38)-SUM(IF(F38&lt;X38,C38+D38-E38,0),IF(L38&lt;X38,I38+J38-K38,0),IF(R38&lt;X38,O38+P38-Q38,0),IF(AD38&lt;X38,AA38+AB38-AC38,0)))))</x:f>
        <x:v>0</x:v>
      </x:c>
      <x:c r="Z38" s="6" t="n">
        <x:f>ROUND(MAX(0,U38+V38-W38-Y38),2)</x:f>
        <x:v>0</x:v>
      </x:c>
      <x:c r="AA38" s="6" t="n">
        <x:f>AF37</x:f>
        <x:v>0</x:v>
      </x:c>
      <x:c r="AB38" s="6" t="n">
        <x:f>ROUND(AA38*'Debt strategy'!$D$13/12,2)</x:f>
        <x:v>0</x:v>
      </x:c>
      <x:c r="AC38" s="6" t="n">
        <x:f>MIN(AA38+AB38,'Debt strategy'!$E$13)</x:f>
        <x:v>0</x:v>
      </x:c>
      <x:c r="AD38" s="27" t="n">
        <x:f>IF(AA38+AB38-AC38&lt;=0,99,1+SUM(IF(AND(C38+D38-E38&gt;0,OR(C38+D38-E38&lt;AA38+AB38-AC38,AND(C38+D38-E38=AA38+AB38-AC38,0&lt;4))),1,0),IF(AND(I38+J38-K38&gt;0,OR(I38+J38-K38&lt;AA38+AB38-AC38,AND(I38+J38-K38=AA38+AB38-AC38,1&lt;4))),1,0),IF(AND(O38+P38-Q38&gt;0,OR(O38+P38-Q38&lt;AA38+AB38-AC38,AND(O38+P38-Q38=AA38+AB38-AC38,2&lt;4))),1,0),IF(AND(U38+V38-W38&gt;0,OR(U38+V38-W38&lt;AA38+AB38-AC38,AND(U38+V38-W38=AA38+AB38-AC38,3&lt;4))),1,0)))</x:f>
        <x:v>99</x:v>
      </x:c>
      <x:c r="AE38" s="6" t="n">
        <x:f>IF('Debt strategy'!$C$16&gt;0,0,MIN(AA38+AB38-AC38,MAX(0,'Debt strategy'!$C$5-SUM(E38,K38,Q38,W38,AC38)-SUM(IF(F38&lt;AD38,C38+D38-E38,0),IF(L38&lt;AD38,I38+J38-K38,0),IF(R38&lt;AD38,O38+P38-Q38,0),IF(X38&lt;AD38,U38+V38-W38,0)))))</x:f>
        <x:v>0</x:v>
      </x:c>
      <x:c r="AF38" s="6" t="n">
        <x:f>ROUND(MAX(0,AA38+AB38-AC38-AE38),2)</x:f>
        <x:v>0</x:v>
      </x:c>
      <x:c r="AG38" s="6" t="n">
        <x:f>SUM(H38,N38,T38,Z38,AF38)</x:f>
        <x:v>0</x:v>
      </x:c>
      <x:c r="AH38" s="6" t="n">
        <x:f>SUM(D38,J38,P38,V38,AB38)+AH37</x:f>
        <x:v>1353.9499999999996</x:v>
      </x:c>
      <x:c r="AI38" s="2"/>
    </x:row>
    <x:row r="39" ht="23" customHeight="1">
      <x:c r="B39" s="2" t="n">
        <x:f>31</x:f>
        <x:v>31</x:v>
      </x:c>
      <x:c r="C39" s="6" t="n">
        <x:f>H38</x:f>
        <x:v>0</x:v>
      </x:c>
      <x:c r="D39" s="6" t="n">
        <x:f>ROUND(C39*'Debt strategy'!$D$9/12,2)</x:f>
        <x:v>0</x:v>
      </x:c>
      <x:c r="E39" s="6" t="n">
        <x:f>MIN(C39+D39,'Debt strategy'!$E$9)</x:f>
        <x:v>0</x:v>
      </x:c>
      <x:c r="F39" s="27" t="n">
        <x:f>IF(C39+D39-E39&lt;=0,99,1+SUM(IF(AND(I39+J39-K39&gt;0,OR(I39+J39-K39&lt;C39+D39-E39,AND(I39+J39-K39=C39+D39-E39,1&lt;0))),1,0),IF(AND(O39+P39-Q39&gt;0,OR(O39+P39-Q39&lt;C39+D39-E39,AND(O39+P39-Q39=C39+D39-E39,2&lt;0))),1,0),IF(AND(U39+V39-W39&gt;0,OR(U39+V39-W39&lt;C39+D39-E39,AND(U39+V39-W39=C39+D39-E39,3&lt;0))),1,0),IF(AND(AA39+AB39-AC39&gt;0,OR(AA39+AB39-AC39&lt;C39+D39-E39,AND(AA39+AB39-AC39=C39+D39-E39,4&lt;0))),1,0)))</x:f>
        <x:v>99</x:v>
      </x:c>
      <x:c r="G39" s="6" t="n">
        <x:f>IF('Debt strategy'!$C$16&gt;0,0,MIN(C39+D39-E39,MAX(0,'Debt strategy'!$C$5-SUM(E39,K39,Q39,W39,AC39)-SUM(IF(L39&lt;F39,I39+J39-K39,0),IF(R39&lt;F39,O39+P39-Q39,0),IF(X39&lt;F39,U39+V39-W39,0),IF(AD39&lt;F39,AA39+AB39-AC39,0)))))</x:f>
        <x:v>0</x:v>
      </x:c>
      <x:c r="H39" s="6" t="n">
        <x:f>ROUND(MAX(0,C39+D39-E39-G39),2)</x:f>
        <x:v>0</x:v>
      </x:c>
      <x:c r="I39" s="6" t="n">
        <x:f>N38</x:f>
        <x:v>0</x:v>
      </x:c>
      <x:c r="J39" s="6" t="n">
        <x:f>ROUND(I39*'Debt strategy'!$D$10/12,2)</x:f>
        <x:v>0</x:v>
      </x:c>
      <x:c r="K39" s="6" t="n">
        <x:f>MIN(I39+J39,'Debt strategy'!$E$10)</x:f>
        <x:v>0</x:v>
      </x:c>
      <x:c r="L39" s="27" t="n">
        <x:f>IF(I39+J39-K39&lt;=0,99,1+SUM(IF(AND(C39+D39-E39&gt;0,OR(C39+D39-E39&lt;I39+J39-K39,AND(C39+D39-E39=I39+J39-K39,0&lt;1))),1,0),IF(AND(O39+P39-Q39&gt;0,OR(O39+P39-Q39&lt;I39+J39-K39,AND(O39+P39-Q39=I39+J39-K39,2&lt;1))),1,0),IF(AND(U39+V39-W39&gt;0,OR(U39+V39-W39&lt;I39+J39-K39,AND(U39+V39-W39=I39+J39-K39,3&lt;1))),1,0),IF(AND(AA39+AB39-AC39&gt;0,OR(AA39+AB39-AC39&lt;I39+J39-K39,AND(AA39+AB39-AC39=I39+J39-K39,4&lt;1))),1,0)))</x:f>
        <x:v>99</x:v>
      </x:c>
      <x:c r="M39" s="6" t="n">
        <x:f>IF('Debt strategy'!$C$16&gt;0,0,MIN(I39+J39-K39,MAX(0,'Debt strategy'!$C$5-SUM(E39,K39,Q39,W39,AC39)-SUM(IF(F39&lt;L39,C39+D39-E39,0),IF(R39&lt;L39,O39+P39-Q39,0),IF(X39&lt;L39,U39+V39-W39,0),IF(AD39&lt;L39,AA39+AB39-AC39,0)))))</x:f>
        <x:v>0</x:v>
      </x:c>
      <x:c r="N39" s="6" t="n">
        <x:f>ROUND(MAX(0,I39+J39-K39-M39),2)</x:f>
        <x:v>0</x:v>
      </x:c>
      <x:c r="O39" s="6" t="n">
        <x:f>T38</x:f>
        <x:v>0</x:v>
      </x:c>
      <x:c r="P39" s="6" t="n">
        <x:f>ROUND(O39*'Debt strategy'!$D$11/12,2)</x:f>
        <x:v>0</x:v>
      </x:c>
      <x:c r="Q39" s="6" t="n">
        <x:f>MIN(O39+P39,'Debt strategy'!$E$11)</x:f>
        <x:v>0</x:v>
      </x:c>
      <x:c r="R39" s="27" t="n">
        <x:f>IF(O39+P39-Q39&lt;=0,99,1+SUM(IF(AND(C39+D39-E39&gt;0,OR(C39+D39-E39&lt;O39+P39-Q39,AND(C39+D39-E39=O39+P39-Q39,0&lt;2))),1,0),IF(AND(I39+J39-K39&gt;0,OR(I39+J39-K39&lt;O39+P39-Q39,AND(I39+J39-K39=O39+P39-Q39,1&lt;2))),1,0),IF(AND(U39+V39-W39&gt;0,OR(U39+V39-W39&lt;O39+P39-Q39,AND(U39+V39-W39=O39+P39-Q39,3&lt;2))),1,0),IF(AND(AA39+AB39-AC39&gt;0,OR(AA39+AB39-AC39&lt;O39+P39-Q39,AND(AA39+AB39-AC39=O39+P39-Q39,4&lt;2))),1,0)))</x:f>
        <x:v>99</x:v>
      </x:c>
      <x:c r="S39" s="6" t="n">
        <x:f>IF('Debt strategy'!$C$16&gt;0,0,MIN(O39+P39-Q39,MAX(0,'Debt strategy'!$C$5-SUM(E39,K39,Q39,W39,AC39)-SUM(IF(F39&lt;R39,C39+D39-E39,0),IF(L39&lt;R39,I39+J39-K39,0),IF(X39&lt;R39,U39+V39-W39,0),IF(AD39&lt;R39,AA39+AB39-AC39,0)))))</x:f>
        <x:v>0</x:v>
      </x:c>
      <x:c r="T39" s="6" t="n">
        <x:f>ROUND(MAX(0,O39+P39-Q39-S39),2)</x:f>
        <x:v>0</x:v>
      </x:c>
      <x:c r="U39" s="6" t="n">
        <x:f>Z38</x:f>
        <x:v>0</x:v>
      </x:c>
      <x:c r="V39" s="6" t="n">
        <x:f>ROUND(U39*'Debt strategy'!$D$12/12,2)</x:f>
        <x:v>0</x:v>
      </x:c>
      <x:c r="W39" s="6" t="n">
        <x:f>MIN(U39+V39,'Debt strategy'!$E$12)</x:f>
        <x:v>0</x:v>
      </x:c>
      <x:c r="X39" s="27" t="n">
        <x:f>IF(U39+V39-W39&lt;=0,99,1+SUM(IF(AND(C39+D39-E39&gt;0,OR(C39+D39-E39&lt;U39+V39-W39,AND(C39+D39-E39=U39+V39-W39,0&lt;3))),1,0),IF(AND(I39+J39-K39&gt;0,OR(I39+J39-K39&lt;U39+V39-W39,AND(I39+J39-K39=U39+V39-W39,1&lt;3))),1,0),IF(AND(O39+P39-Q39&gt;0,OR(O39+P39-Q39&lt;U39+V39-W39,AND(O39+P39-Q39=U39+V39-W39,2&lt;3))),1,0),IF(AND(AA39+AB39-AC39&gt;0,OR(AA39+AB39-AC39&lt;U39+V39-W39,AND(AA39+AB39-AC39=U39+V39-W39,4&lt;3))),1,0)))</x:f>
        <x:v>99</x:v>
      </x:c>
      <x:c r="Y39" s="6" t="n">
        <x:f>IF('Debt strategy'!$C$16&gt;0,0,MIN(U39+V39-W39,MAX(0,'Debt strategy'!$C$5-SUM(E39,K39,Q39,W39,AC39)-SUM(IF(F39&lt;X39,C39+D39-E39,0),IF(L39&lt;X39,I39+J39-K39,0),IF(R39&lt;X39,O39+P39-Q39,0),IF(AD39&lt;X39,AA39+AB39-AC39,0)))))</x:f>
        <x:v>0</x:v>
      </x:c>
      <x:c r="Z39" s="6" t="n">
        <x:f>ROUND(MAX(0,U39+V39-W39-Y39),2)</x:f>
        <x:v>0</x:v>
      </x:c>
      <x:c r="AA39" s="6" t="n">
        <x:f>AF38</x:f>
        <x:v>0</x:v>
      </x:c>
      <x:c r="AB39" s="6" t="n">
        <x:f>ROUND(AA39*'Debt strategy'!$D$13/12,2)</x:f>
        <x:v>0</x:v>
      </x:c>
      <x:c r="AC39" s="6" t="n">
        <x:f>MIN(AA39+AB39,'Debt strategy'!$E$13)</x:f>
        <x:v>0</x:v>
      </x:c>
      <x:c r="AD39" s="27" t="n">
        <x:f>IF(AA39+AB39-AC39&lt;=0,99,1+SUM(IF(AND(C39+D39-E39&gt;0,OR(C39+D39-E39&lt;AA39+AB39-AC39,AND(C39+D39-E39=AA39+AB39-AC39,0&lt;4))),1,0),IF(AND(I39+J39-K39&gt;0,OR(I39+J39-K39&lt;AA39+AB39-AC39,AND(I39+J39-K39=AA39+AB39-AC39,1&lt;4))),1,0),IF(AND(O39+P39-Q39&gt;0,OR(O39+P39-Q39&lt;AA39+AB39-AC39,AND(O39+P39-Q39=AA39+AB39-AC39,2&lt;4))),1,0),IF(AND(U39+V39-W39&gt;0,OR(U39+V39-W39&lt;AA39+AB39-AC39,AND(U39+V39-W39=AA39+AB39-AC39,3&lt;4))),1,0)))</x:f>
        <x:v>99</x:v>
      </x:c>
      <x:c r="AE39" s="6" t="n">
        <x:f>IF('Debt strategy'!$C$16&gt;0,0,MIN(AA39+AB39-AC39,MAX(0,'Debt strategy'!$C$5-SUM(E39,K39,Q39,W39,AC39)-SUM(IF(F39&lt;AD39,C39+D39-E39,0),IF(L39&lt;AD39,I39+J39-K39,0),IF(R39&lt;AD39,O39+P39-Q39,0),IF(X39&lt;AD39,U39+V39-W39,0)))))</x:f>
        <x:v>0</x:v>
      </x:c>
      <x:c r="AF39" s="6" t="n">
        <x:f>ROUND(MAX(0,AA39+AB39-AC39-AE39),2)</x:f>
        <x:v>0</x:v>
      </x:c>
      <x:c r="AG39" s="6" t="n">
        <x:f>SUM(H39,N39,T39,Z39,AF39)</x:f>
        <x:v>0</x:v>
      </x:c>
      <x:c r="AH39" s="6" t="n">
        <x:f>SUM(D39,J39,P39,V39,AB39)+AH38</x:f>
        <x:v>1353.9499999999996</x:v>
      </x:c>
      <x:c r="AI39" s="2"/>
    </x:row>
    <x:row r="40" ht="23" customHeight="1">
      <x:c r="B40" s="2" t="n">
        <x:f>32</x:f>
        <x:v>32</x:v>
      </x:c>
      <x:c r="C40" s="6" t="n">
        <x:f>H39</x:f>
        <x:v>0</x:v>
      </x:c>
      <x:c r="D40" s="6" t="n">
        <x:f>ROUND(C40*'Debt strategy'!$D$9/12,2)</x:f>
        <x:v>0</x:v>
      </x:c>
      <x:c r="E40" s="6" t="n">
        <x:f>MIN(C40+D40,'Debt strategy'!$E$9)</x:f>
        <x:v>0</x:v>
      </x:c>
      <x:c r="F40" s="27" t="n">
        <x:f>IF(C40+D40-E40&lt;=0,99,1+SUM(IF(AND(I40+J40-K40&gt;0,OR(I40+J40-K40&lt;C40+D40-E40,AND(I40+J40-K40=C40+D40-E40,1&lt;0))),1,0),IF(AND(O40+P40-Q40&gt;0,OR(O40+P40-Q40&lt;C40+D40-E40,AND(O40+P40-Q40=C40+D40-E40,2&lt;0))),1,0),IF(AND(U40+V40-W40&gt;0,OR(U40+V40-W40&lt;C40+D40-E40,AND(U40+V40-W40=C40+D40-E40,3&lt;0))),1,0),IF(AND(AA40+AB40-AC40&gt;0,OR(AA40+AB40-AC40&lt;C40+D40-E40,AND(AA40+AB40-AC40=C40+D40-E40,4&lt;0))),1,0)))</x:f>
        <x:v>99</x:v>
      </x:c>
      <x:c r="G40" s="6" t="n">
        <x:f>IF('Debt strategy'!$C$16&gt;0,0,MIN(C40+D40-E40,MAX(0,'Debt strategy'!$C$5-SUM(E40,K40,Q40,W40,AC40)-SUM(IF(L40&lt;F40,I40+J40-K40,0),IF(R40&lt;F40,O40+P40-Q40,0),IF(X40&lt;F40,U40+V40-W40,0),IF(AD40&lt;F40,AA40+AB40-AC40,0)))))</x:f>
        <x:v>0</x:v>
      </x:c>
      <x:c r="H40" s="6" t="n">
        <x:f>ROUND(MAX(0,C40+D40-E40-G40),2)</x:f>
        <x:v>0</x:v>
      </x:c>
      <x:c r="I40" s="6" t="n">
        <x:f>N39</x:f>
        <x:v>0</x:v>
      </x:c>
      <x:c r="J40" s="6" t="n">
        <x:f>ROUND(I40*'Debt strategy'!$D$10/12,2)</x:f>
        <x:v>0</x:v>
      </x:c>
      <x:c r="K40" s="6" t="n">
        <x:f>MIN(I40+J40,'Debt strategy'!$E$10)</x:f>
        <x:v>0</x:v>
      </x:c>
      <x:c r="L40" s="27" t="n">
        <x:f>IF(I40+J40-K40&lt;=0,99,1+SUM(IF(AND(C40+D40-E40&gt;0,OR(C40+D40-E40&lt;I40+J40-K40,AND(C40+D40-E40=I40+J40-K40,0&lt;1))),1,0),IF(AND(O40+P40-Q40&gt;0,OR(O40+P40-Q40&lt;I40+J40-K40,AND(O40+P40-Q40=I40+J40-K40,2&lt;1))),1,0),IF(AND(U40+V40-W40&gt;0,OR(U40+V40-W40&lt;I40+J40-K40,AND(U40+V40-W40=I40+J40-K40,3&lt;1))),1,0),IF(AND(AA40+AB40-AC40&gt;0,OR(AA40+AB40-AC40&lt;I40+J40-K40,AND(AA40+AB40-AC40=I40+J40-K40,4&lt;1))),1,0)))</x:f>
        <x:v>99</x:v>
      </x:c>
      <x:c r="M40" s="6" t="n">
        <x:f>IF('Debt strategy'!$C$16&gt;0,0,MIN(I40+J40-K40,MAX(0,'Debt strategy'!$C$5-SUM(E40,K40,Q40,W40,AC40)-SUM(IF(F40&lt;L40,C40+D40-E40,0),IF(R40&lt;L40,O40+P40-Q40,0),IF(X40&lt;L40,U40+V40-W40,0),IF(AD40&lt;L40,AA40+AB40-AC40,0)))))</x:f>
        <x:v>0</x:v>
      </x:c>
      <x:c r="N40" s="6" t="n">
        <x:f>ROUND(MAX(0,I40+J40-K40-M40),2)</x:f>
        <x:v>0</x:v>
      </x:c>
      <x:c r="O40" s="6" t="n">
        <x:f>T39</x:f>
        <x:v>0</x:v>
      </x:c>
      <x:c r="P40" s="6" t="n">
        <x:f>ROUND(O40*'Debt strategy'!$D$11/12,2)</x:f>
        <x:v>0</x:v>
      </x:c>
      <x:c r="Q40" s="6" t="n">
        <x:f>MIN(O40+P40,'Debt strategy'!$E$11)</x:f>
        <x:v>0</x:v>
      </x:c>
      <x:c r="R40" s="27" t="n">
        <x:f>IF(O40+P40-Q40&lt;=0,99,1+SUM(IF(AND(C40+D40-E40&gt;0,OR(C40+D40-E40&lt;O40+P40-Q40,AND(C40+D40-E40=O40+P40-Q40,0&lt;2))),1,0),IF(AND(I40+J40-K40&gt;0,OR(I40+J40-K40&lt;O40+P40-Q40,AND(I40+J40-K40=O40+P40-Q40,1&lt;2))),1,0),IF(AND(U40+V40-W40&gt;0,OR(U40+V40-W40&lt;O40+P40-Q40,AND(U40+V40-W40=O40+P40-Q40,3&lt;2))),1,0),IF(AND(AA40+AB40-AC40&gt;0,OR(AA40+AB40-AC40&lt;O40+P40-Q40,AND(AA40+AB40-AC40=O40+P40-Q40,4&lt;2))),1,0)))</x:f>
        <x:v>99</x:v>
      </x:c>
      <x:c r="S40" s="6" t="n">
        <x:f>IF('Debt strategy'!$C$16&gt;0,0,MIN(O40+P40-Q40,MAX(0,'Debt strategy'!$C$5-SUM(E40,K40,Q40,W40,AC40)-SUM(IF(F40&lt;R40,C40+D40-E40,0),IF(L40&lt;R40,I40+J40-K40,0),IF(X40&lt;R40,U40+V40-W40,0),IF(AD40&lt;R40,AA40+AB40-AC40,0)))))</x:f>
        <x:v>0</x:v>
      </x:c>
      <x:c r="T40" s="6" t="n">
        <x:f>ROUND(MAX(0,O40+P40-Q40-S40),2)</x:f>
        <x:v>0</x:v>
      </x:c>
      <x:c r="U40" s="6" t="n">
        <x:f>Z39</x:f>
        <x:v>0</x:v>
      </x:c>
      <x:c r="V40" s="6" t="n">
        <x:f>ROUND(U40*'Debt strategy'!$D$12/12,2)</x:f>
        <x:v>0</x:v>
      </x:c>
      <x:c r="W40" s="6" t="n">
        <x:f>MIN(U40+V40,'Debt strategy'!$E$12)</x:f>
        <x:v>0</x:v>
      </x:c>
      <x:c r="X40" s="27" t="n">
        <x:f>IF(U40+V40-W40&lt;=0,99,1+SUM(IF(AND(C40+D40-E40&gt;0,OR(C40+D40-E40&lt;U40+V40-W40,AND(C40+D40-E40=U40+V40-W40,0&lt;3))),1,0),IF(AND(I40+J40-K40&gt;0,OR(I40+J40-K40&lt;U40+V40-W40,AND(I40+J40-K40=U40+V40-W40,1&lt;3))),1,0),IF(AND(O40+P40-Q40&gt;0,OR(O40+P40-Q40&lt;U40+V40-W40,AND(O40+P40-Q40=U40+V40-W40,2&lt;3))),1,0),IF(AND(AA40+AB40-AC40&gt;0,OR(AA40+AB40-AC40&lt;U40+V40-W40,AND(AA40+AB40-AC40=U40+V40-W40,4&lt;3))),1,0)))</x:f>
        <x:v>99</x:v>
      </x:c>
      <x:c r="Y40" s="6" t="n">
        <x:f>IF('Debt strategy'!$C$16&gt;0,0,MIN(U40+V40-W40,MAX(0,'Debt strategy'!$C$5-SUM(E40,K40,Q40,W40,AC40)-SUM(IF(F40&lt;X40,C40+D40-E40,0),IF(L40&lt;X40,I40+J40-K40,0),IF(R40&lt;X40,O40+P40-Q40,0),IF(AD40&lt;X40,AA40+AB40-AC40,0)))))</x:f>
        <x:v>0</x:v>
      </x:c>
      <x:c r="Z40" s="6" t="n">
        <x:f>ROUND(MAX(0,U40+V40-W40-Y40),2)</x:f>
        <x:v>0</x:v>
      </x:c>
      <x:c r="AA40" s="6" t="n">
        <x:f>AF39</x:f>
        <x:v>0</x:v>
      </x:c>
      <x:c r="AB40" s="6" t="n">
        <x:f>ROUND(AA40*'Debt strategy'!$D$13/12,2)</x:f>
        <x:v>0</x:v>
      </x:c>
      <x:c r="AC40" s="6" t="n">
        <x:f>MIN(AA40+AB40,'Debt strategy'!$E$13)</x:f>
        <x:v>0</x:v>
      </x:c>
      <x:c r="AD40" s="27" t="n">
        <x:f>IF(AA40+AB40-AC40&lt;=0,99,1+SUM(IF(AND(C40+D40-E40&gt;0,OR(C40+D40-E40&lt;AA40+AB40-AC40,AND(C40+D40-E40=AA40+AB40-AC40,0&lt;4))),1,0),IF(AND(I40+J40-K40&gt;0,OR(I40+J40-K40&lt;AA40+AB40-AC40,AND(I40+J40-K40=AA40+AB40-AC40,1&lt;4))),1,0),IF(AND(O40+P40-Q40&gt;0,OR(O40+P40-Q40&lt;AA40+AB40-AC40,AND(O40+P40-Q40=AA40+AB40-AC40,2&lt;4))),1,0),IF(AND(U40+V40-W40&gt;0,OR(U40+V40-W40&lt;AA40+AB40-AC40,AND(U40+V40-W40=AA40+AB40-AC40,3&lt;4))),1,0)))</x:f>
        <x:v>99</x:v>
      </x:c>
      <x:c r="AE40" s="6" t="n">
        <x:f>IF('Debt strategy'!$C$16&gt;0,0,MIN(AA40+AB40-AC40,MAX(0,'Debt strategy'!$C$5-SUM(E40,K40,Q40,W40,AC40)-SUM(IF(F40&lt;AD40,C40+D40-E40,0),IF(L40&lt;AD40,I40+J40-K40,0),IF(R40&lt;AD40,O40+P40-Q40,0),IF(X40&lt;AD40,U40+V40-W40,0)))))</x:f>
        <x:v>0</x:v>
      </x:c>
      <x:c r="AF40" s="6" t="n">
        <x:f>ROUND(MAX(0,AA40+AB40-AC40-AE40),2)</x:f>
        <x:v>0</x:v>
      </x:c>
      <x:c r="AG40" s="6" t="n">
        <x:f>SUM(H40,N40,T40,Z40,AF40)</x:f>
        <x:v>0</x:v>
      </x:c>
      <x:c r="AH40" s="6" t="n">
        <x:f>SUM(D40,J40,P40,V40,AB40)+AH39</x:f>
        <x:v>1353.9499999999996</x:v>
      </x:c>
      <x:c r="AI40" s="2"/>
    </x:row>
    <x:row r="41" ht="23" customHeight="1">
      <x:c r="B41" s="2" t="n">
        <x:f>33</x:f>
        <x:v>33</x:v>
      </x:c>
      <x:c r="C41" s="6" t="n">
        <x:f>H40</x:f>
        <x:v>0</x:v>
      </x:c>
      <x:c r="D41" s="6" t="n">
        <x:f>ROUND(C41*'Debt strategy'!$D$9/12,2)</x:f>
        <x:v>0</x:v>
      </x:c>
      <x:c r="E41" s="6" t="n">
        <x:f>MIN(C41+D41,'Debt strategy'!$E$9)</x:f>
        <x:v>0</x:v>
      </x:c>
      <x:c r="F41" s="27" t="n">
        <x:f>IF(C41+D41-E41&lt;=0,99,1+SUM(IF(AND(I41+J41-K41&gt;0,OR(I41+J41-K41&lt;C41+D41-E41,AND(I41+J41-K41=C41+D41-E41,1&lt;0))),1,0),IF(AND(O41+P41-Q41&gt;0,OR(O41+P41-Q41&lt;C41+D41-E41,AND(O41+P41-Q41=C41+D41-E41,2&lt;0))),1,0),IF(AND(U41+V41-W41&gt;0,OR(U41+V41-W41&lt;C41+D41-E41,AND(U41+V41-W41=C41+D41-E41,3&lt;0))),1,0),IF(AND(AA41+AB41-AC41&gt;0,OR(AA41+AB41-AC41&lt;C41+D41-E41,AND(AA41+AB41-AC41=C41+D41-E41,4&lt;0))),1,0)))</x:f>
        <x:v>99</x:v>
      </x:c>
      <x:c r="G41" s="6" t="n">
        <x:f>IF('Debt strategy'!$C$16&gt;0,0,MIN(C41+D41-E41,MAX(0,'Debt strategy'!$C$5-SUM(E41,K41,Q41,W41,AC41)-SUM(IF(L41&lt;F41,I41+J41-K41,0),IF(R41&lt;F41,O41+P41-Q41,0),IF(X41&lt;F41,U41+V41-W41,0),IF(AD41&lt;F41,AA41+AB41-AC41,0)))))</x:f>
        <x:v>0</x:v>
      </x:c>
      <x:c r="H41" s="6" t="n">
        <x:f>ROUND(MAX(0,C41+D41-E41-G41),2)</x:f>
        <x:v>0</x:v>
      </x:c>
      <x:c r="I41" s="6" t="n">
        <x:f>N40</x:f>
        <x:v>0</x:v>
      </x:c>
      <x:c r="J41" s="6" t="n">
        <x:f>ROUND(I41*'Debt strategy'!$D$10/12,2)</x:f>
        <x:v>0</x:v>
      </x:c>
      <x:c r="K41" s="6" t="n">
        <x:f>MIN(I41+J41,'Debt strategy'!$E$10)</x:f>
        <x:v>0</x:v>
      </x:c>
      <x:c r="L41" s="27" t="n">
        <x:f>IF(I41+J41-K41&lt;=0,99,1+SUM(IF(AND(C41+D41-E41&gt;0,OR(C41+D41-E41&lt;I41+J41-K41,AND(C41+D41-E41=I41+J41-K41,0&lt;1))),1,0),IF(AND(O41+P41-Q41&gt;0,OR(O41+P41-Q41&lt;I41+J41-K41,AND(O41+P41-Q41=I41+J41-K41,2&lt;1))),1,0),IF(AND(U41+V41-W41&gt;0,OR(U41+V41-W41&lt;I41+J41-K41,AND(U41+V41-W41=I41+J41-K41,3&lt;1))),1,0),IF(AND(AA41+AB41-AC41&gt;0,OR(AA41+AB41-AC41&lt;I41+J41-K41,AND(AA41+AB41-AC41=I41+J41-K41,4&lt;1))),1,0)))</x:f>
        <x:v>99</x:v>
      </x:c>
      <x:c r="M41" s="6" t="n">
        <x:f>IF('Debt strategy'!$C$16&gt;0,0,MIN(I41+J41-K41,MAX(0,'Debt strategy'!$C$5-SUM(E41,K41,Q41,W41,AC41)-SUM(IF(F41&lt;L41,C41+D41-E41,0),IF(R41&lt;L41,O41+P41-Q41,0),IF(X41&lt;L41,U41+V41-W41,0),IF(AD41&lt;L41,AA41+AB41-AC41,0)))))</x:f>
        <x:v>0</x:v>
      </x:c>
      <x:c r="N41" s="6" t="n">
        <x:f>ROUND(MAX(0,I41+J41-K41-M41),2)</x:f>
        <x:v>0</x:v>
      </x:c>
      <x:c r="O41" s="6" t="n">
        <x:f>T40</x:f>
        <x:v>0</x:v>
      </x:c>
      <x:c r="P41" s="6" t="n">
        <x:f>ROUND(O41*'Debt strategy'!$D$11/12,2)</x:f>
        <x:v>0</x:v>
      </x:c>
      <x:c r="Q41" s="6" t="n">
        <x:f>MIN(O41+P41,'Debt strategy'!$E$11)</x:f>
        <x:v>0</x:v>
      </x:c>
      <x:c r="R41" s="27" t="n">
        <x:f>IF(O41+P41-Q41&lt;=0,99,1+SUM(IF(AND(C41+D41-E41&gt;0,OR(C41+D41-E41&lt;O41+P41-Q41,AND(C41+D41-E41=O41+P41-Q41,0&lt;2))),1,0),IF(AND(I41+J41-K41&gt;0,OR(I41+J41-K41&lt;O41+P41-Q41,AND(I41+J41-K41=O41+P41-Q41,1&lt;2))),1,0),IF(AND(U41+V41-W41&gt;0,OR(U41+V41-W41&lt;O41+P41-Q41,AND(U41+V41-W41=O41+P41-Q41,3&lt;2))),1,0),IF(AND(AA41+AB41-AC41&gt;0,OR(AA41+AB41-AC41&lt;O41+P41-Q41,AND(AA41+AB41-AC41=O41+P41-Q41,4&lt;2))),1,0)))</x:f>
        <x:v>99</x:v>
      </x:c>
      <x:c r="S41" s="6" t="n">
        <x:f>IF('Debt strategy'!$C$16&gt;0,0,MIN(O41+P41-Q41,MAX(0,'Debt strategy'!$C$5-SUM(E41,K41,Q41,W41,AC41)-SUM(IF(F41&lt;R41,C41+D41-E41,0),IF(L41&lt;R41,I41+J41-K41,0),IF(X41&lt;R41,U41+V41-W41,0),IF(AD41&lt;R41,AA41+AB41-AC41,0)))))</x:f>
        <x:v>0</x:v>
      </x:c>
      <x:c r="T41" s="6" t="n">
        <x:f>ROUND(MAX(0,O41+P41-Q41-S41),2)</x:f>
        <x:v>0</x:v>
      </x:c>
      <x:c r="U41" s="6" t="n">
        <x:f>Z40</x:f>
        <x:v>0</x:v>
      </x:c>
      <x:c r="V41" s="6" t="n">
        <x:f>ROUND(U41*'Debt strategy'!$D$12/12,2)</x:f>
        <x:v>0</x:v>
      </x:c>
      <x:c r="W41" s="6" t="n">
        <x:f>MIN(U41+V41,'Debt strategy'!$E$12)</x:f>
        <x:v>0</x:v>
      </x:c>
      <x:c r="X41" s="27" t="n">
        <x:f>IF(U41+V41-W41&lt;=0,99,1+SUM(IF(AND(C41+D41-E41&gt;0,OR(C41+D41-E41&lt;U41+V41-W41,AND(C41+D41-E41=U41+V41-W41,0&lt;3))),1,0),IF(AND(I41+J41-K41&gt;0,OR(I41+J41-K41&lt;U41+V41-W41,AND(I41+J41-K41=U41+V41-W41,1&lt;3))),1,0),IF(AND(O41+P41-Q41&gt;0,OR(O41+P41-Q41&lt;U41+V41-W41,AND(O41+P41-Q41=U41+V41-W41,2&lt;3))),1,0),IF(AND(AA41+AB41-AC41&gt;0,OR(AA41+AB41-AC41&lt;U41+V41-W41,AND(AA41+AB41-AC41=U41+V41-W41,4&lt;3))),1,0)))</x:f>
        <x:v>99</x:v>
      </x:c>
      <x:c r="Y41" s="6" t="n">
        <x:f>IF('Debt strategy'!$C$16&gt;0,0,MIN(U41+V41-W41,MAX(0,'Debt strategy'!$C$5-SUM(E41,K41,Q41,W41,AC41)-SUM(IF(F41&lt;X41,C41+D41-E41,0),IF(L41&lt;X41,I41+J41-K41,0),IF(R41&lt;X41,O41+P41-Q41,0),IF(AD41&lt;X41,AA41+AB41-AC41,0)))))</x:f>
        <x:v>0</x:v>
      </x:c>
      <x:c r="Z41" s="6" t="n">
        <x:f>ROUND(MAX(0,U41+V41-W41-Y41),2)</x:f>
        <x:v>0</x:v>
      </x:c>
      <x:c r="AA41" s="6" t="n">
        <x:f>AF40</x:f>
        <x:v>0</x:v>
      </x:c>
      <x:c r="AB41" s="6" t="n">
        <x:f>ROUND(AA41*'Debt strategy'!$D$13/12,2)</x:f>
        <x:v>0</x:v>
      </x:c>
      <x:c r="AC41" s="6" t="n">
        <x:f>MIN(AA41+AB41,'Debt strategy'!$E$13)</x:f>
        <x:v>0</x:v>
      </x:c>
      <x:c r="AD41" s="27" t="n">
        <x:f>IF(AA41+AB41-AC41&lt;=0,99,1+SUM(IF(AND(C41+D41-E41&gt;0,OR(C41+D41-E41&lt;AA41+AB41-AC41,AND(C41+D41-E41=AA41+AB41-AC41,0&lt;4))),1,0),IF(AND(I41+J41-K41&gt;0,OR(I41+J41-K41&lt;AA41+AB41-AC41,AND(I41+J41-K41=AA41+AB41-AC41,1&lt;4))),1,0),IF(AND(O41+P41-Q41&gt;0,OR(O41+P41-Q41&lt;AA41+AB41-AC41,AND(O41+P41-Q41=AA41+AB41-AC41,2&lt;4))),1,0),IF(AND(U41+V41-W41&gt;0,OR(U41+V41-W41&lt;AA41+AB41-AC41,AND(U41+V41-W41=AA41+AB41-AC41,3&lt;4))),1,0)))</x:f>
        <x:v>99</x:v>
      </x:c>
      <x:c r="AE41" s="6" t="n">
        <x:f>IF('Debt strategy'!$C$16&gt;0,0,MIN(AA41+AB41-AC41,MAX(0,'Debt strategy'!$C$5-SUM(E41,K41,Q41,W41,AC41)-SUM(IF(F41&lt;AD41,C41+D41-E41,0),IF(L41&lt;AD41,I41+J41-K41,0),IF(R41&lt;AD41,O41+P41-Q41,0),IF(X41&lt;AD41,U41+V41-W41,0)))))</x:f>
        <x:v>0</x:v>
      </x:c>
      <x:c r="AF41" s="6" t="n">
        <x:f>ROUND(MAX(0,AA41+AB41-AC41-AE41),2)</x:f>
        <x:v>0</x:v>
      </x:c>
      <x:c r="AG41" s="6" t="n">
        <x:f>SUM(H41,N41,T41,Z41,AF41)</x:f>
        <x:v>0</x:v>
      </x:c>
      <x:c r="AH41" s="6" t="n">
        <x:f>SUM(D41,J41,P41,V41,AB41)+AH40</x:f>
        <x:v>1353.9499999999996</x:v>
      </x:c>
      <x:c r="AI41" s="2"/>
    </x:row>
    <x:row r="42" ht="23" customHeight="1">
      <x:c r="B42" s="2" t="n">
        <x:f>34</x:f>
        <x:v>34</x:v>
      </x:c>
      <x:c r="C42" s="6" t="n">
        <x:f>H41</x:f>
        <x:v>0</x:v>
      </x:c>
      <x:c r="D42" s="6" t="n">
        <x:f>ROUND(C42*'Debt strategy'!$D$9/12,2)</x:f>
        <x:v>0</x:v>
      </x:c>
      <x:c r="E42" s="6" t="n">
        <x:f>MIN(C42+D42,'Debt strategy'!$E$9)</x:f>
        <x:v>0</x:v>
      </x:c>
      <x:c r="F42" s="27" t="n">
        <x:f>IF(C42+D42-E42&lt;=0,99,1+SUM(IF(AND(I42+J42-K42&gt;0,OR(I42+J42-K42&lt;C42+D42-E42,AND(I42+J42-K42=C42+D42-E42,1&lt;0))),1,0),IF(AND(O42+P42-Q42&gt;0,OR(O42+P42-Q42&lt;C42+D42-E42,AND(O42+P42-Q42=C42+D42-E42,2&lt;0))),1,0),IF(AND(U42+V42-W42&gt;0,OR(U42+V42-W42&lt;C42+D42-E42,AND(U42+V42-W42=C42+D42-E42,3&lt;0))),1,0),IF(AND(AA42+AB42-AC42&gt;0,OR(AA42+AB42-AC42&lt;C42+D42-E42,AND(AA42+AB42-AC42=C42+D42-E42,4&lt;0))),1,0)))</x:f>
        <x:v>99</x:v>
      </x:c>
      <x:c r="G42" s="6" t="n">
        <x:f>IF('Debt strategy'!$C$16&gt;0,0,MIN(C42+D42-E42,MAX(0,'Debt strategy'!$C$5-SUM(E42,K42,Q42,W42,AC42)-SUM(IF(L42&lt;F42,I42+J42-K42,0),IF(R42&lt;F42,O42+P42-Q42,0),IF(X42&lt;F42,U42+V42-W42,0),IF(AD42&lt;F42,AA42+AB42-AC42,0)))))</x:f>
        <x:v>0</x:v>
      </x:c>
      <x:c r="H42" s="6" t="n">
        <x:f>ROUND(MAX(0,C42+D42-E42-G42),2)</x:f>
        <x:v>0</x:v>
      </x:c>
      <x:c r="I42" s="6" t="n">
        <x:f>N41</x:f>
        <x:v>0</x:v>
      </x:c>
      <x:c r="J42" s="6" t="n">
        <x:f>ROUND(I42*'Debt strategy'!$D$10/12,2)</x:f>
        <x:v>0</x:v>
      </x:c>
      <x:c r="K42" s="6" t="n">
        <x:f>MIN(I42+J42,'Debt strategy'!$E$10)</x:f>
        <x:v>0</x:v>
      </x:c>
      <x:c r="L42" s="27" t="n">
        <x:f>IF(I42+J42-K42&lt;=0,99,1+SUM(IF(AND(C42+D42-E42&gt;0,OR(C42+D42-E42&lt;I42+J42-K42,AND(C42+D42-E42=I42+J42-K42,0&lt;1))),1,0),IF(AND(O42+P42-Q42&gt;0,OR(O42+P42-Q42&lt;I42+J42-K42,AND(O42+P42-Q42=I42+J42-K42,2&lt;1))),1,0),IF(AND(U42+V42-W42&gt;0,OR(U42+V42-W42&lt;I42+J42-K42,AND(U42+V42-W42=I42+J42-K42,3&lt;1))),1,0),IF(AND(AA42+AB42-AC42&gt;0,OR(AA42+AB42-AC42&lt;I42+J42-K42,AND(AA42+AB42-AC42=I42+J42-K42,4&lt;1))),1,0)))</x:f>
        <x:v>99</x:v>
      </x:c>
      <x:c r="M42" s="6" t="n">
        <x:f>IF('Debt strategy'!$C$16&gt;0,0,MIN(I42+J42-K42,MAX(0,'Debt strategy'!$C$5-SUM(E42,K42,Q42,W42,AC42)-SUM(IF(F42&lt;L42,C42+D42-E42,0),IF(R42&lt;L42,O42+P42-Q42,0),IF(X42&lt;L42,U42+V42-W42,0),IF(AD42&lt;L42,AA42+AB42-AC42,0)))))</x:f>
        <x:v>0</x:v>
      </x:c>
      <x:c r="N42" s="6" t="n">
        <x:f>ROUND(MAX(0,I42+J42-K42-M42),2)</x:f>
        <x:v>0</x:v>
      </x:c>
      <x:c r="O42" s="6" t="n">
        <x:f>T41</x:f>
        <x:v>0</x:v>
      </x:c>
      <x:c r="P42" s="6" t="n">
        <x:f>ROUND(O42*'Debt strategy'!$D$11/12,2)</x:f>
        <x:v>0</x:v>
      </x:c>
      <x:c r="Q42" s="6" t="n">
        <x:f>MIN(O42+P42,'Debt strategy'!$E$11)</x:f>
        <x:v>0</x:v>
      </x:c>
      <x:c r="R42" s="27" t="n">
        <x:f>IF(O42+P42-Q42&lt;=0,99,1+SUM(IF(AND(C42+D42-E42&gt;0,OR(C42+D42-E42&lt;O42+P42-Q42,AND(C42+D42-E42=O42+P42-Q42,0&lt;2))),1,0),IF(AND(I42+J42-K42&gt;0,OR(I42+J42-K42&lt;O42+P42-Q42,AND(I42+J42-K42=O42+P42-Q42,1&lt;2))),1,0),IF(AND(U42+V42-W42&gt;0,OR(U42+V42-W42&lt;O42+P42-Q42,AND(U42+V42-W42=O42+P42-Q42,3&lt;2))),1,0),IF(AND(AA42+AB42-AC42&gt;0,OR(AA42+AB42-AC42&lt;O42+P42-Q42,AND(AA42+AB42-AC42=O42+P42-Q42,4&lt;2))),1,0)))</x:f>
        <x:v>99</x:v>
      </x:c>
      <x:c r="S42" s="6" t="n">
        <x:f>IF('Debt strategy'!$C$16&gt;0,0,MIN(O42+P42-Q42,MAX(0,'Debt strategy'!$C$5-SUM(E42,K42,Q42,W42,AC42)-SUM(IF(F42&lt;R42,C42+D42-E42,0),IF(L42&lt;R42,I42+J42-K42,0),IF(X42&lt;R42,U42+V42-W42,0),IF(AD42&lt;R42,AA42+AB42-AC42,0)))))</x:f>
        <x:v>0</x:v>
      </x:c>
      <x:c r="T42" s="6" t="n">
        <x:f>ROUND(MAX(0,O42+P42-Q42-S42),2)</x:f>
        <x:v>0</x:v>
      </x:c>
      <x:c r="U42" s="6" t="n">
        <x:f>Z41</x:f>
        <x:v>0</x:v>
      </x:c>
      <x:c r="V42" s="6" t="n">
        <x:f>ROUND(U42*'Debt strategy'!$D$12/12,2)</x:f>
        <x:v>0</x:v>
      </x:c>
      <x:c r="W42" s="6" t="n">
        <x:f>MIN(U42+V42,'Debt strategy'!$E$12)</x:f>
        <x:v>0</x:v>
      </x:c>
      <x:c r="X42" s="27" t="n">
        <x:f>IF(U42+V42-W42&lt;=0,99,1+SUM(IF(AND(C42+D42-E42&gt;0,OR(C42+D42-E42&lt;U42+V42-W42,AND(C42+D42-E42=U42+V42-W42,0&lt;3))),1,0),IF(AND(I42+J42-K42&gt;0,OR(I42+J42-K42&lt;U42+V42-W42,AND(I42+J42-K42=U42+V42-W42,1&lt;3))),1,0),IF(AND(O42+P42-Q42&gt;0,OR(O42+P42-Q42&lt;U42+V42-W42,AND(O42+P42-Q42=U42+V42-W42,2&lt;3))),1,0),IF(AND(AA42+AB42-AC42&gt;0,OR(AA42+AB42-AC42&lt;U42+V42-W42,AND(AA42+AB42-AC42=U42+V42-W42,4&lt;3))),1,0)))</x:f>
        <x:v>99</x:v>
      </x:c>
      <x:c r="Y42" s="6" t="n">
        <x:f>IF('Debt strategy'!$C$16&gt;0,0,MIN(U42+V42-W42,MAX(0,'Debt strategy'!$C$5-SUM(E42,K42,Q42,W42,AC42)-SUM(IF(F42&lt;X42,C42+D42-E42,0),IF(L42&lt;X42,I42+J42-K42,0),IF(R42&lt;X42,O42+P42-Q42,0),IF(AD42&lt;X42,AA42+AB42-AC42,0)))))</x:f>
        <x:v>0</x:v>
      </x:c>
      <x:c r="Z42" s="6" t="n">
        <x:f>ROUND(MAX(0,U42+V42-W42-Y42),2)</x:f>
        <x:v>0</x:v>
      </x:c>
      <x:c r="AA42" s="6" t="n">
        <x:f>AF41</x:f>
        <x:v>0</x:v>
      </x:c>
      <x:c r="AB42" s="6" t="n">
        <x:f>ROUND(AA42*'Debt strategy'!$D$13/12,2)</x:f>
        <x:v>0</x:v>
      </x:c>
      <x:c r="AC42" s="6" t="n">
        <x:f>MIN(AA42+AB42,'Debt strategy'!$E$13)</x:f>
        <x:v>0</x:v>
      </x:c>
      <x:c r="AD42" s="27" t="n">
        <x:f>IF(AA42+AB42-AC42&lt;=0,99,1+SUM(IF(AND(C42+D42-E42&gt;0,OR(C42+D42-E42&lt;AA42+AB42-AC42,AND(C42+D42-E42=AA42+AB42-AC42,0&lt;4))),1,0),IF(AND(I42+J42-K42&gt;0,OR(I42+J42-K42&lt;AA42+AB42-AC42,AND(I42+J42-K42=AA42+AB42-AC42,1&lt;4))),1,0),IF(AND(O42+P42-Q42&gt;0,OR(O42+P42-Q42&lt;AA42+AB42-AC42,AND(O42+P42-Q42=AA42+AB42-AC42,2&lt;4))),1,0),IF(AND(U42+V42-W42&gt;0,OR(U42+V42-W42&lt;AA42+AB42-AC42,AND(U42+V42-W42=AA42+AB42-AC42,3&lt;4))),1,0)))</x:f>
        <x:v>99</x:v>
      </x:c>
      <x:c r="AE42" s="6" t="n">
        <x:f>IF('Debt strategy'!$C$16&gt;0,0,MIN(AA42+AB42-AC42,MAX(0,'Debt strategy'!$C$5-SUM(E42,K42,Q42,W42,AC42)-SUM(IF(F42&lt;AD42,C42+D42-E42,0),IF(L42&lt;AD42,I42+J42-K42,0),IF(R42&lt;AD42,O42+P42-Q42,0),IF(X42&lt;AD42,U42+V42-W42,0)))))</x:f>
        <x:v>0</x:v>
      </x:c>
      <x:c r="AF42" s="6" t="n">
        <x:f>ROUND(MAX(0,AA42+AB42-AC42-AE42),2)</x:f>
        <x:v>0</x:v>
      </x:c>
      <x:c r="AG42" s="6" t="n">
        <x:f>SUM(H42,N42,T42,Z42,AF42)</x:f>
        <x:v>0</x:v>
      </x:c>
      <x:c r="AH42" s="6" t="n">
        <x:f>SUM(D42,J42,P42,V42,AB42)+AH41</x:f>
        <x:v>1353.9499999999996</x:v>
      </x:c>
      <x:c r="AI42" s="2"/>
    </x:row>
    <x:row r="43" ht="23" customHeight="1">
      <x:c r="B43" s="2" t="n">
        <x:f>35</x:f>
        <x:v>35</x:v>
      </x:c>
      <x:c r="C43" s="6" t="n">
        <x:f>H42</x:f>
        <x:v>0</x:v>
      </x:c>
      <x:c r="D43" s="6" t="n">
        <x:f>ROUND(C43*'Debt strategy'!$D$9/12,2)</x:f>
        <x:v>0</x:v>
      </x:c>
      <x:c r="E43" s="6" t="n">
        <x:f>MIN(C43+D43,'Debt strategy'!$E$9)</x:f>
        <x:v>0</x:v>
      </x:c>
      <x:c r="F43" s="27" t="n">
        <x:f>IF(C43+D43-E43&lt;=0,99,1+SUM(IF(AND(I43+J43-K43&gt;0,OR(I43+J43-K43&lt;C43+D43-E43,AND(I43+J43-K43=C43+D43-E43,1&lt;0))),1,0),IF(AND(O43+P43-Q43&gt;0,OR(O43+P43-Q43&lt;C43+D43-E43,AND(O43+P43-Q43=C43+D43-E43,2&lt;0))),1,0),IF(AND(U43+V43-W43&gt;0,OR(U43+V43-W43&lt;C43+D43-E43,AND(U43+V43-W43=C43+D43-E43,3&lt;0))),1,0),IF(AND(AA43+AB43-AC43&gt;0,OR(AA43+AB43-AC43&lt;C43+D43-E43,AND(AA43+AB43-AC43=C43+D43-E43,4&lt;0))),1,0)))</x:f>
        <x:v>99</x:v>
      </x:c>
      <x:c r="G43" s="6" t="n">
        <x:f>IF('Debt strategy'!$C$16&gt;0,0,MIN(C43+D43-E43,MAX(0,'Debt strategy'!$C$5-SUM(E43,K43,Q43,W43,AC43)-SUM(IF(L43&lt;F43,I43+J43-K43,0),IF(R43&lt;F43,O43+P43-Q43,0),IF(X43&lt;F43,U43+V43-W43,0),IF(AD43&lt;F43,AA43+AB43-AC43,0)))))</x:f>
        <x:v>0</x:v>
      </x:c>
      <x:c r="H43" s="6" t="n">
        <x:f>ROUND(MAX(0,C43+D43-E43-G43),2)</x:f>
        <x:v>0</x:v>
      </x:c>
      <x:c r="I43" s="6" t="n">
        <x:f>N42</x:f>
        <x:v>0</x:v>
      </x:c>
      <x:c r="J43" s="6" t="n">
        <x:f>ROUND(I43*'Debt strategy'!$D$10/12,2)</x:f>
        <x:v>0</x:v>
      </x:c>
      <x:c r="K43" s="6" t="n">
        <x:f>MIN(I43+J43,'Debt strategy'!$E$10)</x:f>
        <x:v>0</x:v>
      </x:c>
      <x:c r="L43" s="27" t="n">
        <x:f>IF(I43+J43-K43&lt;=0,99,1+SUM(IF(AND(C43+D43-E43&gt;0,OR(C43+D43-E43&lt;I43+J43-K43,AND(C43+D43-E43=I43+J43-K43,0&lt;1))),1,0),IF(AND(O43+P43-Q43&gt;0,OR(O43+P43-Q43&lt;I43+J43-K43,AND(O43+P43-Q43=I43+J43-K43,2&lt;1))),1,0),IF(AND(U43+V43-W43&gt;0,OR(U43+V43-W43&lt;I43+J43-K43,AND(U43+V43-W43=I43+J43-K43,3&lt;1))),1,0),IF(AND(AA43+AB43-AC43&gt;0,OR(AA43+AB43-AC43&lt;I43+J43-K43,AND(AA43+AB43-AC43=I43+J43-K43,4&lt;1))),1,0)))</x:f>
        <x:v>99</x:v>
      </x:c>
      <x:c r="M43" s="6" t="n">
        <x:f>IF('Debt strategy'!$C$16&gt;0,0,MIN(I43+J43-K43,MAX(0,'Debt strategy'!$C$5-SUM(E43,K43,Q43,W43,AC43)-SUM(IF(F43&lt;L43,C43+D43-E43,0),IF(R43&lt;L43,O43+P43-Q43,0),IF(X43&lt;L43,U43+V43-W43,0),IF(AD43&lt;L43,AA43+AB43-AC43,0)))))</x:f>
        <x:v>0</x:v>
      </x:c>
      <x:c r="N43" s="6" t="n">
        <x:f>ROUND(MAX(0,I43+J43-K43-M43),2)</x:f>
        <x:v>0</x:v>
      </x:c>
      <x:c r="O43" s="6" t="n">
        <x:f>T42</x:f>
        <x:v>0</x:v>
      </x:c>
      <x:c r="P43" s="6" t="n">
        <x:f>ROUND(O43*'Debt strategy'!$D$11/12,2)</x:f>
        <x:v>0</x:v>
      </x:c>
      <x:c r="Q43" s="6" t="n">
        <x:f>MIN(O43+P43,'Debt strategy'!$E$11)</x:f>
        <x:v>0</x:v>
      </x:c>
      <x:c r="R43" s="27" t="n">
        <x:f>IF(O43+P43-Q43&lt;=0,99,1+SUM(IF(AND(C43+D43-E43&gt;0,OR(C43+D43-E43&lt;O43+P43-Q43,AND(C43+D43-E43=O43+P43-Q43,0&lt;2))),1,0),IF(AND(I43+J43-K43&gt;0,OR(I43+J43-K43&lt;O43+P43-Q43,AND(I43+J43-K43=O43+P43-Q43,1&lt;2))),1,0),IF(AND(U43+V43-W43&gt;0,OR(U43+V43-W43&lt;O43+P43-Q43,AND(U43+V43-W43=O43+P43-Q43,3&lt;2))),1,0),IF(AND(AA43+AB43-AC43&gt;0,OR(AA43+AB43-AC43&lt;O43+P43-Q43,AND(AA43+AB43-AC43=O43+P43-Q43,4&lt;2))),1,0)))</x:f>
        <x:v>99</x:v>
      </x:c>
      <x:c r="S43" s="6" t="n">
        <x:f>IF('Debt strategy'!$C$16&gt;0,0,MIN(O43+P43-Q43,MAX(0,'Debt strategy'!$C$5-SUM(E43,K43,Q43,W43,AC43)-SUM(IF(F43&lt;R43,C43+D43-E43,0),IF(L43&lt;R43,I43+J43-K43,0),IF(X43&lt;R43,U43+V43-W43,0),IF(AD43&lt;R43,AA43+AB43-AC43,0)))))</x:f>
        <x:v>0</x:v>
      </x:c>
      <x:c r="T43" s="6" t="n">
        <x:f>ROUND(MAX(0,O43+P43-Q43-S43),2)</x:f>
        <x:v>0</x:v>
      </x:c>
      <x:c r="U43" s="6" t="n">
        <x:f>Z42</x:f>
        <x:v>0</x:v>
      </x:c>
      <x:c r="V43" s="6" t="n">
        <x:f>ROUND(U43*'Debt strategy'!$D$12/12,2)</x:f>
        <x:v>0</x:v>
      </x:c>
      <x:c r="W43" s="6" t="n">
        <x:f>MIN(U43+V43,'Debt strategy'!$E$12)</x:f>
        <x:v>0</x:v>
      </x:c>
      <x:c r="X43" s="27" t="n">
        <x:f>IF(U43+V43-W43&lt;=0,99,1+SUM(IF(AND(C43+D43-E43&gt;0,OR(C43+D43-E43&lt;U43+V43-W43,AND(C43+D43-E43=U43+V43-W43,0&lt;3))),1,0),IF(AND(I43+J43-K43&gt;0,OR(I43+J43-K43&lt;U43+V43-W43,AND(I43+J43-K43=U43+V43-W43,1&lt;3))),1,0),IF(AND(O43+P43-Q43&gt;0,OR(O43+P43-Q43&lt;U43+V43-W43,AND(O43+P43-Q43=U43+V43-W43,2&lt;3))),1,0),IF(AND(AA43+AB43-AC43&gt;0,OR(AA43+AB43-AC43&lt;U43+V43-W43,AND(AA43+AB43-AC43=U43+V43-W43,4&lt;3))),1,0)))</x:f>
        <x:v>99</x:v>
      </x:c>
      <x:c r="Y43" s="6" t="n">
        <x:f>IF('Debt strategy'!$C$16&gt;0,0,MIN(U43+V43-W43,MAX(0,'Debt strategy'!$C$5-SUM(E43,K43,Q43,W43,AC43)-SUM(IF(F43&lt;X43,C43+D43-E43,0),IF(L43&lt;X43,I43+J43-K43,0),IF(R43&lt;X43,O43+P43-Q43,0),IF(AD43&lt;X43,AA43+AB43-AC43,0)))))</x:f>
        <x:v>0</x:v>
      </x:c>
      <x:c r="Z43" s="6" t="n">
        <x:f>ROUND(MAX(0,U43+V43-W43-Y43),2)</x:f>
        <x:v>0</x:v>
      </x:c>
      <x:c r="AA43" s="6" t="n">
        <x:f>AF42</x:f>
        <x:v>0</x:v>
      </x:c>
      <x:c r="AB43" s="6" t="n">
        <x:f>ROUND(AA43*'Debt strategy'!$D$13/12,2)</x:f>
        <x:v>0</x:v>
      </x:c>
      <x:c r="AC43" s="6" t="n">
        <x:f>MIN(AA43+AB43,'Debt strategy'!$E$13)</x:f>
        <x:v>0</x:v>
      </x:c>
      <x:c r="AD43" s="27" t="n">
        <x:f>IF(AA43+AB43-AC43&lt;=0,99,1+SUM(IF(AND(C43+D43-E43&gt;0,OR(C43+D43-E43&lt;AA43+AB43-AC43,AND(C43+D43-E43=AA43+AB43-AC43,0&lt;4))),1,0),IF(AND(I43+J43-K43&gt;0,OR(I43+J43-K43&lt;AA43+AB43-AC43,AND(I43+J43-K43=AA43+AB43-AC43,1&lt;4))),1,0),IF(AND(O43+P43-Q43&gt;0,OR(O43+P43-Q43&lt;AA43+AB43-AC43,AND(O43+P43-Q43=AA43+AB43-AC43,2&lt;4))),1,0),IF(AND(U43+V43-W43&gt;0,OR(U43+V43-W43&lt;AA43+AB43-AC43,AND(U43+V43-W43=AA43+AB43-AC43,3&lt;4))),1,0)))</x:f>
        <x:v>99</x:v>
      </x:c>
      <x:c r="AE43" s="6" t="n">
        <x:f>IF('Debt strategy'!$C$16&gt;0,0,MIN(AA43+AB43-AC43,MAX(0,'Debt strategy'!$C$5-SUM(E43,K43,Q43,W43,AC43)-SUM(IF(F43&lt;AD43,C43+D43-E43,0),IF(L43&lt;AD43,I43+J43-K43,0),IF(R43&lt;AD43,O43+P43-Q43,0),IF(X43&lt;AD43,U43+V43-W43,0)))))</x:f>
        <x:v>0</x:v>
      </x:c>
      <x:c r="AF43" s="6" t="n">
        <x:f>ROUND(MAX(0,AA43+AB43-AC43-AE43),2)</x:f>
        <x:v>0</x:v>
      </x:c>
      <x:c r="AG43" s="6" t="n">
        <x:f>SUM(H43,N43,T43,Z43,AF43)</x:f>
        <x:v>0</x:v>
      </x:c>
      <x:c r="AH43" s="6" t="n">
        <x:f>SUM(D43,J43,P43,V43,AB43)+AH42</x:f>
        <x:v>1353.9499999999996</x:v>
      </x:c>
      <x:c r="AI43" s="2"/>
    </x:row>
    <x:row r="44" ht="23" customHeight="1">
      <x:c r="B44" s="2" t="n">
        <x:f>36</x:f>
        <x:v>36</x:v>
      </x:c>
      <x:c r="C44" s="6" t="n">
        <x:f>H43</x:f>
        <x:v>0</x:v>
      </x:c>
      <x:c r="D44" s="6" t="n">
        <x:f>ROUND(C44*'Debt strategy'!$D$9/12,2)</x:f>
        <x:v>0</x:v>
      </x:c>
      <x:c r="E44" s="6" t="n">
        <x:f>MIN(C44+D44,'Debt strategy'!$E$9)</x:f>
        <x:v>0</x:v>
      </x:c>
      <x:c r="F44" s="27" t="n">
        <x:f>IF(C44+D44-E44&lt;=0,99,1+SUM(IF(AND(I44+J44-K44&gt;0,OR(I44+J44-K44&lt;C44+D44-E44,AND(I44+J44-K44=C44+D44-E44,1&lt;0))),1,0),IF(AND(O44+P44-Q44&gt;0,OR(O44+P44-Q44&lt;C44+D44-E44,AND(O44+P44-Q44=C44+D44-E44,2&lt;0))),1,0),IF(AND(U44+V44-W44&gt;0,OR(U44+V44-W44&lt;C44+D44-E44,AND(U44+V44-W44=C44+D44-E44,3&lt;0))),1,0),IF(AND(AA44+AB44-AC44&gt;0,OR(AA44+AB44-AC44&lt;C44+D44-E44,AND(AA44+AB44-AC44=C44+D44-E44,4&lt;0))),1,0)))</x:f>
        <x:v>99</x:v>
      </x:c>
      <x:c r="G44" s="6" t="n">
        <x:f>IF('Debt strategy'!$C$16&gt;0,0,MIN(C44+D44-E44,MAX(0,'Debt strategy'!$C$5-SUM(E44,K44,Q44,W44,AC44)-SUM(IF(L44&lt;F44,I44+J44-K44,0),IF(R44&lt;F44,O44+P44-Q44,0),IF(X44&lt;F44,U44+V44-W44,0),IF(AD44&lt;F44,AA44+AB44-AC44,0)))))</x:f>
        <x:v>0</x:v>
      </x:c>
      <x:c r="H44" s="6" t="n">
        <x:f>ROUND(MAX(0,C44+D44-E44-G44),2)</x:f>
        <x:v>0</x:v>
      </x:c>
      <x:c r="I44" s="6" t="n">
        <x:f>N43</x:f>
        <x:v>0</x:v>
      </x:c>
      <x:c r="J44" s="6" t="n">
        <x:f>ROUND(I44*'Debt strategy'!$D$10/12,2)</x:f>
        <x:v>0</x:v>
      </x:c>
      <x:c r="K44" s="6" t="n">
        <x:f>MIN(I44+J44,'Debt strategy'!$E$10)</x:f>
        <x:v>0</x:v>
      </x:c>
      <x:c r="L44" s="27" t="n">
        <x:f>IF(I44+J44-K44&lt;=0,99,1+SUM(IF(AND(C44+D44-E44&gt;0,OR(C44+D44-E44&lt;I44+J44-K44,AND(C44+D44-E44=I44+J44-K44,0&lt;1))),1,0),IF(AND(O44+P44-Q44&gt;0,OR(O44+P44-Q44&lt;I44+J44-K44,AND(O44+P44-Q44=I44+J44-K44,2&lt;1))),1,0),IF(AND(U44+V44-W44&gt;0,OR(U44+V44-W44&lt;I44+J44-K44,AND(U44+V44-W44=I44+J44-K44,3&lt;1))),1,0),IF(AND(AA44+AB44-AC44&gt;0,OR(AA44+AB44-AC44&lt;I44+J44-K44,AND(AA44+AB44-AC44=I44+J44-K44,4&lt;1))),1,0)))</x:f>
        <x:v>99</x:v>
      </x:c>
      <x:c r="M44" s="6" t="n">
        <x:f>IF('Debt strategy'!$C$16&gt;0,0,MIN(I44+J44-K44,MAX(0,'Debt strategy'!$C$5-SUM(E44,K44,Q44,W44,AC44)-SUM(IF(F44&lt;L44,C44+D44-E44,0),IF(R44&lt;L44,O44+P44-Q44,0),IF(X44&lt;L44,U44+V44-W44,0),IF(AD44&lt;L44,AA44+AB44-AC44,0)))))</x:f>
        <x:v>0</x:v>
      </x:c>
      <x:c r="N44" s="6" t="n">
        <x:f>ROUND(MAX(0,I44+J44-K44-M44),2)</x:f>
        <x:v>0</x:v>
      </x:c>
      <x:c r="O44" s="6" t="n">
        <x:f>T43</x:f>
        <x:v>0</x:v>
      </x:c>
      <x:c r="P44" s="6" t="n">
        <x:f>ROUND(O44*'Debt strategy'!$D$11/12,2)</x:f>
        <x:v>0</x:v>
      </x:c>
      <x:c r="Q44" s="6" t="n">
        <x:f>MIN(O44+P44,'Debt strategy'!$E$11)</x:f>
        <x:v>0</x:v>
      </x:c>
      <x:c r="R44" s="27" t="n">
        <x:f>IF(O44+P44-Q44&lt;=0,99,1+SUM(IF(AND(C44+D44-E44&gt;0,OR(C44+D44-E44&lt;O44+P44-Q44,AND(C44+D44-E44=O44+P44-Q44,0&lt;2))),1,0),IF(AND(I44+J44-K44&gt;0,OR(I44+J44-K44&lt;O44+P44-Q44,AND(I44+J44-K44=O44+P44-Q44,1&lt;2))),1,0),IF(AND(U44+V44-W44&gt;0,OR(U44+V44-W44&lt;O44+P44-Q44,AND(U44+V44-W44=O44+P44-Q44,3&lt;2))),1,0),IF(AND(AA44+AB44-AC44&gt;0,OR(AA44+AB44-AC44&lt;O44+P44-Q44,AND(AA44+AB44-AC44=O44+P44-Q44,4&lt;2))),1,0)))</x:f>
        <x:v>99</x:v>
      </x:c>
      <x:c r="S44" s="6" t="n">
        <x:f>IF('Debt strategy'!$C$16&gt;0,0,MIN(O44+P44-Q44,MAX(0,'Debt strategy'!$C$5-SUM(E44,K44,Q44,W44,AC44)-SUM(IF(F44&lt;R44,C44+D44-E44,0),IF(L44&lt;R44,I44+J44-K44,0),IF(X44&lt;R44,U44+V44-W44,0),IF(AD44&lt;R44,AA44+AB44-AC44,0)))))</x:f>
        <x:v>0</x:v>
      </x:c>
      <x:c r="T44" s="6" t="n">
        <x:f>ROUND(MAX(0,O44+P44-Q44-S44),2)</x:f>
        <x:v>0</x:v>
      </x:c>
      <x:c r="U44" s="6" t="n">
        <x:f>Z43</x:f>
        <x:v>0</x:v>
      </x:c>
      <x:c r="V44" s="6" t="n">
        <x:f>ROUND(U44*'Debt strategy'!$D$12/12,2)</x:f>
        <x:v>0</x:v>
      </x:c>
      <x:c r="W44" s="6" t="n">
        <x:f>MIN(U44+V44,'Debt strategy'!$E$12)</x:f>
        <x:v>0</x:v>
      </x:c>
      <x:c r="X44" s="27" t="n">
        <x:f>IF(U44+V44-W44&lt;=0,99,1+SUM(IF(AND(C44+D44-E44&gt;0,OR(C44+D44-E44&lt;U44+V44-W44,AND(C44+D44-E44=U44+V44-W44,0&lt;3))),1,0),IF(AND(I44+J44-K44&gt;0,OR(I44+J44-K44&lt;U44+V44-W44,AND(I44+J44-K44=U44+V44-W44,1&lt;3))),1,0),IF(AND(O44+P44-Q44&gt;0,OR(O44+P44-Q44&lt;U44+V44-W44,AND(O44+P44-Q44=U44+V44-W44,2&lt;3))),1,0),IF(AND(AA44+AB44-AC44&gt;0,OR(AA44+AB44-AC44&lt;U44+V44-W44,AND(AA44+AB44-AC44=U44+V44-W44,4&lt;3))),1,0)))</x:f>
        <x:v>99</x:v>
      </x:c>
      <x:c r="Y44" s="6" t="n">
        <x:f>IF('Debt strategy'!$C$16&gt;0,0,MIN(U44+V44-W44,MAX(0,'Debt strategy'!$C$5-SUM(E44,K44,Q44,W44,AC44)-SUM(IF(F44&lt;X44,C44+D44-E44,0),IF(L44&lt;X44,I44+J44-K44,0),IF(R44&lt;X44,O44+P44-Q44,0),IF(AD44&lt;X44,AA44+AB44-AC44,0)))))</x:f>
        <x:v>0</x:v>
      </x:c>
      <x:c r="Z44" s="6" t="n">
        <x:f>ROUND(MAX(0,U44+V44-W44-Y44),2)</x:f>
        <x:v>0</x:v>
      </x:c>
      <x:c r="AA44" s="6" t="n">
        <x:f>AF43</x:f>
        <x:v>0</x:v>
      </x:c>
      <x:c r="AB44" s="6" t="n">
        <x:f>ROUND(AA44*'Debt strategy'!$D$13/12,2)</x:f>
        <x:v>0</x:v>
      </x:c>
      <x:c r="AC44" s="6" t="n">
        <x:f>MIN(AA44+AB44,'Debt strategy'!$E$13)</x:f>
        <x:v>0</x:v>
      </x:c>
      <x:c r="AD44" s="27" t="n">
        <x:f>IF(AA44+AB44-AC44&lt;=0,99,1+SUM(IF(AND(C44+D44-E44&gt;0,OR(C44+D44-E44&lt;AA44+AB44-AC44,AND(C44+D44-E44=AA44+AB44-AC44,0&lt;4))),1,0),IF(AND(I44+J44-K44&gt;0,OR(I44+J44-K44&lt;AA44+AB44-AC44,AND(I44+J44-K44=AA44+AB44-AC44,1&lt;4))),1,0),IF(AND(O44+P44-Q44&gt;0,OR(O44+P44-Q44&lt;AA44+AB44-AC44,AND(O44+P44-Q44=AA44+AB44-AC44,2&lt;4))),1,0),IF(AND(U44+V44-W44&gt;0,OR(U44+V44-W44&lt;AA44+AB44-AC44,AND(U44+V44-W44=AA44+AB44-AC44,3&lt;4))),1,0)))</x:f>
        <x:v>99</x:v>
      </x:c>
      <x:c r="AE44" s="6" t="n">
        <x:f>IF('Debt strategy'!$C$16&gt;0,0,MIN(AA44+AB44-AC44,MAX(0,'Debt strategy'!$C$5-SUM(E44,K44,Q44,W44,AC44)-SUM(IF(F44&lt;AD44,C44+D44-E44,0),IF(L44&lt;AD44,I44+J44-K44,0),IF(R44&lt;AD44,O44+P44-Q44,0),IF(X44&lt;AD44,U44+V44-W44,0)))))</x:f>
        <x:v>0</x:v>
      </x:c>
      <x:c r="AF44" s="6" t="n">
        <x:f>ROUND(MAX(0,AA44+AB44-AC44-AE44),2)</x:f>
        <x:v>0</x:v>
      </x:c>
      <x:c r="AG44" s="6" t="n">
        <x:f>SUM(H44,N44,T44,Z44,AF44)</x:f>
        <x:v>0</x:v>
      </x:c>
      <x:c r="AH44" s="6" t="n">
        <x:f>SUM(D44,J44,P44,V44,AB44)+AH43</x:f>
        <x:v>1353.9499999999996</x:v>
      </x:c>
      <x:c r="AI44" s="2"/>
    </x:row>
    <x:row r="45" ht="23" customHeight="1">
      <x:c r="B45" s="2" t="n">
        <x:f>37</x:f>
        <x:v>37</x:v>
      </x:c>
      <x:c r="C45" s="6" t="n">
        <x:f>H44</x:f>
        <x:v>0</x:v>
      </x:c>
      <x:c r="D45" s="6" t="n">
        <x:f>ROUND(C45*'Debt strategy'!$D$9/12,2)</x:f>
        <x:v>0</x:v>
      </x:c>
      <x:c r="E45" s="6" t="n">
        <x:f>MIN(C45+D45,'Debt strategy'!$E$9)</x:f>
        <x:v>0</x:v>
      </x:c>
      <x:c r="F45" s="27" t="n">
        <x:f>IF(C45+D45-E45&lt;=0,99,1+SUM(IF(AND(I45+J45-K45&gt;0,OR(I45+J45-K45&lt;C45+D45-E45,AND(I45+J45-K45=C45+D45-E45,1&lt;0))),1,0),IF(AND(O45+P45-Q45&gt;0,OR(O45+P45-Q45&lt;C45+D45-E45,AND(O45+P45-Q45=C45+D45-E45,2&lt;0))),1,0),IF(AND(U45+V45-W45&gt;0,OR(U45+V45-W45&lt;C45+D45-E45,AND(U45+V45-W45=C45+D45-E45,3&lt;0))),1,0),IF(AND(AA45+AB45-AC45&gt;0,OR(AA45+AB45-AC45&lt;C45+D45-E45,AND(AA45+AB45-AC45=C45+D45-E45,4&lt;0))),1,0)))</x:f>
        <x:v>99</x:v>
      </x:c>
      <x:c r="G45" s="6" t="n">
        <x:f>IF('Debt strategy'!$C$16&gt;0,0,MIN(C45+D45-E45,MAX(0,'Debt strategy'!$C$5-SUM(E45,K45,Q45,W45,AC45)-SUM(IF(L45&lt;F45,I45+J45-K45,0),IF(R45&lt;F45,O45+P45-Q45,0),IF(X45&lt;F45,U45+V45-W45,0),IF(AD45&lt;F45,AA45+AB45-AC45,0)))))</x:f>
        <x:v>0</x:v>
      </x:c>
      <x:c r="H45" s="6" t="n">
        <x:f>ROUND(MAX(0,C45+D45-E45-G45),2)</x:f>
        <x:v>0</x:v>
      </x:c>
      <x:c r="I45" s="6" t="n">
        <x:f>N44</x:f>
        <x:v>0</x:v>
      </x:c>
      <x:c r="J45" s="6" t="n">
        <x:f>ROUND(I45*'Debt strategy'!$D$10/12,2)</x:f>
        <x:v>0</x:v>
      </x:c>
      <x:c r="K45" s="6" t="n">
        <x:f>MIN(I45+J45,'Debt strategy'!$E$10)</x:f>
        <x:v>0</x:v>
      </x:c>
      <x:c r="L45" s="27" t="n">
        <x:f>IF(I45+J45-K45&lt;=0,99,1+SUM(IF(AND(C45+D45-E45&gt;0,OR(C45+D45-E45&lt;I45+J45-K45,AND(C45+D45-E45=I45+J45-K45,0&lt;1))),1,0),IF(AND(O45+P45-Q45&gt;0,OR(O45+P45-Q45&lt;I45+J45-K45,AND(O45+P45-Q45=I45+J45-K45,2&lt;1))),1,0),IF(AND(U45+V45-W45&gt;0,OR(U45+V45-W45&lt;I45+J45-K45,AND(U45+V45-W45=I45+J45-K45,3&lt;1))),1,0),IF(AND(AA45+AB45-AC45&gt;0,OR(AA45+AB45-AC45&lt;I45+J45-K45,AND(AA45+AB45-AC45=I45+J45-K45,4&lt;1))),1,0)))</x:f>
        <x:v>99</x:v>
      </x:c>
      <x:c r="M45" s="6" t="n">
        <x:f>IF('Debt strategy'!$C$16&gt;0,0,MIN(I45+J45-K45,MAX(0,'Debt strategy'!$C$5-SUM(E45,K45,Q45,W45,AC45)-SUM(IF(F45&lt;L45,C45+D45-E45,0),IF(R45&lt;L45,O45+P45-Q45,0),IF(X45&lt;L45,U45+V45-W45,0),IF(AD45&lt;L45,AA45+AB45-AC45,0)))))</x:f>
        <x:v>0</x:v>
      </x:c>
      <x:c r="N45" s="6" t="n">
        <x:f>ROUND(MAX(0,I45+J45-K45-M45),2)</x:f>
        <x:v>0</x:v>
      </x:c>
      <x:c r="O45" s="6" t="n">
        <x:f>T44</x:f>
        <x:v>0</x:v>
      </x:c>
      <x:c r="P45" s="6" t="n">
        <x:f>ROUND(O45*'Debt strategy'!$D$11/12,2)</x:f>
        <x:v>0</x:v>
      </x:c>
      <x:c r="Q45" s="6" t="n">
        <x:f>MIN(O45+P45,'Debt strategy'!$E$11)</x:f>
        <x:v>0</x:v>
      </x:c>
      <x:c r="R45" s="27" t="n">
        <x:f>IF(O45+P45-Q45&lt;=0,99,1+SUM(IF(AND(C45+D45-E45&gt;0,OR(C45+D45-E45&lt;O45+P45-Q45,AND(C45+D45-E45=O45+P45-Q45,0&lt;2))),1,0),IF(AND(I45+J45-K45&gt;0,OR(I45+J45-K45&lt;O45+P45-Q45,AND(I45+J45-K45=O45+P45-Q45,1&lt;2))),1,0),IF(AND(U45+V45-W45&gt;0,OR(U45+V45-W45&lt;O45+P45-Q45,AND(U45+V45-W45=O45+P45-Q45,3&lt;2))),1,0),IF(AND(AA45+AB45-AC45&gt;0,OR(AA45+AB45-AC45&lt;O45+P45-Q45,AND(AA45+AB45-AC45=O45+P45-Q45,4&lt;2))),1,0)))</x:f>
        <x:v>99</x:v>
      </x:c>
      <x:c r="S45" s="6" t="n">
        <x:f>IF('Debt strategy'!$C$16&gt;0,0,MIN(O45+P45-Q45,MAX(0,'Debt strategy'!$C$5-SUM(E45,K45,Q45,W45,AC45)-SUM(IF(F45&lt;R45,C45+D45-E45,0),IF(L45&lt;R45,I45+J45-K45,0),IF(X45&lt;R45,U45+V45-W45,0),IF(AD45&lt;R45,AA45+AB45-AC45,0)))))</x:f>
        <x:v>0</x:v>
      </x:c>
      <x:c r="T45" s="6" t="n">
        <x:f>ROUND(MAX(0,O45+P45-Q45-S45),2)</x:f>
        <x:v>0</x:v>
      </x:c>
      <x:c r="U45" s="6" t="n">
        <x:f>Z44</x:f>
        <x:v>0</x:v>
      </x:c>
      <x:c r="V45" s="6" t="n">
        <x:f>ROUND(U45*'Debt strategy'!$D$12/12,2)</x:f>
        <x:v>0</x:v>
      </x:c>
      <x:c r="W45" s="6" t="n">
        <x:f>MIN(U45+V45,'Debt strategy'!$E$12)</x:f>
        <x:v>0</x:v>
      </x:c>
      <x:c r="X45" s="27" t="n">
        <x:f>IF(U45+V45-W45&lt;=0,99,1+SUM(IF(AND(C45+D45-E45&gt;0,OR(C45+D45-E45&lt;U45+V45-W45,AND(C45+D45-E45=U45+V45-W45,0&lt;3))),1,0),IF(AND(I45+J45-K45&gt;0,OR(I45+J45-K45&lt;U45+V45-W45,AND(I45+J45-K45=U45+V45-W45,1&lt;3))),1,0),IF(AND(O45+P45-Q45&gt;0,OR(O45+P45-Q45&lt;U45+V45-W45,AND(O45+P45-Q45=U45+V45-W45,2&lt;3))),1,0),IF(AND(AA45+AB45-AC45&gt;0,OR(AA45+AB45-AC45&lt;U45+V45-W45,AND(AA45+AB45-AC45=U45+V45-W45,4&lt;3))),1,0)))</x:f>
        <x:v>99</x:v>
      </x:c>
      <x:c r="Y45" s="6" t="n">
        <x:f>IF('Debt strategy'!$C$16&gt;0,0,MIN(U45+V45-W45,MAX(0,'Debt strategy'!$C$5-SUM(E45,K45,Q45,W45,AC45)-SUM(IF(F45&lt;X45,C45+D45-E45,0),IF(L45&lt;X45,I45+J45-K45,0),IF(R45&lt;X45,O45+P45-Q45,0),IF(AD45&lt;X45,AA45+AB45-AC45,0)))))</x:f>
        <x:v>0</x:v>
      </x:c>
      <x:c r="Z45" s="6" t="n">
        <x:f>ROUND(MAX(0,U45+V45-W45-Y45),2)</x:f>
        <x:v>0</x:v>
      </x:c>
      <x:c r="AA45" s="6" t="n">
        <x:f>AF44</x:f>
        <x:v>0</x:v>
      </x:c>
      <x:c r="AB45" s="6" t="n">
        <x:f>ROUND(AA45*'Debt strategy'!$D$13/12,2)</x:f>
        <x:v>0</x:v>
      </x:c>
      <x:c r="AC45" s="6" t="n">
        <x:f>MIN(AA45+AB45,'Debt strategy'!$E$13)</x:f>
        <x:v>0</x:v>
      </x:c>
      <x:c r="AD45" s="27" t="n">
        <x:f>IF(AA45+AB45-AC45&lt;=0,99,1+SUM(IF(AND(C45+D45-E45&gt;0,OR(C45+D45-E45&lt;AA45+AB45-AC45,AND(C45+D45-E45=AA45+AB45-AC45,0&lt;4))),1,0),IF(AND(I45+J45-K45&gt;0,OR(I45+J45-K45&lt;AA45+AB45-AC45,AND(I45+J45-K45=AA45+AB45-AC45,1&lt;4))),1,0),IF(AND(O45+P45-Q45&gt;0,OR(O45+P45-Q45&lt;AA45+AB45-AC45,AND(O45+P45-Q45=AA45+AB45-AC45,2&lt;4))),1,0),IF(AND(U45+V45-W45&gt;0,OR(U45+V45-W45&lt;AA45+AB45-AC45,AND(U45+V45-W45=AA45+AB45-AC45,3&lt;4))),1,0)))</x:f>
        <x:v>99</x:v>
      </x:c>
      <x:c r="AE45" s="6" t="n">
        <x:f>IF('Debt strategy'!$C$16&gt;0,0,MIN(AA45+AB45-AC45,MAX(0,'Debt strategy'!$C$5-SUM(E45,K45,Q45,W45,AC45)-SUM(IF(F45&lt;AD45,C45+D45-E45,0),IF(L45&lt;AD45,I45+J45-K45,0),IF(R45&lt;AD45,O45+P45-Q45,0),IF(X45&lt;AD45,U45+V45-W45,0)))))</x:f>
        <x:v>0</x:v>
      </x:c>
      <x:c r="AF45" s="6" t="n">
        <x:f>ROUND(MAX(0,AA45+AB45-AC45-AE45),2)</x:f>
        <x:v>0</x:v>
      </x:c>
      <x:c r="AG45" s="6" t="n">
        <x:f>SUM(H45,N45,T45,Z45,AF45)</x:f>
        <x:v>0</x:v>
      </x:c>
      <x:c r="AH45" s="6" t="n">
        <x:f>SUM(D45,J45,P45,V45,AB45)+AH44</x:f>
        <x:v>1353.9499999999996</x:v>
      </x:c>
      <x:c r="AI45" s="2"/>
    </x:row>
    <x:row r="46" ht="23" customHeight="1">
      <x:c r="B46" s="2" t="n">
        <x:f>38</x:f>
        <x:v>38</x:v>
      </x:c>
      <x:c r="C46" s="6" t="n">
        <x:f>H45</x:f>
        <x:v>0</x:v>
      </x:c>
      <x:c r="D46" s="6" t="n">
        <x:f>ROUND(C46*'Debt strategy'!$D$9/12,2)</x:f>
        <x:v>0</x:v>
      </x:c>
      <x:c r="E46" s="6" t="n">
        <x:f>MIN(C46+D46,'Debt strategy'!$E$9)</x:f>
        <x:v>0</x:v>
      </x:c>
      <x:c r="F46" s="27" t="n">
        <x:f>IF(C46+D46-E46&lt;=0,99,1+SUM(IF(AND(I46+J46-K46&gt;0,OR(I46+J46-K46&lt;C46+D46-E46,AND(I46+J46-K46=C46+D46-E46,1&lt;0))),1,0),IF(AND(O46+P46-Q46&gt;0,OR(O46+P46-Q46&lt;C46+D46-E46,AND(O46+P46-Q46=C46+D46-E46,2&lt;0))),1,0),IF(AND(U46+V46-W46&gt;0,OR(U46+V46-W46&lt;C46+D46-E46,AND(U46+V46-W46=C46+D46-E46,3&lt;0))),1,0),IF(AND(AA46+AB46-AC46&gt;0,OR(AA46+AB46-AC46&lt;C46+D46-E46,AND(AA46+AB46-AC46=C46+D46-E46,4&lt;0))),1,0)))</x:f>
        <x:v>99</x:v>
      </x:c>
      <x:c r="G46" s="6" t="n">
        <x:f>IF('Debt strategy'!$C$16&gt;0,0,MIN(C46+D46-E46,MAX(0,'Debt strategy'!$C$5-SUM(E46,K46,Q46,W46,AC46)-SUM(IF(L46&lt;F46,I46+J46-K46,0),IF(R46&lt;F46,O46+P46-Q46,0),IF(X46&lt;F46,U46+V46-W46,0),IF(AD46&lt;F46,AA46+AB46-AC46,0)))))</x:f>
        <x:v>0</x:v>
      </x:c>
      <x:c r="H46" s="6" t="n">
        <x:f>ROUND(MAX(0,C46+D46-E46-G46),2)</x:f>
        <x:v>0</x:v>
      </x:c>
      <x:c r="I46" s="6" t="n">
        <x:f>N45</x:f>
        <x:v>0</x:v>
      </x:c>
      <x:c r="J46" s="6" t="n">
        <x:f>ROUND(I46*'Debt strategy'!$D$10/12,2)</x:f>
        <x:v>0</x:v>
      </x:c>
      <x:c r="K46" s="6" t="n">
        <x:f>MIN(I46+J46,'Debt strategy'!$E$10)</x:f>
        <x:v>0</x:v>
      </x:c>
      <x:c r="L46" s="27" t="n">
        <x:f>IF(I46+J46-K46&lt;=0,99,1+SUM(IF(AND(C46+D46-E46&gt;0,OR(C46+D46-E46&lt;I46+J46-K46,AND(C46+D46-E46=I46+J46-K46,0&lt;1))),1,0),IF(AND(O46+P46-Q46&gt;0,OR(O46+P46-Q46&lt;I46+J46-K46,AND(O46+P46-Q46=I46+J46-K46,2&lt;1))),1,0),IF(AND(U46+V46-W46&gt;0,OR(U46+V46-W46&lt;I46+J46-K46,AND(U46+V46-W46=I46+J46-K46,3&lt;1))),1,0),IF(AND(AA46+AB46-AC46&gt;0,OR(AA46+AB46-AC46&lt;I46+J46-K46,AND(AA46+AB46-AC46=I46+J46-K46,4&lt;1))),1,0)))</x:f>
        <x:v>99</x:v>
      </x:c>
      <x:c r="M46" s="6" t="n">
        <x:f>IF('Debt strategy'!$C$16&gt;0,0,MIN(I46+J46-K46,MAX(0,'Debt strategy'!$C$5-SUM(E46,K46,Q46,W46,AC46)-SUM(IF(F46&lt;L46,C46+D46-E46,0),IF(R46&lt;L46,O46+P46-Q46,0),IF(X46&lt;L46,U46+V46-W46,0),IF(AD46&lt;L46,AA46+AB46-AC46,0)))))</x:f>
        <x:v>0</x:v>
      </x:c>
      <x:c r="N46" s="6" t="n">
        <x:f>ROUND(MAX(0,I46+J46-K46-M46),2)</x:f>
        <x:v>0</x:v>
      </x:c>
      <x:c r="O46" s="6" t="n">
        <x:f>T45</x:f>
        <x:v>0</x:v>
      </x:c>
      <x:c r="P46" s="6" t="n">
        <x:f>ROUND(O46*'Debt strategy'!$D$11/12,2)</x:f>
        <x:v>0</x:v>
      </x:c>
      <x:c r="Q46" s="6" t="n">
        <x:f>MIN(O46+P46,'Debt strategy'!$E$11)</x:f>
        <x:v>0</x:v>
      </x:c>
      <x:c r="R46" s="27" t="n">
        <x:f>IF(O46+P46-Q46&lt;=0,99,1+SUM(IF(AND(C46+D46-E46&gt;0,OR(C46+D46-E46&lt;O46+P46-Q46,AND(C46+D46-E46=O46+P46-Q46,0&lt;2))),1,0),IF(AND(I46+J46-K46&gt;0,OR(I46+J46-K46&lt;O46+P46-Q46,AND(I46+J46-K46=O46+P46-Q46,1&lt;2))),1,0),IF(AND(U46+V46-W46&gt;0,OR(U46+V46-W46&lt;O46+P46-Q46,AND(U46+V46-W46=O46+P46-Q46,3&lt;2))),1,0),IF(AND(AA46+AB46-AC46&gt;0,OR(AA46+AB46-AC46&lt;O46+P46-Q46,AND(AA46+AB46-AC46=O46+P46-Q46,4&lt;2))),1,0)))</x:f>
        <x:v>99</x:v>
      </x:c>
      <x:c r="S46" s="6" t="n">
        <x:f>IF('Debt strategy'!$C$16&gt;0,0,MIN(O46+P46-Q46,MAX(0,'Debt strategy'!$C$5-SUM(E46,K46,Q46,W46,AC46)-SUM(IF(F46&lt;R46,C46+D46-E46,0),IF(L46&lt;R46,I46+J46-K46,0),IF(X46&lt;R46,U46+V46-W46,0),IF(AD46&lt;R46,AA46+AB46-AC46,0)))))</x:f>
        <x:v>0</x:v>
      </x:c>
      <x:c r="T46" s="6" t="n">
        <x:f>ROUND(MAX(0,O46+P46-Q46-S46),2)</x:f>
        <x:v>0</x:v>
      </x:c>
      <x:c r="U46" s="6" t="n">
        <x:f>Z45</x:f>
        <x:v>0</x:v>
      </x:c>
      <x:c r="V46" s="6" t="n">
        <x:f>ROUND(U46*'Debt strategy'!$D$12/12,2)</x:f>
        <x:v>0</x:v>
      </x:c>
      <x:c r="W46" s="6" t="n">
        <x:f>MIN(U46+V46,'Debt strategy'!$E$12)</x:f>
        <x:v>0</x:v>
      </x:c>
      <x:c r="X46" s="27" t="n">
        <x:f>IF(U46+V46-W46&lt;=0,99,1+SUM(IF(AND(C46+D46-E46&gt;0,OR(C46+D46-E46&lt;U46+V46-W46,AND(C46+D46-E46=U46+V46-W46,0&lt;3))),1,0),IF(AND(I46+J46-K46&gt;0,OR(I46+J46-K46&lt;U46+V46-W46,AND(I46+J46-K46=U46+V46-W46,1&lt;3))),1,0),IF(AND(O46+P46-Q46&gt;0,OR(O46+P46-Q46&lt;U46+V46-W46,AND(O46+P46-Q46=U46+V46-W46,2&lt;3))),1,0),IF(AND(AA46+AB46-AC46&gt;0,OR(AA46+AB46-AC46&lt;U46+V46-W46,AND(AA46+AB46-AC46=U46+V46-W46,4&lt;3))),1,0)))</x:f>
        <x:v>99</x:v>
      </x:c>
      <x:c r="Y46" s="6" t="n">
        <x:f>IF('Debt strategy'!$C$16&gt;0,0,MIN(U46+V46-W46,MAX(0,'Debt strategy'!$C$5-SUM(E46,K46,Q46,W46,AC46)-SUM(IF(F46&lt;X46,C46+D46-E46,0),IF(L46&lt;X46,I46+J46-K46,0),IF(R46&lt;X46,O46+P46-Q46,0),IF(AD46&lt;X46,AA46+AB46-AC46,0)))))</x:f>
        <x:v>0</x:v>
      </x:c>
      <x:c r="Z46" s="6" t="n">
        <x:f>ROUND(MAX(0,U46+V46-W46-Y46),2)</x:f>
        <x:v>0</x:v>
      </x:c>
      <x:c r="AA46" s="6" t="n">
        <x:f>AF45</x:f>
        <x:v>0</x:v>
      </x:c>
      <x:c r="AB46" s="6" t="n">
        <x:f>ROUND(AA46*'Debt strategy'!$D$13/12,2)</x:f>
        <x:v>0</x:v>
      </x:c>
      <x:c r="AC46" s="6" t="n">
        <x:f>MIN(AA46+AB46,'Debt strategy'!$E$13)</x:f>
        <x:v>0</x:v>
      </x:c>
      <x:c r="AD46" s="27" t="n">
        <x:f>IF(AA46+AB46-AC46&lt;=0,99,1+SUM(IF(AND(C46+D46-E46&gt;0,OR(C46+D46-E46&lt;AA46+AB46-AC46,AND(C46+D46-E46=AA46+AB46-AC46,0&lt;4))),1,0),IF(AND(I46+J46-K46&gt;0,OR(I46+J46-K46&lt;AA46+AB46-AC46,AND(I46+J46-K46=AA46+AB46-AC46,1&lt;4))),1,0),IF(AND(O46+P46-Q46&gt;0,OR(O46+P46-Q46&lt;AA46+AB46-AC46,AND(O46+P46-Q46=AA46+AB46-AC46,2&lt;4))),1,0),IF(AND(U46+V46-W46&gt;0,OR(U46+V46-W46&lt;AA46+AB46-AC46,AND(U46+V46-W46=AA46+AB46-AC46,3&lt;4))),1,0)))</x:f>
        <x:v>99</x:v>
      </x:c>
      <x:c r="AE46" s="6" t="n">
        <x:f>IF('Debt strategy'!$C$16&gt;0,0,MIN(AA46+AB46-AC46,MAX(0,'Debt strategy'!$C$5-SUM(E46,K46,Q46,W46,AC46)-SUM(IF(F46&lt;AD46,C46+D46-E46,0),IF(L46&lt;AD46,I46+J46-K46,0),IF(R46&lt;AD46,O46+P46-Q46,0),IF(X46&lt;AD46,U46+V46-W46,0)))))</x:f>
        <x:v>0</x:v>
      </x:c>
      <x:c r="AF46" s="6" t="n">
        <x:f>ROUND(MAX(0,AA46+AB46-AC46-AE46),2)</x:f>
        <x:v>0</x:v>
      </x:c>
      <x:c r="AG46" s="6" t="n">
        <x:f>SUM(H46,N46,T46,Z46,AF46)</x:f>
        <x:v>0</x:v>
      </x:c>
      <x:c r="AH46" s="6" t="n">
        <x:f>SUM(D46,J46,P46,V46,AB46)+AH45</x:f>
        <x:v>1353.9499999999996</x:v>
      </x:c>
      <x:c r="AI46" s="2"/>
    </x:row>
    <x:row r="47" ht="23" customHeight="1">
      <x:c r="B47" s="2" t="n">
        <x:f>39</x:f>
        <x:v>39</x:v>
      </x:c>
      <x:c r="C47" s="6" t="n">
        <x:f>H46</x:f>
        <x:v>0</x:v>
      </x:c>
      <x:c r="D47" s="6" t="n">
        <x:f>ROUND(C47*'Debt strategy'!$D$9/12,2)</x:f>
        <x:v>0</x:v>
      </x:c>
      <x:c r="E47" s="6" t="n">
        <x:f>MIN(C47+D47,'Debt strategy'!$E$9)</x:f>
        <x:v>0</x:v>
      </x:c>
      <x:c r="F47" s="27" t="n">
        <x:f>IF(C47+D47-E47&lt;=0,99,1+SUM(IF(AND(I47+J47-K47&gt;0,OR(I47+J47-K47&lt;C47+D47-E47,AND(I47+J47-K47=C47+D47-E47,1&lt;0))),1,0),IF(AND(O47+P47-Q47&gt;0,OR(O47+P47-Q47&lt;C47+D47-E47,AND(O47+P47-Q47=C47+D47-E47,2&lt;0))),1,0),IF(AND(U47+V47-W47&gt;0,OR(U47+V47-W47&lt;C47+D47-E47,AND(U47+V47-W47=C47+D47-E47,3&lt;0))),1,0),IF(AND(AA47+AB47-AC47&gt;0,OR(AA47+AB47-AC47&lt;C47+D47-E47,AND(AA47+AB47-AC47=C47+D47-E47,4&lt;0))),1,0)))</x:f>
        <x:v>99</x:v>
      </x:c>
      <x:c r="G47" s="6" t="n">
        <x:f>IF('Debt strategy'!$C$16&gt;0,0,MIN(C47+D47-E47,MAX(0,'Debt strategy'!$C$5-SUM(E47,K47,Q47,W47,AC47)-SUM(IF(L47&lt;F47,I47+J47-K47,0),IF(R47&lt;F47,O47+P47-Q47,0),IF(X47&lt;F47,U47+V47-W47,0),IF(AD47&lt;F47,AA47+AB47-AC47,0)))))</x:f>
        <x:v>0</x:v>
      </x:c>
      <x:c r="H47" s="6" t="n">
        <x:f>ROUND(MAX(0,C47+D47-E47-G47),2)</x:f>
        <x:v>0</x:v>
      </x:c>
      <x:c r="I47" s="6" t="n">
        <x:f>N46</x:f>
        <x:v>0</x:v>
      </x:c>
      <x:c r="J47" s="6" t="n">
        <x:f>ROUND(I47*'Debt strategy'!$D$10/12,2)</x:f>
        <x:v>0</x:v>
      </x:c>
      <x:c r="K47" s="6" t="n">
        <x:f>MIN(I47+J47,'Debt strategy'!$E$10)</x:f>
        <x:v>0</x:v>
      </x:c>
      <x:c r="L47" s="27" t="n">
        <x:f>IF(I47+J47-K47&lt;=0,99,1+SUM(IF(AND(C47+D47-E47&gt;0,OR(C47+D47-E47&lt;I47+J47-K47,AND(C47+D47-E47=I47+J47-K47,0&lt;1))),1,0),IF(AND(O47+P47-Q47&gt;0,OR(O47+P47-Q47&lt;I47+J47-K47,AND(O47+P47-Q47=I47+J47-K47,2&lt;1))),1,0),IF(AND(U47+V47-W47&gt;0,OR(U47+V47-W47&lt;I47+J47-K47,AND(U47+V47-W47=I47+J47-K47,3&lt;1))),1,0),IF(AND(AA47+AB47-AC47&gt;0,OR(AA47+AB47-AC47&lt;I47+J47-K47,AND(AA47+AB47-AC47=I47+J47-K47,4&lt;1))),1,0)))</x:f>
        <x:v>99</x:v>
      </x:c>
      <x:c r="M47" s="6" t="n">
        <x:f>IF('Debt strategy'!$C$16&gt;0,0,MIN(I47+J47-K47,MAX(0,'Debt strategy'!$C$5-SUM(E47,K47,Q47,W47,AC47)-SUM(IF(F47&lt;L47,C47+D47-E47,0),IF(R47&lt;L47,O47+P47-Q47,0),IF(X47&lt;L47,U47+V47-W47,0),IF(AD47&lt;L47,AA47+AB47-AC47,0)))))</x:f>
        <x:v>0</x:v>
      </x:c>
      <x:c r="N47" s="6" t="n">
        <x:f>ROUND(MAX(0,I47+J47-K47-M47),2)</x:f>
        <x:v>0</x:v>
      </x:c>
      <x:c r="O47" s="6" t="n">
        <x:f>T46</x:f>
        <x:v>0</x:v>
      </x:c>
      <x:c r="P47" s="6" t="n">
        <x:f>ROUND(O47*'Debt strategy'!$D$11/12,2)</x:f>
        <x:v>0</x:v>
      </x:c>
      <x:c r="Q47" s="6" t="n">
        <x:f>MIN(O47+P47,'Debt strategy'!$E$11)</x:f>
        <x:v>0</x:v>
      </x:c>
      <x:c r="R47" s="27" t="n">
        <x:f>IF(O47+P47-Q47&lt;=0,99,1+SUM(IF(AND(C47+D47-E47&gt;0,OR(C47+D47-E47&lt;O47+P47-Q47,AND(C47+D47-E47=O47+P47-Q47,0&lt;2))),1,0),IF(AND(I47+J47-K47&gt;0,OR(I47+J47-K47&lt;O47+P47-Q47,AND(I47+J47-K47=O47+P47-Q47,1&lt;2))),1,0),IF(AND(U47+V47-W47&gt;0,OR(U47+V47-W47&lt;O47+P47-Q47,AND(U47+V47-W47=O47+P47-Q47,3&lt;2))),1,0),IF(AND(AA47+AB47-AC47&gt;0,OR(AA47+AB47-AC47&lt;O47+P47-Q47,AND(AA47+AB47-AC47=O47+P47-Q47,4&lt;2))),1,0)))</x:f>
        <x:v>99</x:v>
      </x:c>
      <x:c r="S47" s="6" t="n">
        <x:f>IF('Debt strategy'!$C$16&gt;0,0,MIN(O47+P47-Q47,MAX(0,'Debt strategy'!$C$5-SUM(E47,K47,Q47,W47,AC47)-SUM(IF(F47&lt;R47,C47+D47-E47,0),IF(L47&lt;R47,I47+J47-K47,0),IF(X47&lt;R47,U47+V47-W47,0),IF(AD47&lt;R47,AA47+AB47-AC47,0)))))</x:f>
        <x:v>0</x:v>
      </x:c>
      <x:c r="T47" s="6" t="n">
        <x:f>ROUND(MAX(0,O47+P47-Q47-S47),2)</x:f>
        <x:v>0</x:v>
      </x:c>
      <x:c r="U47" s="6" t="n">
        <x:f>Z46</x:f>
        <x:v>0</x:v>
      </x:c>
      <x:c r="V47" s="6" t="n">
        <x:f>ROUND(U47*'Debt strategy'!$D$12/12,2)</x:f>
        <x:v>0</x:v>
      </x:c>
      <x:c r="W47" s="6" t="n">
        <x:f>MIN(U47+V47,'Debt strategy'!$E$12)</x:f>
        <x:v>0</x:v>
      </x:c>
      <x:c r="X47" s="27" t="n">
        <x:f>IF(U47+V47-W47&lt;=0,99,1+SUM(IF(AND(C47+D47-E47&gt;0,OR(C47+D47-E47&lt;U47+V47-W47,AND(C47+D47-E47=U47+V47-W47,0&lt;3))),1,0),IF(AND(I47+J47-K47&gt;0,OR(I47+J47-K47&lt;U47+V47-W47,AND(I47+J47-K47=U47+V47-W47,1&lt;3))),1,0),IF(AND(O47+P47-Q47&gt;0,OR(O47+P47-Q47&lt;U47+V47-W47,AND(O47+P47-Q47=U47+V47-W47,2&lt;3))),1,0),IF(AND(AA47+AB47-AC47&gt;0,OR(AA47+AB47-AC47&lt;U47+V47-W47,AND(AA47+AB47-AC47=U47+V47-W47,4&lt;3))),1,0)))</x:f>
        <x:v>99</x:v>
      </x:c>
      <x:c r="Y47" s="6" t="n">
        <x:f>IF('Debt strategy'!$C$16&gt;0,0,MIN(U47+V47-W47,MAX(0,'Debt strategy'!$C$5-SUM(E47,K47,Q47,W47,AC47)-SUM(IF(F47&lt;X47,C47+D47-E47,0),IF(L47&lt;X47,I47+J47-K47,0),IF(R47&lt;X47,O47+P47-Q47,0),IF(AD47&lt;X47,AA47+AB47-AC47,0)))))</x:f>
        <x:v>0</x:v>
      </x:c>
      <x:c r="Z47" s="6" t="n">
        <x:f>ROUND(MAX(0,U47+V47-W47-Y47),2)</x:f>
        <x:v>0</x:v>
      </x:c>
      <x:c r="AA47" s="6" t="n">
        <x:f>AF46</x:f>
        <x:v>0</x:v>
      </x:c>
      <x:c r="AB47" s="6" t="n">
        <x:f>ROUND(AA47*'Debt strategy'!$D$13/12,2)</x:f>
        <x:v>0</x:v>
      </x:c>
      <x:c r="AC47" s="6" t="n">
        <x:f>MIN(AA47+AB47,'Debt strategy'!$E$13)</x:f>
        <x:v>0</x:v>
      </x:c>
      <x:c r="AD47" s="27" t="n">
        <x:f>IF(AA47+AB47-AC47&lt;=0,99,1+SUM(IF(AND(C47+D47-E47&gt;0,OR(C47+D47-E47&lt;AA47+AB47-AC47,AND(C47+D47-E47=AA47+AB47-AC47,0&lt;4))),1,0),IF(AND(I47+J47-K47&gt;0,OR(I47+J47-K47&lt;AA47+AB47-AC47,AND(I47+J47-K47=AA47+AB47-AC47,1&lt;4))),1,0),IF(AND(O47+P47-Q47&gt;0,OR(O47+P47-Q47&lt;AA47+AB47-AC47,AND(O47+P47-Q47=AA47+AB47-AC47,2&lt;4))),1,0),IF(AND(U47+V47-W47&gt;0,OR(U47+V47-W47&lt;AA47+AB47-AC47,AND(U47+V47-W47=AA47+AB47-AC47,3&lt;4))),1,0)))</x:f>
        <x:v>99</x:v>
      </x:c>
      <x:c r="AE47" s="6" t="n">
        <x:f>IF('Debt strategy'!$C$16&gt;0,0,MIN(AA47+AB47-AC47,MAX(0,'Debt strategy'!$C$5-SUM(E47,K47,Q47,W47,AC47)-SUM(IF(F47&lt;AD47,C47+D47-E47,0),IF(L47&lt;AD47,I47+J47-K47,0),IF(R47&lt;AD47,O47+P47-Q47,0),IF(X47&lt;AD47,U47+V47-W47,0)))))</x:f>
        <x:v>0</x:v>
      </x:c>
      <x:c r="AF47" s="6" t="n">
        <x:f>ROUND(MAX(0,AA47+AB47-AC47-AE47),2)</x:f>
        <x:v>0</x:v>
      </x:c>
      <x:c r="AG47" s="6" t="n">
        <x:f>SUM(H47,N47,T47,Z47,AF47)</x:f>
        <x:v>0</x:v>
      </x:c>
      <x:c r="AH47" s="6" t="n">
        <x:f>SUM(D47,J47,P47,V47,AB47)+AH46</x:f>
        <x:v>1353.9499999999996</x:v>
      </x:c>
      <x:c r="AI47" s="2"/>
    </x:row>
    <x:row r="48" ht="23" customHeight="1">
      <x:c r="B48" s="2" t="n">
        <x:f>40</x:f>
        <x:v>40</x:v>
      </x:c>
      <x:c r="C48" s="6" t="n">
        <x:f>H47</x:f>
        <x:v>0</x:v>
      </x:c>
      <x:c r="D48" s="6" t="n">
        <x:f>ROUND(C48*'Debt strategy'!$D$9/12,2)</x:f>
        <x:v>0</x:v>
      </x:c>
      <x:c r="E48" s="6" t="n">
        <x:f>MIN(C48+D48,'Debt strategy'!$E$9)</x:f>
        <x:v>0</x:v>
      </x:c>
      <x:c r="F48" s="27" t="n">
        <x:f>IF(C48+D48-E48&lt;=0,99,1+SUM(IF(AND(I48+J48-K48&gt;0,OR(I48+J48-K48&lt;C48+D48-E48,AND(I48+J48-K48=C48+D48-E48,1&lt;0))),1,0),IF(AND(O48+P48-Q48&gt;0,OR(O48+P48-Q48&lt;C48+D48-E48,AND(O48+P48-Q48=C48+D48-E48,2&lt;0))),1,0),IF(AND(U48+V48-W48&gt;0,OR(U48+V48-W48&lt;C48+D48-E48,AND(U48+V48-W48=C48+D48-E48,3&lt;0))),1,0),IF(AND(AA48+AB48-AC48&gt;0,OR(AA48+AB48-AC48&lt;C48+D48-E48,AND(AA48+AB48-AC48=C48+D48-E48,4&lt;0))),1,0)))</x:f>
        <x:v>99</x:v>
      </x:c>
      <x:c r="G48" s="6" t="n">
        <x:f>IF('Debt strategy'!$C$16&gt;0,0,MIN(C48+D48-E48,MAX(0,'Debt strategy'!$C$5-SUM(E48,K48,Q48,W48,AC48)-SUM(IF(L48&lt;F48,I48+J48-K48,0),IF(R48&lt;F48,O48+P48-Q48,0),IF(X48&lt;F48,U48+V48-W48,0),IF(AD48&lt;F48,AA48+AB48-AC48,0)))))</x:f>
        <x:v>0</x:v>
      </x:c>
      <x:c r="H48" s="6" t="n">
        <x:f>ROUND(MAX(0,C48+D48-E48-G48),2)</x:f>
        <x:v>0</x:v>
      </x:c>
      <x:c r="I48" s="6" t="n">
        <x:f>N47</x:f>
        <x:v>0</x:v>
      </x:c>
      <x:c r="J48" s="6" t="n">
        <x:f>ROUND(I48*'Debt strategy'!$D$10/12,2)</x:f>
        <x:v>0</x:v>
      </x:c>
      <x:c r="K48" s="6" t="n">
        <x:f>MIN(I48+J48,'Debt strategy'!$E$10)</x:f>
        <x:v>0</x:v>
      </x:c>
      <x:c r="L48" s="27" t="n">
        <x:f>IF(I48+J48-K48&lt;=0,99,1+SUM(IF(AND(C48+D48-E48&gt;0,OR(C48+D48-E48&lt;I48+J48-K48,AND(C48+D48-E48=I48+J48-K48,0&lt;1))),1,0),IF(AND(O48+P48-Q48&gt;0,OR(O48+P48-Q48&lt;I48+J48-K48,AND(O48+P48-Q48=I48+J48-K48,2&lt;1))),1,0),IF(AND(U48+V48-W48&gt;0,OR(U48+V48-W48&lt;I48+J48-K48,AND(U48+V48-W48=I48+J48-K48,3&lt;1))),1,0),IF(AND(AA48+AB48-AC48&gt;0,OR(AA48+AB48-AC48&lt;I48+J48-K48,AND(AA48+AB48-AC48=I48+J48-K48,4&lt;1))),1,0)))</x:f>
        <x:v>99</x:v>
      </x:c>
      <x:c r="M48" s="6" t="n">
        <x:f>IF('Debt strategy'!$C$16&gt;0,0,MIN(I48+J48-K48,MAX(0,'Debt strategy'!$C$5-SUM(E48,K48,Q48,W48,AC48)-SUM(IF(F48&lt;L48,C48+D48-E48,0),IF(R48&lt;L48,O48+P48-Q48,0),IF(X48&lt;L48,U48+V48-W48,0),IF(AD48&lt;L48,AA48+AB48-AC48,0)))))</x:f>
        <x:v>0</x:v>
      </x:c>
      <x:c r="N48" s="6" t="n">
        <x:f>ROUND(MAX(0,I48+J48-K48-M48),2)</x:f>
        <x:v>0</x:v>
      </x:c>
      <x:c r="O48" s="6" t="n">
        <x:f>T47</x:f>
        <x:v>0</x:v>
      </x:c>
      <x:c r="P48" s="6" t="n">
        <x:f>ROUND(O48*'Debt strategy'!$D$11/12,2)</x:f>
        <x:v>0</x:v>
      </x:c>
      <x:c r="Q48" s="6" t="n">
        <x:f>MIN(O48+P48,'Debt strategy'!$E$11)</x:f>
        <x:v>0</x:v>
      </x:c>
      <x:c r="R48" s="27" t="n">
        <x:f>IF(O48+P48-Q48&lt;=0,99,1+SUM(IF(AND(C48+D48-E48&gt;0,OR(C48+D48-E48&lt;O48+P48-Q48,AND(C48+D48-E48=O48+P48-Q48,0&lt;2))),1,0),IF(AND(I48+J48-K48&gt;0,OR(I48+J48-K48&lt;O48+P48-Q48,AND(I48+J48-K48=O48+P48-Q48,1&lt;2))),1,0),IF(AND(U48+V48-W48&gt;0,OR(U48+V48-W48&lt;O48+P48-Q48,AND(U48+V48-W48=O48+P48-Q48,3&lt;2))),1,0),IF(AND(AA48+AB48-AC48&gt;0,OR(AA48+AB48-AC48&lt;O48+P48-Q48,AND(AA48+AB48-AC48=O48+P48-Q48,4&lt;2))),1,0)))</x:f>
        <x:v>99</x:v>
      </x:c>
      <x:c r="S48" s="6" t="n">
        <x:f>IF('Debt strategy'!$C$16&gt;0,0,MIN(O48+P48-Q48,MAX(0,'Debt strategy'!$C$5-SUM(E48,K48,Q48,W48,AC48)-SUM(IF(F48&lt;R48,C48+D48-E48,0),IF(L48&lt;R48,I48+J48-K48,0),IF(X48&lt;R48,U48+V48-W48,0),IF(AD48&lt;R48,AA48+AB48-AC48,0)))))</x:f>
        <x:v>0</x:v>
      </x:c>
      <x:c r="T48" s="6" t="n">
        <x:f>ROUND(MAX(0,O48+P48-Q48-S48),2)</x:f>
        <x:v>0</x:v>
      </x:c>
      <x:c r="U48" s="6" t="n">
        <x:f>Z47</x:f>
        <x:v>0</x:v>
      </x:c>
      <x:c r="V48" s="6" t="n">
        <x:f>ROUND(U48*'Debt strategy'!$D$12/12,2)</x:f>
        <x:v>0</x:v>
      </x:c>
      <x:c r="W48" s="6" t="n">
        <x:f>MIN(U48+V48,'Debt strategy'!$E$12)</x:f>
        <x:v>0</x:v>
      </x:c>
      <x:c r="X48" s="27" t="n">
        <x:f>IF(U48+V48-W48&lt;=0,99,1+SUM(IF(AND(C48+D48-E48&gt;0,OR(C48+D48-E48&lt;U48+V48-W48,AND(C48+D48-E48=U48+V48-W48,0&lt;3))),1,0),IF(AND(I48+J48-K48&gt;0,OR(I48+J48-K48&lt;U48+V48-W48,AND(I48+J48-K48=U48+V48-W48,1&lt;3))),1,0),IF(AND(O48+P48-Q48&gt;0,OR(O48+P48-Q48&lt;U48+V48-W48,AND(O48+P48-Q48=U48+V48-W48,2&lt;3))),1,0),IF(AND(AA48+AB48-AC48&gt;0,OR(AA48+AB48-AC48&lt;U48+V48-W48,AND(AA48+AB48-AC48=U48+V48-W48,4&lt;3))),1,0)))</x:f>
        <x:v>99</x:v>
      </x:c>
      <x:c r="Y48" s="6" t="n">
        <x:f>IF('Debt strategy'!$C$16&gt;0,0,MIN(U48+V48-W48,MAX(0,'Debt strategy'!$C$5-SUM(E48,K48,Q48,W48,AC48)-SUM(IF(F48&lt;X48,C48+D48-E48,0),IF(L48&lt;X48,I48+J48-K48,0),IF(R48&lt;X48,O48+P48-Q48,0),IF(AD48&lt;X48,AA48+AB48-AC48,0)))))</x:f>
        <x:v>0</x:v>
      </x:c>
      <x:c r="Z48" s="6" t="n">
        <x:f>ROUND(MAX(0,U48+V48-W48-Y48),2)</x:f>
        <x:v>0</x:v>
      </x:c>
      <x:c r="AA48" s="6" t="n">
        <x:f>AF47</x:f>
        <x:v>0</x:v>
      </x:c>
      <x:c r="AB48" s="6" t="n">
        <x:f>ROUND(AA48*'Debt strategy'!$D$13/12,2)</x:f>
        <x:v>0</x:v>
      </x:c>
      <x:c r="AC48" s="6" t="n">
        <x:f>MIN(AA48+AB48,'Debt strategy'!$E$13)</x:f>
        <x:v>0</x:v>
      </x:c>
      <x:c r="AD48" s="27" t="n">
        <x:f>IF(AA48+AB48-AC48&lt;=0,99,1+SUM(IF(AND(C48+D48-E48&gt;0,OR(C48+D48-E48&lt;AA48+AB48-AC48,AND(C48+D48-E48=AA48+AB48-AC48,0&lt;4))),1,0),IF(AND(I48+J48-K48&gt;0,OR(I48+J48-K48&lt;AA48+AB48-AC48,AND(I48+J48-K48=AA48+AB48-AC48,1&lt;4))),1,0),IF(AND(O48+P48-Q48&gt;0,OR(O48+P48-Q48&lt;AA48+AB48-AC48,AND(O48+P48-Q48=AA48+AB48-AC48,2&lt;4))),1,0),IF(AND(U48+V48-W48&gt;0,OR(U48+V48-W48&lt;AA48+AB48-AC48,AND(U48+V48-W48=AA48+AB48-AC48,3&lt;4))),1,0)))</x:f>
        <x:v>99</x:v>
      </x:c>
      <x:c r="AE48" s="6" t="n">
        <x:f>IF('Debt strategy'!$C$16&gt;0,0,MIN(AA48+AB48-AC48,MAX(0,'Debt strategy'!$C$5-SUM(E48,K48,Q48,W48,AC48)-SUM(IF(F48&lt;AD48,C48+D48-E48,0),IF(L48&lt;AD48,I48+J48-K48,0),IF(R48&lt;AD48,O48+P48-Q48,0),IF(X48&lt;AD48,U48+V48-W48,0)))))</x:f>
        <x:v>0</x:v>
      </x:c>
      <x:c r="AF48" s="6" t="n">
        <x:f>ROUND(MAX(0,AA48+AB48-AC48-AE48),2)</x:f>
        <x:v>0</x:v>
      </x:c>
      <x:c r="AG48" s="6" t="n">
        <x:f>SUM(H48,N48,T48,Z48,AF48)</x:f>
        <x:v>0</x:v>
      </x:c>
      <x:c r="AH48" s="6" t="n">
        <x:f>SUM(D48,J48,P48,V48,AB48)+AH47</x:f>
        <x:v>1353.9499999999996</x:v>
      </x:c>
      <x:c r="AI48" s="2"/>
    </x:row>
    <x:row r="49" ht="23" customHeight="1">
      <x:c r="B49" s="2" t="n">
        <x:f>41</x:f>
        <x:v>41</x:v>
      </x:c>
      <x:c r="C49" s="6" t="n">
        <x:f>H48</x:f>
        <x:v>0</x:v>
      </x:c>
      <x:c r="D49" s="6" t="n">
        <x:f>ROUND(C49*'Debt strategy'!$D$9/12,2)</x:f>
        <x:v>0</x:v>
      </x:c>
      <x:c r="E49" s="6" t="n">
        <x:f>MIN(C49+D49,'Debt strategy'!$E$9)</x:f>
        <x:v>0</x:v>
      </x:c>
      <x:c r="F49" s="27" t="n">
        <x:f>IF(C49+D49-E49&lt;=0,99,1+SUM(IF(AND(I49+J49-K49&gt;0,OR(I49+J49-K49&lt;C49+D49-E49,AND(I49+J49-K49=C49+D49-E49,1&lt;0))),1,0),IF(AND(O49+P49-Q49&gt;0,OR(O49+P49-Q49&lt;C49+D49-E49,AND(O49+P49-Q49=C49+D49-E49,2&lt;0))),1,0),IF(AND(U49+V49-W49&gt;0,OR(U49+V49-W49&lt;C49+D49-E49,AND(U49+V49-W49=C49+D49-E49,3&lt;0))),1,0),IF(AND(AA49+AB49-AC49&gt;0,OR(AA49+AB49-AC49&lt;C49+D49-E49,AND(AA49+AB49-AC49=C49+D49-E49,4&lt;0))),1,0)))</x:f>
        <x:v>99</x:v>
      </x:c>
      <x:c r="G49" s="6" t="n">
        <x:f>IF('Debt strategy'!$C$16&gt;0,0,MIN(C49+D49-E49,MAX(0,'Debt strategy'!$C$5-SUM(E49,K49,Q49,W49,AC49)-SUM(IF(L49&lt;F49,I49+J49-K49,0),IF(R49&lt;F49,O49+P49-Q49,0),IF(X49&lt;F49,U49+V49-W49,0),IF(AD49&lt;F49,AA49+AB49-AC49,0)))))</x:f>
        <x:v>0</x:v>
      </x:c>
      <x:c r="H49" s="6" t="n">
        <x:f>ROUND(MAX(0,C49+D49-E49-G49),2)</x:f>
        <x:v>0</x:v>
      </x:c>
      <x:c r="I49" s="6" t="n">
        <x:f>N48</x:f>
        <x:v>0</x:v>
      </x:c>
      <x:c r="J49" s="6" t="n">
        <x:f>ROUND(I49*'Debt strategy'!$D$10/12,2)</x:f>
        <x:v>0</x:v>
      </x:c>
      <x:c r="K49" s="6" t="n">
        <x:f>MIN(I49+J49,'Debt strategy'!$E$10)</x:f>
        <x:v>0</x:v>
      </x:c>
      <x:c r="L49" s="27" t="n">
        <x:f>IF(I49+J49-K49&lt;=0,99,1+SUM(IF(AND(C49+D49-E49&gt;0,OR(C49+D49-E49&lt;I49+J49-K49,AND(C49+D49-E49=I49+J49-K49,0&lt;1))),1,0),IF(AND(O49+P49-Q49&gt;0,OR(O49+P49-Q49&lt;I49+J49-K49,AND(O49+P49-Q49=I49+J49-K49,2&lt;1))),1,0),IF(AND(U49+V49-W49&gt;0,OR(U49+V49-W49&lt;I49+J49-K49,AND(U49+V49-W49=I49+J49-K49,3&lt;1))),1,0),IF(AND(AA49+AB49-AC49&gt;0,OR(AA49+AB49-AC49&lt;I49+J49-K49,AND(AA49+AB49-AC49=I49+J49-K49,4&lt;1))),1,0)))</x:f>
        <x:v>99</x:v>
      </x:c>
      <x:c r="M49" s="6" t="n">
        <x:f>IF('Debt strategy'!$C$16&gt;0,0,MIN(I49+J49-K49,MAX(0,'Debt strategy'!$C$5-SUM(E49,K49,Q49,W49,AC49)-SUM(IF(F49&lt;L49,C49+D49-E49,0),IF(R49&lt;L49,O49+P49-Q49,0),IF(X49&lt;L49,U49+V49-W49,0),IF(AD49&lt;L49,AA49+AB49-AC49,0)))))</x:f>
        <x:v>0</x:v>
      </x:c>
      <x:c r="N49" s="6" t="n">
        <x:f>ROUND(MAX(0,I49+J49-K49-M49),2)</x:f>
        <x:v>0</x:v>
      </x:c>
      <x:c r="O49" s="6" t="n">
        <x:f>T48</x:f>
        <x:v>0</x:v>
      </x:c>
      <x:c r="P49" s="6" t="n">
        <x:f>ROUND(O49*'Debt strategy'!$D$11/12,2)</x:f>
        <x:v>0</x:v>
      </x:c>
      <x:c r="Q49" s="6" t="n">
        <x:f>MIN(O49+P49,'Debt strategy'!$E$11)</x:f>
        <x:v>0</x:v>
      </x:c>
      <x:c r="R49" s="27" t="n">
        <x:f>IF(O49+P49-Q49&lt;=0,99,1+SUM(IF(AND(C49+D49-E49&gt;0,OR(C49+D49-E49&lt;O49+P49-Q49,AND(C49+D49-E49=O49+P49-Q49,0&lt;2))),1,0),IF(AND(I49+J49-K49&gt;0,OR(I49+J49-K49&lt;O49+P49-Q49,AND(I49+J49-K49=O49+P49-Q49,1&lt;2))),1,0),IF(AND(U49+V49-W49&gt;0,OR(U49+V49-W49&lt;O49+P49-Q49,AND(U49+V49-W49=O49+P49-Q49,3&lt;2))),1,0),IF(AND(AA49+AB49-AC49&gt;0,OR(AA49+AB49-AC49&lt;O49+P49-Q49,AND(AA49+AB49-AC49=O49+P49-Q49,4&lt;2))),1,0)))</x:f>
        <x:v>99</x:v>
      </x:c>
      <x:c r="S49" s="6" t="n">
        <x:f>IF('Debt strategy'!$C$16&gt;0,0,MIN(O49+P49-Q49,MAX(0,'Debt strategy'!$C$5-SUM(E49,K49,Q49,W49,AC49)-SUM(IF(F49&lt;R49,C49+D49-E49,0),IF(L49&lt;R49,I49+J49-K49,0),IF(X49&lt;R49,U49+V49-W49,0),IF(AD49&lt;R49,AA49+AB49-AC49,0)))))</x:f>
        <x:v>0</x:v>
      </x:c>
      <x:c r="T49" s="6" t="n">
        <x:f>ROUND(MAX(0,O49+P49-Q49-S49),2)</x:f>
        <x:v>0</x:v>
      </x:c>
      <x:c r="U49" s="6" t="n">
        <x:f>Z48</x:f>
        <x:v>0</x:v>
      </x:c>
      <x:c r="V49" s="6" t="n">
        <x:f>ROUND(U49*'Debt strategy'!$D$12/12,2)</x:f>
        <x:v>0</x:v>
      </x:c>
      <x:c r="W49" s="6" t="n">
        <x:f>MIN(U49+V49,'Debt strategy'!$E$12)</x:f>
        <x:v>0</x:v>
      </x:c>
      <x:c r="X49" s="27" t="n">
        <x:f>IF(U49+V49-W49&lt;=0,99,1+SUM(IF(AND(C49+D49-E49&gt;0,OR(C49+D49-E49&lt;U49+V49-W49,AND(C49+D49-E49=U49+V49-W49,0&lt;3))),1,0),IF(AND(I49+J49-K49&gt;0,OR(I49+J49-K49&lt;U49+V49-W49,AND(I49+J49-K49=U49+V49-W49,1&lt;3))),1,0),IF(AND(O49+P49-Q49&gt;0,OR(O49+P49-Q49&lt;U49+V49-W49,AND(O49+P49-Q49=U49+V49-W49,2&lt;3))),1,0),IF(AND(AA49+AB49-AC49&gt;0,OR(AA49+AB49-AC49&lt;U49+V49-W49,AND(AA49+AB49-AC49=U49+V49-W49,4&lt;3))),1,0)))</x:f>
        <x:v>99</x:v>
      </x:c>
      <x:c r="Y49" s="6" t="n">
        <x:f>IF('Debt strategy'!$C$16&gt;0,0,MIN(U49+V49-W49,MAX(0,'Debt strategy'!$C$5-SUM(E49,K49,Q49,W49,AC49)-SUM(IF(F49&lt;X49,C49+D49-E49,0),IF(L49&lt;X49,I49+J49-K49,0),IF(R49&lt;X49,O49+P49-Q49,0),IF(AD49&lt;X49,AA49+AB49-AC49,0)))))</x:f>
        <x:v>0</x:v>
      </x:c>
      <x:c r="Z49" s="6" t="n">
        <x:f>ROUND(MAX(0,U49+V49-W49-Y49),2)</x:f>
        <x:v>0</x:v>
      </x:c>
      <x:c r="AA49" s="6" t="n">
        <x:f>AF48</x:f>
        <x:v>0</x:v>
      </x:c>
      <x:c r="AB49" s="6" t="n">
        <x:f>ROUND(AA49*'Debt strategy'!$D$13/12,2)</x:f>
        <x:v>0</x:v>
      </x:c>
      <x:c r="AC49" s="6" t="n">
        <x:f>MIN(AA49+AB49,'Debt strategy'!$E$13)</x:f>
        <x:v>0</x:v>
      </x:c>
      <x:c r="AD49" s="27" t="n">
        <x:f>IF(AA49+AB49-AC49&lt;=0,99,1+SUM(IF(AND(C49+D49-E49&gt;0,OR(C49+D49-E49&lt;AA49+AB49-AC49,AND(C49+D49-E49=AA49+AB49-AC49,0&lt;4))),1,0),IF(AND(I49+J49-K49&gt;0,OR(I49+J49-K49&lt;AA49+AB49-AC49,AND(I49+J49-K49=AA49+AB49-AC49,1&lt;4))),1,0),IF(AND(O49+P49-Q49&gt;0,OR(O49+P49-Q49&lt;AA49+AB49-AC49,AND(O49+P49-Q49=AA49+AB49-AC49,2&lt;4))),1,0),IF(AND(U49+V49-W49&gt;0,OR(U49+V49-W49&lt;AA49+AB49-AC49,AND(U49+V49-W49=AA49+AB49-AC49,3&lt;4))),1,0)))</x:f>
        <x:v>99</x:v>
      </x:c>
      <x:c r="AE49" s="6" t="n">
        <x:f>IF('Debt strategy'!$C$16&gt;0,0,MIN(AA49+AB49-AC49,MAX(0,'Debt strategy'!$C$5-SUM(E49,K49,Q49,W49,AC49)-SUM(IF(F49&lt;AD49,C49+D49-E49,0),IF(L49&lt;AD49,I49+J49-K49,0),IF(R49&lt;AD49,O49+P49-Q49,0),IF(X49&lt;AD49,U49+V49-W49,0)))))</x:f>
        <x:v>0</x:v>
      </x:c>
      <x:c r="AF49" s="6" t="n">
        <x:f>ROUND(MAX(0,AA49+AB49-AC49-AE49),2)</x:f>
        <x:v>0</x:v>
      </x:c>
      <x:c r="AG49" s="6" t="n">
        <x:f>SUM(H49,N49,T49,Z49,AF49)</x:f>
        <x:v>0</x:v>
      </x:c>
      <x:c r="AH49" s="6" t="n">
        <x:f>SUM(D49,J49,P49,V49,AB49)+AH48</x:f>
        <x:v>1353.9499999999996</x:v>
      </x:c>
      <x:c r="AI49" s="2"/>
    </x:row>
    <x:row r="50" ht="23" customHeight="1">
      <x:c r="B50" s="2" t="n">
        <x:f>42</x:f>
        <x:v>42</x:v>
      </x:c>
      <x:c r="C50" s="6" t="n">
        <x:f>H49</x:f>
        <x:v>0</x:v>
      </x:c>
      <x:c r="D50" s="6" t="n">
        <x:f>ROUND(C50*'Debt strategy'!$D$9/12,2)</x:f>
        <x:v>0</x:v>
      </x:c>
      <x:c r="E50" s="6" t="n">
        <x:f>MIN(C50+D50,'Debt strategy'!$E$9)</x:f>
        <x:v>0</x:v>
      </x:c>
      <x:c r="F50" s="27" t="n">
        <x:f>IF(C50+D50-E50&lt;=0,99,1+SUM(IF(AND(I50+J50-K50&gt;0,OR(I50+J50-K50&lt;C50+D50-E50,AND(I50+J50-K50=C50+D50-E50,1&lt;0))),1,0),IF(AND(O50+P50-Q50&gt;0,OR(O50+P50-Q50&lt;C50+D50-E50,AND(O50+P50-Q50=C50+D50-E50,2&lt;0))),1,0),IF(AND(U50+V50-W50&gt;0,OR(U50+V50-W50&lt;C50+D50-E50,AND(U50+V50-W50=C50+D50-E50,3&lt;0))),1,0),IF(AND(AA50+AB50-AC50&gt;0,OR(AA50+AB50-AC50&lt;C50+D50-E50,AND(AA50+AB50-AC50=C50+D50-E50,4&lt;0))),1,0)))</x:f>
        <x:v>99</x:v>
      </x:c>
      <x:c r="G50" s="6" t="n">
        <x:f>IF('Debt strategy'!$C$16&gt;0,0,MIN(C50+D50-E50,MAX(0,'Debt strategy'!$C$5-SUM(E50,K50,Q50,W50,AC50)-SUM(IF(L50&lt;F50,I50+J50-K50,0),IF(R50&lt;F50,O50+P50-Q50,0),IF(X50&lt;F50,U50+V50-W50,0),IF(AD50&lt;F50,AA50+AB50-AC50,0)))))</x:f>
        <x:v>0</x:v>
      </x:c>
      <x:c r="H50" s="6" t="n">
        <x:f>ROUND(MAX(0,C50+D50-E50-G50),2)</x:f>
        <x:v>0</x:v>
      </x:c>
      <x:c r="I50" s="6" t="n">
        <x:f>N49</x:f>
        <x:v>0</x:v>
      </x:c>
      <x:c r="J50" s="6" t="n">
        <x:f>ROUND(I50*'Debt strategy'!$D$10/12,2)</x:f>
        <x:v>0</x:v>
      </x:c>
      <x:c r="K50" s="6" t="n">
        <x:f>MIN(I50+J50,'Debt strategy'!$E$10)</x:f>
        <x:v>0</x:v>
      </x:c>
      <x:c r="L50" s="27" t="n">
        <x:f>IF(I50+J50-K50&lt;=0,99,1+SUM(IF(AND(C50+D50-E50&gt;0,OR(C50+D50-E50&lt;I50+J50-K50,AND(C50+D50-E50=I50+J50-K50,0&lt;1))),1,0),IF(AND(O50+P50-Q50&gt;0,OR(O50+P50-Q50&lt;I50+J50-K50,AND(O50+P50-Q50=I50+J50-K50,2&lt;1))),1,0),IF(AND(U50+V50-W50&gt;0,OR(U50+V50-W50&lt;I50+J50-K50,AND(U50+V50-W50=I50+J50-K50,3&lt;1))),1,0),IF(AND(AA50+AB50-AC50&gt;0,OR(AA50+AB50-AC50&lt;I50+J50-K50,AND(AA50+AB50-AC50=I50+J50-K50,4&lt;1))),1,0)))</x:f>
        <x:v>99</x:v>
      </x:c>
      <x:c r="M50" s="6" t="n">
        <x:f>IF('Debt strategy'!$C$16&gt;0,0,MIN(I50+J50-K50,MAX(0,'Debt strategy'!$C$5-SUM(E50,K50,Q50,W50,AC50)-SUM(IF(F50&lt;L50,C50+D50-E50,0),IF(R50&lt;L50,O50+P50-Q50,0),IF(X50&lt;L50,U50+V50-W50,0),IF(AD50&lt;L50,AA50+AB50-AC50,0)))))</x:f>
        <x:v>0</x:v>
      </x:c>
      <x:c r="N50" s="6" t="n">
        <x:f>ROUND(MAX(0,I50+J50-K50-M50),2)</x:f>
        <x:v>0</x:v>
      </x:c>
      <x:c r="O50" s="6" t="n">
        <x:f>T49</x:f>
        <x:v>0</x:v>
      </x:c>
      <x:c r="P50" s="6" t="n">
        <x:f>ROUND(O50*'Debt strategy'!$D$11/12,2)</x:f>
        <x:v>0</x:v>
      </x:c>
      <x:c r="Q50" s="6" t="n">
        <x:f>MIN(O50+P50,'Debt strategy'!$E$11)</x:f>
        <x:v>0</x:v>
      </x:c>
      <x:c r="R50" s="27" t="n">
        <x:f>IF(O50+P50-Q50&lt;=0,99,1+SUM(IF(AND(C50+D50-E50&gt;0,OR(C50+D50-E50&lt;O50+P50-Q50,AND(C50+D50-E50=O50+P50-Q50,0&lt;2))),1,0),IF(AND(I50+J50-K50&gt;0,OR(I50+J50-K50&lt;O50+P50-Q50,AND(I50+J50-K50=O50+P50-Q50,1&lt;2))),1,0),IF(AND(U50+V50-W50&gt;0,OR(U50+V50-W50&lt;O50+P50-Q50,AND(U50+V50-W50=O50+P50-Q50,3&lt;2))),1,0),IF(AND(AA50+AB50-AC50&gt;0,OR(AA50+AB50-AC50&lt;O50+P50-Q50,AND(AA50+AB50-AC50=O50+P50-Q50,4&lt;2))),1,0)))</x:f>
        <x:v>99</x:v>
      </x:c>
      <x:c r="S50" s="6" t="n">
        <x:f>IF('Debt strategy'!$C$16&gt;0,0,MIN(O50+P50-Q50,MAX(0,'Debt strategy'!$C$5-SUM(E50,K50,Q50,W50,AC50)-SUM(IF(F50&lt;R50,C50+D50-E50,0),IF(L50&lt;R50,I50+J50-K50,0),IF(X50&lt;R50,U50+V50-W50,0),IF(AD50&lt;R50,AA50+AB50-AC50,0)))))</x:f>
        <x:v>0</x:v>
      </x:c>
      <x:c r="T50" s="6" t="n">
        <x:f>ROUND(MAX(0,O50+P50-Q50-S50),2)</x:f>
        <x:v>0</x:v>
      </x:c>
      <x:c r="U50" s="6" t="n">
        <x:f>Z49</x:f>
        <x:v>0</x:v>
      </x:c>
      <x:c r="V50" s="6" t="n">
        <x:f>ROUND(U50*'Debt strategy'!$D$12/12,2)</x:f>
        <x:v>0</x:v>
      </x:c>
      <x:c r="W50" s="6" t="n">
        <x:f>MIN(U50+V50,'Debt strategy'!$E$12)</x:f>
        <x:v>0</x:v>
      </x:c>
      <x:c r="X50" s="27" t="n">
        <x:f>IF(U50+V50-W50&lt;=0,99,1+SUM(IF(AND(C50+D50-E50&gt;0,OR(C50+D50-E50&lt;U50+V50-W50,AND(C50+D50-E50=U50+V50-W50,0&lt;3))),1,0),IF(AND(I50+J50-K50&gt;0,OR(I50+J50-K50&lt;U50+V50-W50,AND(I50+J50-K50=U50+V50-W50,1&lt;3))),1,0),IF(AND(O50+P50-Q50&gt;0,OR(O50+P50-Q50&lt;U50+V50-W50,AND(O50+P50-Q50=U50+V50-W50,2&lt;3))),1,0),IF(AND(AA50+AB50-AC50&gt;0,OR(AA50+AB50-AC50&lt;U50+V50-W50,AND(AA50+AB50-AC50=U50+V50-W50,4&lt;3))),1,0)))</x:f>
        <x:v>99</x:v>
      </x:c>
      <x:c r="Y50" s="6" t="n">
        <x:f>IF('Debt strategy'!$C$16&gt;0,0,MIN(U50+V50-W50,MAX(0,'Debt strategy'!$C$5-SUM(E50,K50,Q50,W50,AC50)-SUM(IF(F50&lt;X50,C50+D50-E50,0),IF(L50&lt;X50,I50+J50-K50,0),IF(R50&lt;X50,O50+P50-Q50,0),IF(AD50&lt;X50,AA50+AB50-AC50,0)))))</x:f>
        <x:v>0</x:v>
      </x:c>
      <x:c r="Z50" s="6" t="n">
        <x:f>ROUND(MAX(0,U50+V50-W50-Y50),2)</x:f>
        <x:v>0</x:v>
      </x:c>
      <x:c r="AA50" s="6" t="n">
        <x:f>AF49</x:f>
        <x:v>0</x:v>
      </x:c>
      <x:c r="AB50" s="6" t="n">
        <x:f>ROUND(AA50*'Debt strategy'!$D$13/12,2)</x:f>
        <x:v>0</x:v>
      </x:c>
      <x:c r="AC50" s="6" t="n">
        <x:f>MIN(AA50+AB50,'Debt strategy'!$E$13)</x:f>
        <x:v>0</x:v>
      </x:c>
      <x:c r="AD50" s="27" t="n">
        <x:f>IF(AA50+AB50-AC50&lt;=0,99,1+SUM(IF(AND(C50+D50-E50&gt;0,OR(C50+D50-E50&lt;AA50+AB50-AC50,AND(C50+D50-E50=AA50+AB50-AC50,0&lt;4))),1,0),IF(AND(I50+J50-K50&gt;0,OR(I50+J50-K50&lt;AA50+AB50-AC50,AND(I50+J50-K50=AA50+AB50-AC50,1&lt;4))),1,0),IF(AND(O50+P50-Q50&gt;0,OR(O50+P50-Q50&lt;AA50+AB50-AC50,AND(O50+P50-Q50=AA50+AB50-AC50,2&lt;4))),1,0),IF(AND(U50+V50-W50&gt;0,OR(U50+V50-W50&lt;AA50+AB50-AC50,AND(U50+V50-W50=AA50+AB50-AC50,3&lt;4))),1,0)))</x:f>
        <x:v>99</x:v>
      </x:c>
      <x:c r="AE50" s="6" t="n">
        <x:f>IF('Debt strategy'!$C$16&gt;0,0,MIN(AA50+AB50-AC50,MAX(0,'Debt strategy'!$C$5-SUM(E50,K50,Q50,W50,AC50)-SUM(IF(F50&lt;AD50,C50+D50-E50,0),IF(L50&lt;AD50,I50+J50-K50,0),IF(R50&lt;AD50,O50+P50-Q50,0),IF(X50&lt;AD50,U50+V50-W50,0)))))</x:f>
        <x:v>0</x:v>
      </x:c>
      <x:c r="AF50" s="6" t="n">
        <x:f>ROUND(MAX(0,AA50+AB50-AC50-AE50),2)</x:f>
        <x:v>0</x:v>
      </x:c>
      <x:c r="AG50" s="6" t="n">
        <x:f>SUM(H50,N50,T50,Z50,AF50)</x:f>
        <x:v>0</x:v>
      </x:c>
      <x:c r="AH50" s="6" t="n">
        <x:f>SUM(D50,J50,P50,V50,AB50)+AH49</x:f>
        <x:v>1353.9499999999996</x:v>
      </x:c>
      <x:c r="AI50" s="2"/>
    </x:row>
    <x:row r="51" ht="23" customHeight="1">
      <x:c r="B51" s="2" t="n">
        <x:f>43</x:f>
        <x:v>43</x:v>
      </x:c>
      <x:c r="C51" s="6" t="n">
        <x:f>H50</x:f>
        <x:v>0</x:v>
      </x:c>
      <x:c r="D51" s="6" t="n">
        <x:f>ROUND(C51*'Debt strategy'!$D$9/12,2)</x:f>
        <x:v>0</x:v>
      </x:c>
      <x:c r="E51" s="6" t="n">
        <x:f>MIN(C51+D51,'Debt strategy'!$E$9)</x:f>
        <x:v>0</x:v>
      </x:c>
      <x:c r="F51" s="27" t="n">
        <x:f>IF(C51+D51-E51&lt;=0,99,1+SUM(IF(AND(I51+J51-K51&gt;0,OR(I51+J51-K51&lt;C51+D51-E51,AND(I51+J51-K51=C51+D51-E51,1&lt;0))),1,0),IF(AND(O51+P51-Q51&gt;0,OR(O51+P51-Q51&lt;C51+D51-E51,AND(O51+P51-Q51=C51+D51-E51,2&lt;0))),1,0),IF(AND(U51+V51-W51&gt;0,OR(U51+V51-W51&lt;C51+D51-E51,AND(U51+V51-W51=C51+D51-E51,3&lt;0))),1,0),IF(AND(AA51+AB51-AC51&gt;0,OR(AA51+AB51-AC51&lt;C51+D51-E51,AND(AA51+AB51-AC51=C51+D51-E51,4&lt;0))),1,0)))</x:f>
        <x:v>99</x:v>
      </x:c>
      <x:c r="G51" s="6" t="n">
        <x:f>IF('Debt strategy'!$C$16&gt;0,0,MIN(C51+D51-E51,MAX(0,'Debt strategy'!$C$5-SUM(E51,K51,Q51,W51,AC51)-SUM(IF(L51&lt;F51,I51+J51-K51,0),IF(R51&lt;F51,O51+P51-Q51,0),IF(X51&lt;F51,U51+V51-W51,0),IF(AD51&lt;F51,AA51+AB51-AC51,0)))))</x:f>
        <x:v>0</x:v>
      </x:c>
      <x:c r="H51" s="6" t="n">
        <x:f>ROUND(MAX(0,C51+D51-E51-G51),2)</x:f>
        <x:v>0</x:v>
      </x:c>
      <x:c r="I51" s="6" t="n">
        <x:f>N50</x:f>
        <x:v>0</x:v>
      </x:c>
      <x:c r="J51" s="6" t="n">
        <x:f>ROUND(I51*'Debt strategy'!$D$10/12,2)</x:f>
        <x:v>0</x:v>
      </x:c>
      <x:c r="K51" s="6" t="n">
        <x:f>MIN(I51+J51,'Debt strategy'!$E$10)</x:f>
        <x:v>0</x:v>
      </x:c>
      <x:c r="L51" s="27" t="n">
        <x:f>IF(I51+J51-K51&lt;=0,99,1+SUM(IF(AND(C51+D51-E51&gt;0,OR(C51+D51-E51&lt;I51+J51-K51,AND(C51+D51-E51=I51+J51-K51,0&lt;1))),1,0),IF(AND(O51+P51-Q51&gt;0,OR(O51+P51-Q51&lt;I51+J51-K51,AND(O51+P51-Q51=I51+J51-K51,2&lt;1))),1,0),IF(AND(U51+V51-W51&gt;0,OR(U51+V51-W51&lt;I51+J51-K51,AND(U51+V51-W51=I51+J51-K51,3&lt;1))),1,0),IF(AND(AA51+AB51-AC51&gt;0,OR(AA51+AB51-AC51&lt;I51+J51-K51,AND(AA51+AB51-AC51=I51+J51-K51,4&lt;1))),1,0)))</x:f>
        <x:v>99</x:v>
      </x:c>
      <x:c r="M51" s="6" t="n">
        <x:f>IF('Debt strategy'!$C$16&gt;0,0,MIN(I51+J51-K51,MAX(0,'Debt strategy'!$C$5-SUM(E51,K51,Q51,W51,AC51)-SUM(IF(F51&lt;L51,C51+D51-E51,0),IF(R51&lt;L51,O51+P51-Q51,0),IF(X51&lt;L51,U51+V51-W51,0),IF(AD51&lt;L51,AA51+AB51-AC51,0)))))</x:f>
        <x:v>0</x:v>
      </x:c>
      <x:c r="N51" s="6" t="n">
        <x:f>ROUND(MAX(0,I51+J51-K51-M51),2)</x:f>
        <x:v>0</x:v>
      </x:c>
      <x:c r="O51" s="6" t="n">
        <x:f>T50</x:f>
        <x:v>0</x:v>
      </x:c>
      <x:c r="P51" s="6" t="n">
        <x:f>ROUND(O51*'Debt strategy'!$D$11/12,2)</x:f>
        <x:v>0</x:v>
      </x:c>
      <x:c r="Q51" s="6" t="n">
        <x:f>MIN(O51+P51,'Debt strategy'!$E$11)</x:f>
        <x:v>0</x:v>
      </x:c>
      <x:c r="R51" s="27" t="n">
        <x:f>IF(O51+P51-Q51&lt;=0,99,1+SUM(IF(AND(C51+D51-E51&gt;0,OR(C51+D51-E51&lt;O51+P51-Q51,AND(C51+D51-E51=O51+P51-Q51,0&lt;2))),1,0),IF(AND(I51+J51-K51&gt;0,OR(I51+J51-K51&lt;O51+P51-Q51,AND(I51+J51-K51=O51+P51-Q51,1&lt;2))),1,0),IF(AND(U51+V51-W51&gt;0,OR(U51+V51-W51&lt;O51+P51-Q51,AND(U51+V51-W51=O51+P51-Q51,3&lt;2))),1,0),IF(AND(AA51+AB51-AC51&gt;0,OR(AA51+AB51-AC51&lt;O51+P51-Q51,AND(AA51+AB51-AC51=O51+P51-Q51,4&lt;2))),1,0)))</x:f>
        <x:v>99</x:v>
      </x:c>
      <x:c r="S51" s="6" t="n">
        <x:f>IF('Debt strategy'!$C$16&gt;0,0,MIN(O51+P51-Q51,MAX(0,'Debt strategy'!$C$5-SUM(E51,K51,Q51,W51,AC51)-SUM(IF(F51&lt;R51,C51+D51-E51,0),IF(L51&lt;R51,I51+J51-K51,0),IF(X51&lt;R51,U51+V51-W51,0),IF(AD51&lt;R51,AA51+AB51-AC51,0)))))</x:f>
        <x:v>0</x:v>
      </x:c>
      <x:c r="T51" s="6" t="n">
        <x:f>ROUND(MAX(0,O51+P51-Q51-S51),2)</x:f>
        <x:v>0</x:v>
      </x:c>
      <x:c r="U51" s="6" t="n">
        <x:f>Z50</x:f>
        <x:v>0</x:v>
      </x:c>
      <x:c r="V51" s="6" t="n">
        <x:f>ROUND(U51*'Debt strategy'!$D$12/12,2)</x:f>
        <x:v>0</x:v>
      </x:c>
      <x:c r="W51" s="6" t="n">
        <x:f>MIN(U51+V51,'Debt strategy'!$E$12)</x:f>
        <x:v>0</x:v>
      </x:c>
      <x:c r="X51" s="27" t="n">
        <x:f>IF(U51+V51-W51&lt;=0,99,1+SUM(IF(AND(C51+D51-E51&gt;0,OR(C51+D51-E51&lt;U51+V51-W51,AND(C51+D51-E51=U51+V51-W51,0&lt;3))),1,0),IF(AND(I51+J51-K51&gt;0,OR(I51+J51-K51&lt;U51+V51-W51,AND(I51+J51-K51=U51+V51-W51,1&lt;3))),1,0),IF(AND(O51+P51-Q51&gt;0,OR(O51+P51-Q51&lt;U51+V51-W51,AND(O51+P51-Q51=U51+V51-W51,2&lt;3))),1,0),IF(AND(AA51+AB51-AC51&gt;0,OR(AA51+AB51-AC51&lt;U51+V51-W51,AND(AA51+AB51-AC51=U51+V51-W51,4&lt;3))),1,0)))</x:f>
        <x:v>99</x:v>
      </x:c>
      <x:c r="Y51" s="6" t="n">
        <x:f>IF('Debt strategy'!$C$16&gt;0,0,MIN(U51+V51-W51,MAX(0,'Debt strategy'!$C$5-SUM(E51,K51,Q51,W51,AC51)-SUM(IF(F51&lt;X51,C51+D51-E51,0),IF(L51&lt;X51,I51+J51-K51,0),IF(R51&lt;X51,O51+P51-Q51,0),IF(AD51&lt;X51,AA51+AB51-AC51,0)))))</x:f>
        <x:v>0</x:v>
      </x:c>
      <x:c r="Z51" s="6" t="n">
        <x:f>ROUND(MAX(0,U51+V51-W51-Y51),2)</x:f>
        <x:v>0</x:v>
      </x:c>
      <x:c r="AA51" s="6" t="n">
        <x:f>AF50</x:f>
        <x:v>0</x:v>
      </x:c>
      <x:c r="AB51" s="6" t="n">
        <x:f>ROUND(AA51*'Debt strategy'!$D$13/12,2)</x:f>
        <x:v>0</x:v>
      </x:c>
      <x:c r="AC51" s="6" t="n">
        <x:f>MIN(AA51+AB51,'Debt strategy'!$E$13)</x:f>
        <x:v>0</x:v>
      </x:c>
      <x:c r="AD51" s="27" t="n">
        <x:f>IF(AA51+AB51-AC51&lt;=0,99,1+SUM(IF(AND(C51+D51-E51&gt;0,OR(C51+D51-E51&lt;AA51+AB51-AC51,AND(C51+D51-E51=AA51+AB51-AC51,0&lt;4))),1,0),IF(AND(I51+J51-K51&gt;0,OR(I51+J51-K51&lt;AA51+AB51-AC51,AND(I51+J51-K51=AA51+AB51-AC51,1&lt;4))),1,0),IF(AND(O51+P51-Q51&gt;0,OR(O51+P51-Q51&lt;AA51+AB51-AC51,AND(O51+P51-Q51=AA51+AB51-AC51,2&lt;4))),1,0),IF(AND(U51+V51-W51&gt;0,OR(U51+V51-W51&lt;AA51+AB51-AC51,AND(U51+V51-W51=AA51+AB51-AC51,3&lt;4))),1,0)))</x:f>
        <x:v>99</x:v>
      </x:c>
      <x:c r="AE51" s="6" t="n">
        <x:f>IF('Debt strategy'!$C$16&gt;0,0,MIN(AA51+AB51-AC51,MAX(0,'Debt strategy'!$C$5-SUM(E51,K51,Q51,W51,AC51)-SUM(IF(F51&lt;AD51,C51+D51-E51,0),IF(L51&lt;AD51,I51+J51-K51,0),IF(R51&lt;AD51,O51+P51-Q51,0),IF(X51&lt;AD51,U51+V51-W51,0)))))</x:f>
        <x:v>0</x:v>
      </x:c>
      <x:c r="AF51" s="6" t="n">
        <x:f>ROUND(MAX(0,AA51+AB51-AC51-AE51),2)</x:f>
        <x:v>0</x:v>
      </x:c>
      <x:c r="AG51" s="6" t="n">
        <x:f>SUM(H51,N51,T51,Z51,AF51)</x:f>
        <x:v>0</x:v>
      </x:c>
      <x:c r="AH51" s="6" t="n">
        <x:f>SUM(D51,J51,P51,V51,AB51)+AH50</x:f>
        <x:v>1353.9499999999996</x:v>
      </x:c>
      <x:c r="AI51" s="2"/>
    </x:row>
    <x:row r="52" ht="23" customHeight="1">
      <x:c r="B52" s="2" t="n">
        <x:f>44</x:f>
        <x:v>44</x:v>
      </x:c>
      <x:c r="C52" s="6" t="n">
        <x:f>H51</x:f>
        <x:v>0</x:v>
      </x:c>
      <x:c r="D52" s="6" t="n">
        <x:f>ROUND(C52*'Debt strategy'!$D$9/12,2)</x:f>
        <x:v>0</x:v>
      </x:c>
      <x:c r="E52" s="6" t="n">
        <x:f>MIN(C52+D52,'Debt strategy'!$E$9)</x:f>
        <x:v>0</x:v>
      </x:c>
      <x:c r="F52" s="27" t="n">
        <x:f>IF(C52+D52-E52&lt;=0,99,1+SUM(IF(AND(I52+J52-K52&gt;0,OR(I52+J52-K52&lt;C52+D52-E52,AND(I52+J52-K52=C52+D52-E52,1&lt;0))),1,0),IF(AND(O52+P52-Q52&gt;0,OR(O52+P52-Q52&lt;C52+D52-E52,AND(O52+P52-Q52=C52+D52-E52,2&lt;0))),1,0),IF(AND(U52+V52-W52&gt;0,OR(U52+V52-W52&lt;C52+D52-E52,AND(U52+V52-W52=C52+D52-E52,3&lt;0))),1,0),IF(AND(AA52+AB52-AC52&gt;0,OR(AA52+AB52-AC52&lt;C52+D52-E52,AND(AA52+AB52-AC52=C52+D52-E52,4&lt;0))),1,0)))</x:f>
        <x:v>99</x:v>
      </x:c>
      <x:c r="G52" s="6" t="n">
        <x:f>IF('Debt strategy'!$C$16&gt;0,0,MIN(C52+D52-E52,MAX(0,'Debt strategy'!$C$5-SUM(E52,K52,Q52,W52,AC52)-SUM(IF(L52&lt;F52,I52+J52-K52,0),IF(R52&lt;F52,O52+P52-Q52,0),IF(X52&lt;F52,U52+V52-W52,0),IF(AD52&lt;F52,AA52+AB52-AC52,0)))))</x:f>
        <x:v>0</x:v>
      </x:c>
      <x:c r="H52" s="6" t="n">
        <x:f>ROUND(MAX(0,C52+D52-E52-G52),2)</x:f>
        <x:v>0</x:v>
      </x:c>
      <x:c r="I52" s="6" t="n">
        <x:f>N51</x:f>
        <x:v>0</x:v>
      </x:c>
      <x:c r="J52" s="6" t="n">
        <x:f>ROUND(I52*'Debt strategy'!$D$10/12,2)</x:f>
        <x:v>0</x:v>
      </x:c>
      <x:c r="K52" s="6" t="n">
        <x:f>MIN(I52+J52,'Debt strategy'!$E$10)</x:f>
        <x:v>0</x:v>
      </x:c>
      <x:c r="L52" s="27" t="n">
        <x:f>IF(I52+J52-K52&lt;=0,99,1+SUM(IF(AND(C52+D52-E52&gt;0,OR(C52+D52-E52&lt;I52+J52-K52,AND(C52+D52-E52=I52+J52-K52,0&lt;1))),1,0),IF(AND(O52+P52-Q52&gt;0,OR(O52+P52-Q52&lt;I52+J52-K52,AND(O52+P52-Q52=I52+J52-K52,2&lt;1))),1,0),IF(AND(U52+V52-W52&gt;0,OR(U52+V52-W52&lt;I52+J52-K52,AND(U52+V52-W52=I52+J52-K52,3&lt;1))),1,0),IF(AND(AA52+AB52-AC52&gt;0,OR(AA52+AB52-AC52&lt;I52+J52-K52,AND(AA52+AB52-AC52=I52+J52-K52,4&lt;1))),1,0)))</x:f>
        <x:v>99</x:v>
      </x:c>
      <x:c r="M52" s="6" t="n">
        <x:f>IF('Debt strategy'!$C$16&gt;0,0,MIN(I52+J52-K52,MAX(0,'Debt strategy'!$C$5-SUM(E52,K52,Q52,W52,AC52)-SUM(IF(F52&lt;L52,C52+D52-E52,0),IF(R52&lt;L52,O52+P52-Q52,0),IF(X52&lt;L52,U52+V52-W52,0),IF(AD52&lt;L52,AA52+AB52-AC52,0)))))</x:f>
        <x:v>0</x:v>
      </x:c>
      <x:c r="N52" s="6" t="n">
        <x:f>ROUND(MAX(0,I52+J52-K52-M52),2)</x:f>
        <x:v>0</x:v>
      </x:c>
      <x:c r="O52" s="6" t="n">
        <x:f>T51</x:f>
        <x:v>0</x:v>
      </x:c>
      <x:c r="P52" s="6" t="n">
        <x:f>ROUND(O52*'Debt strategy'!$D$11/12,2)</x:f>
        <x:v>0</x:v>
      </x:c>
      <x:c r="Q52" s="6" t="n">
        <x:f>MIN(O52+P52,'Debt strategy'!$E$11)</x:f>
        <x:v>0</x:v>
      </x:c>
      <x:c r="R52" s="27" t="n">
        <x:f>IF(O52+P52-Q52&lt;=0,99,1+SUM(IF(AND(C52+D52-E52&gt;0,OR(C52+D52-E52&lt;O52+P52-Q52,AND(C52+D52-E52=O52+P52-Q52,0&lt;2))),1,0),IF(AND(I52+J52-K52&gt;0,OR(I52+J52-K52&lt;O52+P52-Q52,AND(I52+J52-K52=O52+P52-Q52,1&lt;2))),1,0),IF(AND(U52+V52-W52&gt;0,OR(U52+V52-W52&lt;O52+P52-Q52,AND(U52+V52-W52=O52+P52-Q52,3&lt;2))),1,0),IF(AND(AA52+AB52-AC52&gt;0,OR(AA52+AB52-AC52&lt;O52+P52-Q52,AND(AA52+AB52-AC52=O52+P52-Q52,4&lt;2))),1,0)))</x:f>
        <x:v>99</x:v>
      </x:c>
      <x:c r="S52" s="6" t="n">
        <x:f>IF('Debt strategy'!$C$16&gt;0,0,MIN(O52+P52-Q52,MAX(0,'Debt strategy'!$C$5-SUM(E52,K52,Q52,W52,AC52)-SUM(IF(F52&lt;R52,C52+D52-E52,0),IF(L52&lt;R52,I52+J52-K52,0),IF(X52&lt;R52,U52+V52-W52,0),IF(AD52&lt;R52,AA52+AB52-AC52,0)))))</x:f>
        <x:v>0</x:v>
      </x:c>
      <x:c r="T52" s="6" t="n">
        <x:f>ROUND(MAX(0,O52+P52-Q52-S52),2)</x:f>
        <x:v>0</x:v>
      </x:c>
      <x:c r="U52" s="6" t="n">
        <x:f>Z51</x:f>
        <x:v>0</x:v>
      </x:c>
      <x:c r="V52" s="6" t="n">
        <x:f>ROUND(U52*'Debt strategy'!$D$12/12,2)</x:f>
        <x:v>0</x:v>
      </x:c>
      <x:c r="W52" s="6" t="n">
        <x:f>MIN(U52+V52,'Debt strategy'!$E$12)</x:f>
        <x:v>0</x:v>
      </x:c>
      <x:c r="X52" s="27" t="n">
        <x:f>IF(U52+V52-W52&lt;=0,99,1+SUM(IF(AND(C52+D52-E52&gt;0,OR(C52+D52-E52&lt;U52+V52-W52,AND(C52+D52-E52=U52+V52-W52,0&lt;3))),1,0),IF(AND(I52+J52-K52&gt;0,OR(I52+J52-K52&lt;U52+V52-W52,AND(I52+J52-K52=U52+V52-W52,1&lt;3))),1,0),IF(AND(O52+P52-Q52&gt;0,OR(O52+P52-Q52&lt;U52+V52-W52,AND(O52+P52-Q52=U52+V52-W52,2&lt;3))),1,0),IF(AND(AA52+AB52-AC52&gt;0,OR(AA52+AB52-AC52&lt;U52+V52-W52,AND(AA52+AB52-AC52=U52+V52-W52,4&lt;3))),1,0)))</x:f>
        <x:v>99</x:v>
      </x:c>
      <x:c r="Y52" s="6" t="n">
        <x:f>IF('Debt strategy'!$C$16&gt;0,0,MIN(U52+V52-W52,MAX(0,'Debt strategy'!$C$5-SUM(E52,K52,Q52,W52,AC52)-SUM(IF(F52&lt;X52,C52+D52-E52,0),IF(L52&lt;X52,I52+J52-K52,0),IF(R52&lt;X52,O52+P52-Q52,0),IF(AD52&lt;X52,AA52+AB52-AC52,0)))))</x:f>
        <x:v>0</x:v>
      </x:c>
      <x:c r="Z52" s="6" t="n">
        <x:f>ROUND(MAX(0,U52+V52-W52-Y52),2)</x:f>
        <x:v>0</x:v>
      </x:c>
      <x:c r="AA52" s="6" t="n">
        <x:f>AF51</x:f>
        <x:v>0</x:v>
      </x:c>
      <x:c r="AB52" s="6" t="n">
        <x:f>ROUND(AA52*'Debt strategy'!$D$13/12,2)</x:f>
        <x:v>0</x:v>
      </x:c>
      <x:c r="AC52" s="6" t="n">
        <x:f>MIN(AA52+AB52,'Debt strategy'!$E$13)</x:f>
        <x:v>0</x:v>
      </x:c>
      <x:c r="AD52" s="27" t="n">
        <x:f>IF(AA52+AB52-AC52&lt;=0,99,1+SUM(IF(AND(C52+D52-E52&gt;0,OR(C52+D52-E52&lt;AA52+AB52-AC52,AND(C52+D52-E52=AA52+AB52-AC52,0&lt;4))),1,0),IF(AND(I52+J52-K52&gt;0,OR(I52+J52-K52&lt;AA52+AB52-AC52,AND(I52+J52-K52=AA52+AB52-AC52,1&lt;4))),1,0),IF(AND(O52+P52-Q52&gt;0,OR(O52+P52-Q52&lt;AA52+AB52-AC52,AND(O52+P52-Q52=AA52+AB52-AC52,2&lt;4))),1,0),IF(AND(U52+V52-W52&gt;0,OR(U52+V52-W52&lt;AA52+AB52-AC52,AND(U52+V52-W52=AA52+AB52-AC52,3&lt;4))),1,0)))</x:f>
        <x:v>99</x:v>
      </x:c>
      <x:c r="AE52" s="6" t="n">
        <x:f>IF('Debt strategy'!$C$16&gt;0,0,MIN(AA52+AB52-AC52,MAX(0,'Debt strategy'!$C$5-SUM(E52,K52,Q52,W52,AC52)-SUM(IF(F52&lt;AD52,C52+D52-E52,0),IF(L52&lt;AD52,I52+J52-K52,0),IF(R52&lt;AD52,O52+P52-Q52,0),IF(X52&lt;AD52,U52+V52-W52,0)))))</x:f>
        <x:v>0</x:v>
      </x:c>
      <x:c r="AF52" s="6" t="n">
        <x:f>ROUND(MAX(0,AA52+AB52-AC52-AE52),2)</x:f>
        <x:v>0</x:v>
      </x:c>
      <x:c r="AG52" s="6" t="n">
        <x:f>SUM(H52,N52,T52,Z52,AF52)</x:f>
        <x:v>0</x:v>
      </x:c>
      <x:c r="AH52" s="6" t="n">
        <x:f>SUM(D52,J52,P52,V52,AB52)+AH51</x:f>
        <x:v>1353.9499999999996</x:v>
      </x:c>
      <x:c r="AI52" s="2"/>
    </x:row>
    <x:row r="53" ht="23" customHeight="1">
      <x:c r="B53" s="2" t="n">
        <x:f>45</x:f>
        <x:v>45</x:v>
      </x:c>
      <x:c r="C53" s="6" t="n">
        <x:f>H52</x:f>
        <x:v>0</x:v>
      </x:c>
      <x:c r="D53" s="6" t="n">
        <x:f>ROUND(C53*'Debt strategy'!$D$9/12,2)</x:f>
        <x:v>0</x:v>
      </x:c>
      <x:c r="E53" s="6" t="n">
        <x:f>MIN(C53+D53,'Debt strategy'!$E$9)</x:f>
        <x:v>0</x:v>
      </x:c>
      <x:c r="F53" s="27" t="n">
        <x:f>IF(C53+D53-E53&lt;=0,99,1+SUM(IF(AND(I53+J53-K53&gt;0,OR(I53+J53-K53&lt;C53+D53-E53,AND(I53+J53-K53=C53+D53-E53,1&lt;0))),1,0),IF(AND(O53+P53-Q53&gt;0,OR(O53+P53-Q53&lt;C53+D53-E53,AND(O53+P53-Q53=C53+D53-E53,2&lt;0))),1,0),IF(AND(U53+V53-W53&gt;0,OR(U53+V53-W53&lt;C53+D53-E53,AND(U53+V53-W53=C53+D53-E53,3&lt;0))),1,0),IF(AND(AA53+AB53-AC53&gt;0,OR(AA53+AB53-AC53&lt;C53+D53-E53,AND(AA53+AB53-AC53=C53+D53-E53,4&lt;0))),1,0)))</x:f>
        <x:v>99</x:v>
      </x:c>
      <x:c r="G53" s="6" t="n">
        <x:f>IF('Debt strategy'!$C$16&gt;0,0,MIN(C53+D53-E53,MAX(0,'Debt strategy'!$C$5-SUM(E53,K53,Q53,W53,AC53)-SUM(IF(L53&lt;F53,I53+J53-K53,0),IF(R53&lt;F53,O53+P53-Q53,0),IF(X53&lt;F53,U53+V53-W53,0),IF(AD53&lt;F53,AA53+AB53-AC53,0)))))</x:f>
        <x:v>0</x:v>
      </x:c>
      <x:c r="H53" s="6" t="n">
        <x:f>ROUND(MAX(0,C53+D53-E53-G53),2)</x:f>
        <x:v>0</x:v>
      </x:c>
      <x:c r="I53" s="6" t="n">
        <x:f>N52</x:f>
        <x:v>0</x:v>
      </x:c>
      <x:c r="J53" s="6" t="n">
        <x:f>ROUND(I53*'Debt strategy'!$D$10/12,2)</x:f>
        <x:v>0</x:v>
      </x:c>
      <x:c r="K53" s="6" t="n">
        <x:f>MIN(I53+J53,'Debt strategy'!$E$10)</x:f>
        <x:v>0</x:v>
      </x:c>
      <x:c r="L53" s="27" t="n">
        <x:f>IF(I53+J53-K53&lt;=0,99,1+SUM(IF(AND(C53+D53-E53&gt;0,OR(C53+D53-E53&lt;I53+J53-K53,AND(C53+D53-E53=I53+J53-K53,0&lt;1))),1,0),IF(AND(O53+P53-Q53&gt;0,OR(O53+P53-Q53&lt;I53+J53-K53,AND(O53+P53-Q53=I53+J53-K53,2&lt;1))),1,0),IF(AND(U53+V53-W53&gt;0,OR(U53+V53-W53&lt;I53+J53-K53,AND(U53+V53-W53=I53+J53-K53,3&lt;1))),1,0),IF(AND(AA53+AB53-AC53&gt;0,OR(AA53+AB53-AC53&lt;I53+J53-K53,AND(AA53+AB53-AC53=I53+J53-K53,4&lt;1))),1,0)))</x:f>
        <x:v>99</x:v>
      </x:c>
      <x:c r="M53" s="6" t="n">
        <x:f>IF('Debt strategy'!$C$16&gt;0,0,MIN(I53+J53-K53,MAX(0,'Debt strategy'!$C$5-SUM(E53,K53,Q53,W53,AC53)-SUM(IF(F53&lt;L53,C53+D53-E53,0),IF(R53&lt;L53,O53+P53-Q53,0),IF(X53&lt;L53,U53+V53-W53,0),IF(AD53&lt;L53,AA53+AB53-AC53,0)))))</x:f>
        <x:v>0</x:v>
      </x:c>
      <x:c r="N53" s="6" t="n">
        <x:f>ROUND(MAX(0,I53+J53-K53-M53),2)</x:f>
        <x:v>0</x:v>
      </x:c>
      <x:c r="O53" s="6" t="n">
        <x:f>T52</x:f>
        <x:v>0</x:v>
      </x:c>
      <x:c r="P53" s="6" t="n">
        <x:f>ROUND(O53*'Debt strategy'!$D$11/12,2)</x:f>
        <x:v>0</x:v>
      </x:c>
      <x:c r="Q53" s="6" t="n">
        <x:f>MIN(O53+P53,'Debt strategy'!$E$11)</x:f>
        <x:v>0</x:v>
      </x:c>
      <x:c r="R53" s="27" t="n">
        <x:f>IF(O53+P53-Q53&lt;=0,99,1+SUM(IF(AND(C53+D53-E53&gt;0,OR(C53+D53-E53&lt;O53+P53-Q53,AND(C53+D53-E53=O53+P53-Q53,0&lt;2))),1,0),IF(AND(I53+J53-K53&gt;0,OR(I53+J53-K53&lt;O53+P53-Q53,AND(I53+J53-K53=O53+P53-Q53,1&lt;2))),1,0),IF(AND(U53+V53-W53&gt;0,OR(U53+V53-W53&lt;O53+P53-Q53,AND(U53+V53-W53=O53+P53-Q53,3&lt;2))),1,0),IF(AND(AA53+AB53-AC53&gt;0,OR(AA53+AB53-AC53&lt;O53+P53-Q53,AND(AA53+AB53-AC53=O53+P53-Q53,4&lt;2))),1,0)))</x:f>
        <x:v>99</x:v>
      </x:c>
      <x:c r="S53" s="6" t="n">
        <x:f>IF('Debt strategy'!$C$16&gt;0,0,MIN(O53+P53-Q53,MAX(0,'Debt strategy'!$C$5-SUM(E53,K53,Q53,W53,AC53)-SUM(IF(F53&lt;R53,C53+D53-E53,0),IF(L53&lt;R53,I53+J53-K53,0),IF(X53&lt;R53,U53+V53-W53,0),IF(AD53&lt;R53,AA53+AB53-AC53,0)))))</x:f>
        <x:v>0</x:v>
      </x:c>
      <x:c r="T53" s="6" t="n">
        <x:f>ROUND(MAX(0,O53+P53-Q53-S53),2)</x:f>
        <x:v>0</x:v>
      </x:c>
      <x:c r="U53" s="6" t="n">
        <x:f>Z52</x:f>
        <x:v>0</x:v>
      </x:c>
      <x:c r="V53" s="6" t="n">
        <x:f>ROUND(U53*'Debt strategy'!$D$12/12,2)</x:f>
        <x:v>0</x:v>
      </x:c>
      <x:c r="W53" s="6" t="n">
        <x:f>MIN(U53+V53,'Debt strategy'!$E$12)</x:f>
        <x:v>0</x:v>
      </x:c>
      <x:c r="X53" s="27" t="n">
        <x:f>IF(U53+V53-W53&lt;=0,99,1+SUM(IF(AND(C53+D53-E53&gt;0,OR(C53+D53-E53&lt;U53+V53-W53,AND(C53+D53-E53=U53+V53-W53,0&lt;3))),1,0),IF(AND(I53+J53-K53&gt;0,OR(I53+J53-K53&lt;U53+V53-W53,AND(I53+J53-K53=U53+V53-W53,1&lt;3))),1,0),IF(AND(O53+P53-Q53&gt;0,OR(O53+P53-Q53&lt;U53+V53-W53,AND(O53+P53-Q53=U53+V53-W53,2&lt;3))),1,0),IF(AND(AA53+AB53-AC53&gt;0,OR(AA53+AB53-AC53&lt;U53+V53-W53,AND(AA53+AB53-AC53=U53+V53-W53,4&lt;3))),1,0)))</x:f>
        <x:v>99</x:v>
      </x:c>
      <x:c r="Y53" s="6" t="n">
        <x:f>IF('Debt strategy'!$C$16&gt;0,0,MIN(U53+V53-W53,MAX(0,'Debt strategy'!$C$5-SUM(E53,K53,Q53,W53,AC53)-SUM(IF(F53&lt;X53,C53+D53-E53,0),IF(L53&lt;X53,I53+J53-K53,0),IF(R53&lt;X53,O53+P53-Q53,0),IF(AD53&lt;X53,AA53+AB53-AC53,0)))))</x:f>
        <x:v>0</x:v>
      </x:c>
      <x:c r="Z53" s="6" t="n">
        <x:f>ROUND(MAX(0,U53+V53-W53-Y53),2)</x:f>
        <x:v>0</x:v>
      </x:c>
      <x:c r="AA53" s="6" t="n">
        <x:f>AF52</x:f>
        <x:v>0</x:v>
      </x:c>
      <x:c r="AB53" s="6" t="n">
        <x:f>ROUND(AA53*'Debt strategy'!$D$13/12,2)</x:f>
        <x:v>0</x:v>
      </x:c>
      <x:c r="AC53" s="6" t="n">
        <x:f>MIN(AA53+AB53,'Debt strategy'!$E$13)</x:f>
        <x:v>0</x:v>
      </x:c>
      <x:c r="AD53" s="27" t="n">
        <x:f>IF(AA53+AB53-AC53&lt;=0,99,1+SUM(IF(AND(C53+D53-E53&gt;0,OR(C53+D53-E53&lt;AA53+AB53-AC53,AND(C53+D53-E53=AA53+AB53-AC53,0&lt;4))),1,0),IF(AND(I53+J53-K53&gt;0,OR(I53+J53-K53&lt;AA53+AB53-AC53,AND(I53+J53-K53=AA53+AB53-AC53,1&lt;4))),1,0),IF(AND(O53+P53-Q53&gt;0,OR(O53+P53-Q53&lt;AA53+AB53-AC53,AND(O53+P53-Q53=AA53+AB53-AC53,2&lt;4))),1,0),IF(AND(U53+V53-W53&gt;0,OR(U53+V53-W53&lt;AA53+AB53-AC53,AND(U53+V53-W53=AA53+AB53-AC53,3&lt;4))),1,0)))</x:f>
        <x:v>99</x:v>
      </x:c>
      <x:c r="AE53" s="6" t="n">
        <x:f>IF('Debt strategy'!$C$16&gt;0,0,MIN(AA53+AB53-AC53,MAX(0,'Debt strategy'!$C$5-SUM(E53,K53,Q53,W53,AC53)-SUM(IF(F53&lt;AD53,C53+D53-E53,0),IF(L53&lt;AD53,I53+J53-K53,0),IF(R53&lt;AD53,O53+P53-Q53,0),IF(X53&lt;AD53,U53+V53-W53,0)))))</x:f>
        <x:v>0</x:v>
      </x:c>
      <x:c r="AF53" s="6" t="n">
        <x:f>ROUND(MAX(0,AA53+AB53-AC53-AE53),2)</x:f>
        <x:v>0</x:v>
      </x:c>
      <x:c r="AG53" s="6" t="n">
        <x:f>SUM(H53,N53,T53,Z53,AF53)</x:f>
        <x:v>0</x:v>
      </x:c>
      <x:c r="AH53" s="6" t="n">
        <x:f>SUM(D53,J53,P53,V53,AB53)+AH52</x:f>
        <x:v>1353.9499999999996</x:v>
      </x:c>
      <x:c r="AI53" s="2"/>
    </x:row>
    <x:row r="54" ht="23" customHeight="1">
      <x:c r="B54" s="2" t="n">
        <x:f>46</x:f>
        <x:v>46</x:v>
      </x:c>
      <x:c r="C54" s="6" t="n">
        <x:f>H53</x:f>
        <x:v>0</x:v>
      </x:c>
      <x:c r="D54" s="6" t="n">
        <x:f>ROUND(C54*'Debt strategy'!$D$9/12,2)</x:f>
        <x:v>0</x:v>
      </x:c>
      <x:c r="E54" s="6" t="n">
        <x:f>MIN(C54+D54,'Debt strategy'!$E$9)</x:f>
        <x:v>0</x:v>
      </x:c>
      <x:c r="F54" s="27" t="n">
        <x:f>IF(C54+D54-E54&lt;=0,99,1+SUM(IF(AND(I54+J54-K54&gt;0,OR(I54+J54-K54&lt;C54+D54-E54,AND(I54+J54-K54=C54+D54-E54,1&lt;0))),1,0),IF(AND(O54+P54-Q54&gt;0,OR(O54+P54-Q54&lt;C54+D54-E54,AND(O54+P54-Q54=C54+D54-E54,2&lt;0))),1,0),IF(AND(U54+V54-W54&gt;0,OR(U54+V54-W54&lt;C54+D54-E54,AND(U54+V54-W54=C54+D54-E54,3&lt;0))),1,0),IF(AND(AA54+AB54-AC54&gt;0,OR(AA54+AB54-AC54&lt;C54+D54-E54,AND(AA54+AB54-AC54=C54+D54-E54,4&lt;0))),1,0)))</x:f>
        <x:v>99</x:v>
      </x:c>
      <x:c r="G54" s="6" t="n">
        <x:f>IF('Debt strategy'!$C$16&gt;0,0,MIN(C54+D54-E54,MAX(0,'Debt strategy'!$C$5-SUM(E54,K54,Q54,W54,AC54)-SUM(IF(L54&lt;F54,I54+J54-K54,0),IF(R54&lt;F54,O54+P54-Q54,0),IF(X54&lt;F54,U54+V54-W54,0),IF(AD54&lt;F54,AA54+AB54-AC54,0)))))</x:f>
        <x:v>0</x:v>
      </x:c>
      <x:c r="H54" s="6" t="n">
        <x:f>ROUND(MAX(0,C54+D54-E54-G54),2)</x:f>
        <x:v>0</x:v>
      </x:c>
      <x:c r="I54" s="6" t="n">
        <x:f>N53</x:f>
        <x:v>0</x:v>
      </x:c>
      <x:c r="J54" s="6" t="n">
        <x:f>ROUND(I54*'Debt strategy'!$D$10/12,2)</x:f>
        <x:v>0</x:v>
      </x:c>
      <x:c r="K54" s="6" t="n">
        <x:f>MIN(I54+J54,'Debt strategy'!$E$10)</x:f>
        <x:v>0</x:v>
      </x:c>
      <x:c r="L54" s="27" t="n">
        <x:f>IF(I54+J54-K54&lt;=0,99,1+SUM(IF(AND(C54+D54-E54&gt;0,OR(C54+D54-E54&lt;I54+J54-K54,AND(C54+D54-E54=I54+J54-K54,0&lt;1))),1,0),IF(AND(O54+P54-Q54&gt;0,OR(O54+P54-Q54&lt;I54+J54-K54,AND(O54+P54-Q54=I54+J54-K54,2&lt;1))),1,0),IF(AND(U54+V54-W54&gt;0,OR(U54+V54-W54&lt;I54+J54-K54,AND(U54+V54-W54=I54+J54-K54,3&lt;1))),1,0),IF(AND(AA54+AB54-AC54&gt;0,OR(AA54+AB54-AC54&lt;I54+J54-K54,AND(AA54+AB54-AC54=I54+J54-K54,4&lt;1))),1,0)))</x:f>
        <x:v>99</x:v>
      </x:c>
      <x:c r="M54" s="6" t="n">
        <x:f>IF('Debt strategy'!$C$16&gt;0,0,MIN(I54+J54-K54,MAX(0,'Debt strategy'!$C$5-SUM(E54,K54,Q54,W54,AC54)-SUM(IF(F54&lt;L54,C54+D54-E54,0),IF(R54&lt;L54,O54+P54-Q54,0),IF(X54&lt;L54,U54+V54-W54,0),IF(AD54&lt;L54,AA54+AB54-AC54,0)))))</x:f>
        <x:v>0</x:v>
      </x:c>
      <x:c r="N54" s="6" t="n">
        <x:f>ROUND(MAX(0,I54+J54-K54-M54),2)</x:f>
        <x:v>0</x:v>
      </x:c>
      <x:c r="O54" s="6" t="n">
        <x:f>T53</x:f>
        <x:v>0</x:v>
      </x:c>
      <x:c r="P54" s="6" t="n">
        <x:f>ROUND(O54*'Debt strategy'!$D$11/12,2)</x:f>
        <x:v>0</x:v>
      </x:c>
      <x:c r="Q54" s="6" t="n">
        <x:f>MIN(O54+P54,'Debt strategy'!$E$11)</x:f>
        <x:v>0</x:v>
      </x:c>
      <x:c r="R54" s="27" t="n">
        <x:f>IF(O54+P54-Q54&lt;=0,99,1+SUM(IF(AND(C54+D54-E54&gt;0,OR(C54+D54-E54&lt;O54+P54-Q54,AND(C54+D54-E54=O54+P54-Q54,0&lt;2))),1,0),IF(AND(I54+J54-K54&gt;0,OR(I54+J54-K54&lt;O54+P54-Q54,AND(I54+J54-K54=O54+P54-Q54,1&lt;2))),1,0),IF(AND(U54+V54-W54&gt;0,OR(U54+V54-W54&lt;O54+P54-Q54,AND(U54+V54-W54=O54+P54-Q54,3&lt;2))),1,0),IF(AND(AA54+AB54-AC54&gt;0,OR(AA54+AB54-AC54&lt;O54+P54-Q54,AND(AA54+AB54-AC54=O54+P54-Q54,4&lt;2))),1,0)))</x:f>
        <x:v>99</x:v>
      </x:c>
      <x:c r="S54" s="6" t="n">
        <x:f>IF('Debt strategy'!$C$16&gt;0,0,MIN(O54+P54-Q54,MAX(0,'Debt strategy'!$C$5-SUM(E54,K54,Q54,W54,AC54)-SUM(IF(F54&lt;R54,C54+D54-E54,0),IF(L54&lt;R54,I54+J54-K54,0),IF(X54&lt;R54,U54+V54-W54,0),IF(AD54&lt;R54,AA54+AB54-AC54,0)))))</x:f>
        <x:v>0</x:v>
      </x:c>
      <x:c r="T54" s="6" t="n">
        <x:f>ROUND(MAX(0,O54+P54-Q54-S54),2)</x:f>
        <x:v>0</x:v>
      </x:c>
      <x:c r="U54" s="6" t="n">
        <x:f>Z53</x:f>
        <x:v>0</x:v>
      </x:c>
      <x:c r="V54" s="6" t="n">
        <x:f>ROUND(U54*'Debt strategy'!$D$12/12,2)</x:f>
        <x:v>0</x:v>
      </x:c>
      <x:c r="W54" s="6" t="n">
        <x:f>MIN(U54+V54,'Debt strategy'!$E$12)</x:f>
        <x:v>0</x:v>
      </x:c>
      <x:c r="X54" s="27" t="n">
        <x:f>IF(U54+V54-W54&lt;=0,99,1+SUM(IF(AND(C54+D54-E54&gt;0,OR(C54+D54-E54&lt;U54+V54-W54,AND(C54+D54-E54=U54+V54-W54,0&lt;3))),1,0),IF(AND(I54+J54-K54&gt;0,OR(I54+J54-K54&lt;U54+V54-W54,AND(I54+J54-K54=U54+V54-W54,1&lt;3))),1,0),IF(AND(O54+P54-Q54&gt;0,OR(O54+P54-Q54&lt;U54+V54-W54,AND(O54+P54-Q54=U54+V54-W54,2&lt;3))),1,0),IF(AND(AA54+AB54-AC54&gt;0,OR(AA54+AB54-AC54&lt;U54+V54-W54,AND(AA54+AB54-AC54=U54+V54-W54,4&lt;3))),1,0)))</x:f>
        <x:v>99</x:v>
      </x:c>
      <x:c r="Y54" s="6" t="n">
        <x:f>IF('Debt strategy'!$C$16&gt;0,0,MIN(U54+V54-W54,MAX(0,'Debt strategy'!$C$5-SUM(E54,K54,Q54,W54,AC54)-SUM(IF(F54&lt;X54,C54+D54-E54,0),IF(L54&lt;X54,I54+J54-K54,0),IF(R54&lt;X54,O54+P54-Q54,0),IF(AD54&lt;X54,AA54+AB54-AC54,0)))))</x:f>
        <x:v>0</x:v>
      </x:c>
      <x:c r="Z54" s="6" t="n">
        <x:f>ROUND(MAX(0,U54+V54-W54-Y54),2)</x:f>
        <x:v>0</x:v>
      </x:c>
      <x:c r="AA54" s="6" t="n">
        <x:f>AF53</x:f>
        <x:v>0</x:v>
      </x:c>
      <x:c r="AB54" s="6" t="n">
        <x:f>ROUND(AA54*'Debt strategy'!$D$13/12,2)</x:f>
        <x:v>0</x:v>
      </x:c>
      <x:c r="AC54" s="6" t="n">
        <x:f>MIN(AA54+AB54,'Debt strategy'!$E$13)</x:f>
        <x:v>0</x:v>
      </x:c>
      <x:c r="AD54" s="27" t="n">
        <x:f>IF(AA54+AB54-AC54&lt;=0,99,1+SUM(IF(AND(C54+D54-E54&gt;0,OR(C54+D54-E54&lt;AA54+AB54-AC54,AND(C54+D54-E54=AA54+AB54-AC54,0&lt;4))),1,0),IF(AND(I54+J54-K54&gt;0,OR(I54+J54-K54&lt;AA54+AB54-AC54,AND(I54+J54-K54=AA54+AB54-AC54,1&lt;4))),1,0),IF(AND(O54+P54-Q54&gt;0,OR(O54+P54-Q54&lt;AA54+AB54-AC54,AND(O54+P54-Q54=AA54+AB54-AC54,2&lt;4))),1,0),IF(AND(U54+V54-W54&gt;0,OR(U54+V54-W54&lt;AA54+AB54-AC54,AND(U54+V54-W54=AA54+AB54-AC54,3&lt;4))),1,0)))</x:f>
        <x:v>99</x:v>
      </x:c>
      <x:c r="AE54" s="6" t="n">
        <x:f>IF('Debt strategy'!$C$16&gt;0,0,MIN(AA54+AB54-AC54,MAX(0,'Debt strategy'!$C$5-SUM(E54,K54,Q54,W54,AC54)-SUM(IF(F54&lt;AD54,C54+D54-E54,0),IF(L54&lt;AD54,I54+J54-K54,0),IF(R54&lt;AD54,O54+P54-Q54,0),IF(X54&lt;AD54,U54+V54-W54,0)))))</x:f>
        <x:v>0</x:v>
      </x:c>
      <x:c r="AF54" s="6" t="n">
        <x:f>ROUND(MAX(0,AA54+AB54-AC54-AE54),2)</x:f>
        <x:v>0</x:v>
      </x:c>
      <x:c r="AG54" s="6" t="n">
        <x:f>SUM(H54,N54,T54,Z54,AF54)</x:f>
        <x:v>0</x:v>
      </x:c>
      <x:c r="AH54" s="6" t="n">
        <x:f>SUM(D54,J54,P54,V54,AB54)+AH53</x:f>
        <x:v>1353.9499999999996</x:v>
      </x:c>
      <x:c r="AI54" s="2"/>
    </x:row>
    <x:row r="55" ht="23" customHeight="1">
      <x:c r="B55" s="2" t="n">
        <x:f>47</x:f>
        <x:v>47</x:v>
      </x:c>
      <x:c r="C55" s="6" t="n">
        <x:f>H54</x:f>
        <x:v>0</x:v>
      </x:c>
      <x:c r="D55" s="6" t="n">
        <x:f>ROUND(C55*'Debt strategy'!$D$9/12,2)</x:f>
        <x:v>0</x:v>
      </x:c>
      <x:c r="E55" s="6" t="n">
        <x:f>MIN(C55+D55,'Debt strategy'!$E$9)</x:f>
        <x:v>0</x:v>
      </x:c>
      <x:c r="F55" s="27" t="n">
        <x:f>IF(C55+D55-E55&lt;=0,99,1+SUM(IF(AND(I55+J55-K55&gt;0,OR(I55+J55-K55&lt;C55+D55-E55,AND(I55+J55-K55=C55+D55-E55,1&lt;0))),1,0),IF(AND(O55+P55-Q55&gt;0,OR(O55+P55-Q55&lt;C55+D55-E55,AND(O55+P55-Q55=C55+D55-E55,2&lt;0))),1,0),IF(AND(U55+V55-W55&gt;0,OR(U55+V55-W55&lt;C55+D55-E55,AND(U55+V55-W55=C55+D55-E55,3&lt;0))),1,0),IF(AND(AA55+AB55-AC55&gt;0,OR(AA55+AB55-AC55&lt;C55+D55-E55,AND(AA55+AB55-AC55=C55+D55-E55,4&lt;0))),1,0)))</x:f>
        <x:v>99</x:v>
      </x:c>
      <x:c r="G55" s="6" t="n">
        <x:f>IF('Debt strategy'!$C$16&gt;0,0,MIN(C55+D55-E55,MAX(0,'Debt strategy'!$C$5-SUM(E55,K55,Q55,W55,AC55)-SUM(IF(L55&lt;F55,I55+J55-K55,0),IF(R55&lt;F55,O55+P55-Q55,0),IF(X55&lt;F55,U55+V55-W55,0),IF(AD55&lt;F55,AA55+AB55-AC55,0)))))</x:f>
        <x:v>0</x:v>
      </x:c>
      <x:c r="H55" s="6" t="n">
        <x:f>ROUND(MAX(0,C55+D55-E55-G55),2)</x:f>
        <x:v>0</x:v>
      </x:c>
      <x:c r="I55" s="6" t="n">
        <x:f>N54</x:f>
        <x:v>0</x:v>
      </x:c>
      <x:c r="J55" s="6" t="n">
        <x:f>ROUND(I55*'Debt strategy'!$D$10/12,2)</x:f>
        <x:v>0</x:v>
      </x:c>
      <x:c r="K55" s="6" t="n">
        <x:f>MIN(I55+J55,'Debt strategy'!$E$10)</x:f>
        <x:v>0</x:v>
      </x:c>
      <x:c r="L55" s="27" t="n">
        <x:f>IF(I55+J55-K55&lt;=0,99,1+SUM(IF(AND(C55+D55-E55&gt;0,OR(C55+D55-E55&lt;I55+J55-K55,AND(C55+D55-E55=I55+J55-K55,0&lt;1))),1,0),IF(AND(O55+P55-Q55&gt;0,OR(O55+P55-Q55&lt;I55+J55-K55,AND(O55+P55-Q55=I55+J55-K55,2&lt;1))),1,0),IF(AND(U55+V55-W55&gt;0,OR(U55+V55-W55&lt;I55+J55-K55,AND(U55+V55-W55=I55+J55-K55,3&lt;1))),1,0),IF(AND(AA55+AB55-AC55&gt;0,OR(AA55+AB55-AC55&lt;I55+J55-K55,AND(AA55+AB55-AC55=I55+J55-K55,4&lt;1))),1,0)))</x:f>
        <x:v>99</x:v>
      </x:c>
      <x:c r="M55" s="6" t="n">
        <x:f>IF('Debt strategy'!$C$16&gt;0,0,MIN(I55+J55-K55,MAX(0,'Debt strategy'!$C$5-SUM(E55,K55,Q55,W55,AC55)-SUM(IF(F55&lt;L55,C55+D55-E55,0),IF(R55&lt;L55,O55+P55-Q55,0),IF(X55&lt;L55,U55+V55-W55,0),IF(AD55&lt;L55,AA55+AB55-AC55,0)))))</x:f>
        <x:v>0</x:v>
      </x:c>
      <x:c r="N55" s="6" t="n">
        <x:f>ROUND(MAX(0,I55+J55-K55-M55),2)</x:f>
        <x:v>0</x:v>
      </x:c>
      <x:c r="O55" s="6" t="n">
        <x:f>T54</x:f>
        <x:v>0</x:v>
      </x:c>
      <x:c r="P55" s="6" t="n">
        <x:f>ROUND(O55*'Debt strategy'!$D$11/12,2)</x:f>
        <x:v>0</x:v>
      </x:c>
      <x:c r="Q55" s="6" t="n">
        <x:f>MIN(O55+P55,'Debt strategy'!$E$11)</x:f>
        <x:v>0</x:v>
      </x:c>
      <x:c r="R55" s="27" t="n">
        <x:f>IF(O55+P55-Q55&lt;=0,99,1+SUM(IF(AND(C55+D55-E55&gt;0,OR(C55+D55-E55&lt;O55+P55-Q55,AND(C55+D55-E55=O55+P55-Q55,0&lt;2))),1,0),IF(AND(I55+J55-K55&gt;0,OR(I55+J55-K55&lt;O55+P55-Q55,AND(I55+J55-K55=O55+P55-Q55,1&lt;2))),1,0),IF(AND(U55+V55-W55&gt;0,OR(U55+V55-W55&lt;O55+P55-Q55,AND(U55+V55-W55=O55+P55-Q55,3&lt;2))),1,0),IF(AND(AA55+AB55-AC55&gt;0,OR(AA55+AB55-AC55&lt;O55+P55-Q55,AND(AA55+AB55-AC55=O55+P55-Q55,4&lt;2))),1,0)))</x:f>
        <x:v>99</x:v>
      </x:c>
      <x:c r="S55" s="6" t="n">
        <x:f>IF('Debt strategy'!$C$16&gt;0,0,MIN(O55+P55-Q55,MAX(0,'Debt strategy'!$C$5-SUM(E55,K55,Q55,W55,AC55)-SUM(IF(F55&lt;R55,C55+D55-E55,0),IF(L55&lt;R55,I55+J55-K55,0),IF(X55&lt;R55,U55+V55-W55,0),IF(AD55&lt;R55,AA55+AB55-AC55,0)))))</x:f>
        <x:v>0</x:v>
      </x:c>
      <x:c r="T55" s="6" t="n">
        <x:f>ROUND(MAX(0,O55+P55-Q55-S55),2)</x:f>
        <x:v>0</x:v>
      </x:c>
      <x:c r="U55" s="6" t="n">
        <x:f>Z54</x:f>
        <x:v>0</x:v>
      </x:c>
      <x:c r="V55" s="6" t="n">
        <x:f>ROUND(U55*'Debt strategy'!$D$12/12,2)</x:f>
        <x:v>0</x:v>
      </x:c>
      <x:c r="W55" s="6" t="n">
        <x:f>MIN(U55+V55,'Debt strategy'!$E$12)</x:f>
        <x:v>0</x:v>
      </x:c>
      <x:c r="X55" s="27" t="n">
        <x:f>IF(U55+V55-W55&lt;=0,99,1+SUM(IF(AND(C55+D55-E55&gt;0,OR(C55+D55-E55&lt;U55+V55-W55,AND(C55+D55-E55=U55+V55-W55,0&lt;3))),1,0),IF(AND(I55+J55-K55&gt;0,OR(I55+J55-K55&lt;U55+V55-W55,AND(I55+J55-K55=U55+V55-W55,1&lt;3))),1,0),IF(AND(O55+P55-Q55&gt;0,OR(O55+P55-Q55&lt;U55+V55-W55,AND(O55+P55-Q55=U55+V55-W55,2&lt;3))),1,0),IF(AND(AA55+AB55-AC55&gt;0,OR(AA55+AB55-AC55&lt;U55+V55-W55,AND(AA55+AB55-AC55=U55+V55-W55,4&lt;3))),1,0)))</x:f>
        <x:v>99</x:v>
      </x:c>
      <x:c r="Y55" s="6" t="n">
        <x:f>IF('Debt strategy'!$C$16&gt;0,0,MIN(U55+V55-W55,MAX(0,'Debt strategy'!$C$5-SUM(E55,K55,Q55,W55,AC55)-SUM(IF(F55&lt;X55,C55+D55-E55,0),IF(L55&lt;X55,I55+J55-K55,0),IF(R55&lt;X55,O55+P55-Q55,0),IF(AD55&lt;X55,AA55+AB55-AC55,0)))))</x:f>
        <x:v>0</x:v>
      </x:c>
      <x:c r="Z55" s="6" t="n">
        <x:f>ROUND(MAX(0,U55+V55-W55-Y55),2)</x:f>
        <x:v>0</x:v>
      </x:c>
      <x:c r="AA55" s="6" t="n">
        <x:f>AF54</x:f>
        <x:v>0</x:v>
      </x:c>
      <x:c r="AB55" s="6" t="n">
        <x:f>ROUND(AA55*'Debt strategy'!$D$13/12,2)</x:f>
        <x:v>0</x:v>
      </x:c>
      <x:c r="AC55" s="6" t="n">
        <x:f>MIN(AA55+AB55,'Debt strategy'!$E$13)</x:f>
        <x:v>0</x:v>
      </x:c>
      <x:c r="AD55" s="27" t="n">
        <x:f>IF(AA55+AB55-AC55&lt;=0,99,1+SUM(IF(AND(C55+D55-E55&gt;0,OR(C55+D55-E55&lt;AA55+AB55-AC55,AND(C55+D55-E55=AA55+AB55-AC55,0&lt;4))),1,0),IF(AND(I55+J55-K55&gt;0,OR(I55+J55-K55&lt;AA55+AB55-AC55,AND(I55+J55-K55=AA55+AB55-AC55,1&lt;4))),1,0),IF(AND(O55+P55-Q55&gt;0,OR(O55+P55-Q55&lt;AA55+AB55-AC55,AND(O55+P55-Q55=AA55+AB55-AC55,2&lt;4))),1,0),IF(AND(U55+V55-W55&gt;0,OR(U55+V55-W55&lt;AA55+AB55-AC55,AND(U55+V55-W55=AA55+AB55-AC55,3&lt;4))),1,0)))</x:f>
        <x:v>99</x:v>
      </x:c>
      <x:c r="AE55" s="6" t="n">
        <x:f>IF('Debt strategy'!$C$16&gt;0,0,MIN(AA55+AB55-AC55,MAX(0,'Debt strategy'!$C$5-SUM(E55,K55,Q55,W55,AC55)-SUM(IF(F55&lt;AD55,C55+D55-E55,0),IF(L55&lt;AD55,I55+J55-K55,0),IF(R55&lt;AD55,O55+P55-Q55,0),IF(X55&lt;AD55,U55+V55-W55,0)))))</x:f>
        <x:v>0</x:v>
      </x:c>
      <x:c r="AF55" s="6" t="n">
        <x:f>ROUND(MAX(0,AA55+AB55-AC55-AE55),2)</x:f>
        <x:v>0</x:v>
      </x:c>
      <x:c r="AG55" s="6" t="n">
        <x:f>SUM(H55,N55,T55,Z55,AF55)</x:f>
        <x:v>0</x:v>
      </x:c>
      <x:c r="AH55" s="6" t="n">
        <x:f>SUM(D55,J55,P55,V55,AB55)+AH54</x:f>
        <x:v>1353.9499999999996</x:v>
      </x:c>
      <x:c r="AI55" s="2"/>
    </x:row>
    <x:row r="56" ht="23" customHeight="1">
      <x:c r="B56" s="2" t="n">
        <x:f>48</x:f>
        <x:v>48</x:v>
      </x:c>
      <x:c r="C56" s="6" t="n">
        <x:f>H55</x:f>
        <x:v>0</x:v>
      </x:c>
      <x:c r="D56" s="6" t="n">
        <x:f>ROUND(C56*'Debt strategy'!$D$9/12,2)</x:f>
        <x:v>0</x:v>
      </x:c>
      <x:c r="E56" s="6" t="n">
        <x:f>MIN(C56+D56,'Debt strategy'!$E$9)</x:f>
        <x:v>0</x:v>
      </x:c>
      <x:c r="F56" s="27" t="n">
        <x:f>IF(C56+D56-E56&lt;=0,99,1+SUM(IF(AND(I56+J56-K56&gt;0,OR(I56+J56-K56&lt;C56+D56-E56,AND(I56+J56-K56=C56+D56-E56,1&lt;0))),1,0),IF(AND(O56+P56-Q56&gt;0,OR(O56+P56-Q56&lt;C56+D56-E56,AND(O56+P56-Q56=C56+D56-E56,2&lt;0))),1,0),IF(AND(U56+V56-W56&gt;0,OR(U56+V56-W56&lt;C56+D56-E56,AND(U56+V56-W56=C56+D56-E56,3&lt;0))),1,0),IF(AND(AA56+AB56-AC56&gt;0,OR(AA56+AB56-AC56&lt;C56+D56-E56,AND(AA56+AB56-AC56=C56+D56-E56,4&lt;0))),1,0)))</x:f>
        <x:v>99</x:v>
      </x:c>
      <x:c r="G56" s="6" t="n">
        <x:f>IF('Debt strategy'!$C$16&gt;0,0,MIN(C56+D56-E56,MAX(0,'Debt strategy'!$C$5-SUM(E56,K56,Q56,W56,AC56)-SUM(IF(L56&lt;F56,I56+J56-K56,0),IF(R56&lt;F56,O56+P56-Q56,0),IF(X56&lt;F56,U56+V56-W56,0),IF(AD56&lt;F56,AA56+AB56-AC56,0)))))</x:f>
        <x:v>0</x:v>
      </x:c>
      <x:c r="H56" s="6" t="n">
        <x:f>ROUND(MAX(0,C56+D56-E56-G56),2)</x:f>
        <x:v>0</x:v>
      </x:c>
      <x:c r="I56" s="6" t="n">
        <x:f>N55</x:f>
        <x:v>0</x:v>
      </x:c>
      <x:c r="J56" s="6" t="n">
        <x:f>ROUND(I56*'Debt strategy'!$D$10/12,2)</x:f>
        <x:v>0</x:v>
      </x:c>
      <x:c r="K56" s="6" t="n">
        <x:f>MIN(I56+J56,'Debt strategy'!$E$10)</x:f>
        <x:v>0</x:v>
      </x:c>
      <x:c r="L56" s="27" t="n">
        <x:f>IF(I56+J56-K56&lt;=0,99,1+SUM(IF(AND(C56+D56-E56&gt;0,OR(C56+D56-E56&lt;I56+J56-K56,AND(C56+D56-E56=I56+J56-K56,0&lt;1))),1,0),IF(AND(O56+P56-Q56&gt;0,OR(O56+P56-Q56&lt;I56+J56-K56,AND(O56+P56-Q56=I56+J56-K56,2&lt;1))),1,0),IF(AND(U56+V56-W56&gt;0,OR(U56+V56-W56&lt;I56+J56-K56,AND(U56+V56-W56=I56+J56-K56,3&lt;1))),1,0),IF(AND(AA56+AB56-AC56&gt;0,OR(AA56+AB56-AC56&lt;I56+J56-K56,AND(AA56+AB56-AC56=I56+J56-K56,4&lt;1))),1,0)))</x:f>
        <x:v>99</x:v>
      </x:c>
      <x:c r="M56" s="6" t="n">
        <x:f>IF('Debt strategy'!$C$16&gt;0,0,MIN(I56+J56-K56,MAX(0,'Debt strategy'!$C$5-SUM(E56,K56,Q56,W56,AC56)-SUM(IF(F56&lt;L56,C56+D56-E56,0),IF(R56&lt;L56,O56+P56-Q56,0),IF(X56&lt;L56,U56+V56-W56,0),IF(AD56&lt;L56,AA56+AB56-AC56,0)))))</x:f>
        <x:v>0</x:v>
      </x:c>
      <x:c r="N56" s="6" t="n">
        <x:f>ROUND(MAX(0,I56+J56-K56-M56),2)</x:f>
        <x:v>0</x:v>
      </x:c>
      <x:c r="O56" s="6" t="n">
        <x:f>T55</x:f>
        <x:v>0</x:v>
      </x:c>
      <x:c r="P56" s="6" t="n">
        <x:f>ROUND(O56*'Debt strategy'!$D$11/12,2)</x:f>
        <x:v>0</x:v>
      </x:c>
      <x:c r="Q56" s="6" t="n">
        <x:f>MIN(O56+P56,'Debt strategy'!$E$11)</x:f>
        <x:v>0</x:v>
      </x:c>
      <x:c r="R56" s="27" t="n">
        <x:f>IF(O56+P56-Q56&lt;=0,99,1+SUM(IF(AND(C56+D56-E56&gt;0,OR(C56+D56-E56&lt;O56+P56-Q56,AND(C56+D56-E56=O56+P56-Q56,0&lt;2))),1,0),IF(AND(I56+J56-K56&gt;0,OR(I56+J56-K56&lt;O56+P56-Q56,AND(I56+J56-K56=O56+P56-Q56,1&lt;2))),1,0),IF(AND(U56+V56-W56&gt;0,OR(U56+V56-W56&lt;O56+P56-Q56,AND(U56+V56-W56=O56+P56-Q56,3&lt;2))),1,0),IF(AND(AA56+AB56-AC56&gt;0,OR(AA56+AB56-AC56&lt;O56+P56-Q56,AND(AA56+AB56-AC56=O56+P56-Q56,4&lt;2))),1,0)))</x:f>
        <x:v>99</x:v>
      </x:c>
      <x:c r="S56" s="6" t="n">
        <x:f>IF('Debt strategy'!$C$16&gt;0,0,MIN(O56+P56-Q56,MAX(0,'Debt strategy'!$C$5-SUM(E56,K56,Q56,W56,AC56)-SUM(IF(F56&lt;R56,C56+D56-E56,0),IF(L56&lt;R56,I56+J56-K56,0),IF(X56&lt;R56,U56+V56-W56,0),IF(AD56&lt;R56,AA56+AB56-AC56,0)))))</x:f>
        <x:v>0</x:v>
      </x:c>
      <x:c r="T56" s="6" t="n">
        <x:f>ROUND(MAX(0,O56+P56-Q56-S56),2)</x:f>
        <x:v>0</x:v>
      </x:c>
      <x:c r="U56" s="6" t="n">
        <x:f>Z55</x:f>
        <x:v>0</x:v>
      </x:c>
      <x:c r="V56" s="6" t="n">
        <x:f>ROUND(U56*'Debt strategy'!$D$12/12,2)</x:f>
        <x:v>0</x:v>
      </x:c>
      <x:c r="W56" s="6" t="n">
        <x:f>MIN(U56+V56,'Debt strategy'!$E$12)</x:f>
        <x:v>0</x:v>
      </x:c>
      <x:c r="X56" s="27" t="n">
        <x:f>IF(U56+V56-W56&lt;=0,99,1+SUM(IF(AND(C56+D56-E56&gt;0,OR(C56+D56-E56&lt;U56+V56-W56,AND(C56+D56-E56=U56+V56-W56,0&lt;3))),1,0),IF(AND(I56+J56-K56&gt;0,OR(I56+J56-K56&lt;U56+V56-W56,AND(I56+J56-K56=U56+V56-W56,1&lt;3))),1,0),IF(AND(O56+P56-Q56&gt;0,OR(O56+P56-Q56&lt;U56+V56-W56,AND(O56+P56-Q56=U56+V56-W56,2&lt;3))),1,0),IF(AND(AA56+AB56-AC56&gt;0,OR(AA56+AB56-AC56&lt;U56+V56-W56,AND(AA56+AB56-AC56=U56+V56-W56,4&lt;3))),1,0)))</x:f>
        <x:v>99</x:v>
      </x:c>
      <x:c r="Y56" s="6" t="n">
        <x:f>IF('Debt strategy'!$C$16&gt;0,0,MIN(U56+V56-W56,MAX(0,'Debt strategy'!$C$5-SUM(E56,K56,Q56,W56,AC56)-SUM(IF(F56&lt;X56,C56+D56-E56,0),IF(L56&lt;X56,I56+J56-K56,0),IF(R56&lt;X56,O56+P56-Q56,0),IF(AD56&lt;X56,AA56+AB56-AC56,0)))))</x:f>
        <x:v>0</x:v>
      </x:c>
      <x:c r="Z56" s="6" t="n">
        <x:f>ROUND(MAX(0,U56+V56-W56-Y56),2)</x:f>
        <x:v>0</x:v>
      </x:c>
      <x:c r="AA56" s="6" t="n">
        <x:f>AF55</x:f>
        <x:v>0</x:v>
      </x:c>
      <x:c r="AB56" s="6" t="n">
        <x:f>ROUND(AA56*'Debt strategy'!$D$13/12,2)</x:f>
        <x:v>0</x:v>
      </x:c>
      <x:c r="AC56" s="6" t="n">
        <x:f>MIN(AA56+AB56,'Debt strategy'!$E$13)</x:f>
        <x:v>0</x:v>
      </x:c>
      <x:c r="AD56" s="27" t="n">
        <x:f>IF(AA56+AB56-AC56&lt;=0,99,1+SUM(IF(AND(C56+D56-E56&gt;0,OR(C56+D56-E56&lt;AA56+AB56-AC56,AND(C56+D56-E56=AA56+AB56-AC56,0&lt;4))),1,0),IF(AND(I56+J56-K56&gt;0,OR(I56+J56-K56&lt;AA56+AB56-AC56,AND(I56+J56-K56=AA56+AB56-AC56,1&lt;4))),1,0),IF(AND(O56+P56-Q56&gt;0,OR(O56+P56-Q56&lt;AA56+AB56-AC56,AND(O56+P56-Q56=AA56+AB56-AC56,2&lt;4))),1,0),IF(AND(U56+V56-W56&gt;0,OR(U56+V56-W56&lt;AA56+AB56-AC56,AND(U56+V56-W56=AA56+AB56-AC56,3&lt;4))),1,0)))</x:f>
        <x:v>99</x:v>
      </x:c>
      <x:c r="AE56" s="6" t="n">
        <x:f>IF('Debt strategy'!$C$16&gt;0,0,MIN(AA56+AB56-AC56,MAX(0,'Debt strategy'!$C$5-SUM(E56,K56,Q56,W56,AC56)-SUM(IF(F56&lt;AD56,C56+D56-E56,0),IF(L56&lt;AD56,I56+J56-K56,0),IF(R56&lt;AD56,O56+P56-Q56,0),IF(X56&lt;AD56,U56+V56-W56,0)))))</x:f>
        <x:v>0</x:v>
      </x:c>
      <x:c r="AF56" s="6" t="n">
        <x:f>ROUND(MAX(0,AA56+AB56-AC56-AE56),2)</x:f>
        <x:v>0</x:v>
      </x:c>
      <x:c r="AG56" s="6" t="n">
        <x:f>SUM(H56,N56,T56,Z56,AF56)</x:f>
        <x:v>0</x:v>
      </x:c>
      <x:c r="AH56" s="6" t="n">
        <x:f>SUM(D56,J56,P56,V56,AB56)+AH55</x:f>
        <x:v>1353.9499999999996</x:v>
      </x:c>
      <x:c r="AI56" s="2"/>
    </x:row>
    <x:row r="57" ht="23" customHeight="1">
      <x:c r="B57" s="2" t="n">
        <x:f>49</x:f>
        <x:v>49</x:v>
      </x:c>
      <x:c r="C57" s="6" t="n">
        <x:f>H56</x:f>
        <x:v>0</x:v>
      </x:c>
      <x:c r="D57" s="6" t="n">
        <x:f>ROUND(C57*'Debt strategy'!$D$9/12,2)</x:f>
        <x:v>0</x:v>
      </x:c>
      <x:c r="E57" s="6" t="n">
        <x:f>MIN(C57+D57,'Debt strategy'!$E$9)</x:f>
        <x:v>0</x:v>
      </x:c>
      <x:c r="F57" s="27" t="n">
        <x:f>IF(C57+D57-E57&lt;=0,99,1+SUM(IF(AND(I57+J57-K57&gt;0,OR(I57+J57-K57&lt;C57+D57-E57,AND(I57+J57-K57=C57+D57-E57,1&lt;0))),1,0),IF(AND(O57+P57-Q57&gt;0,OR(O57+P57-Q57&lt;C57+D57-E57,AND(O57+P57-Q57=C57+D57-E57,2&lt;0))),1,0),IF(AND(U57+V57-W57&gt;0,OR(U57+V57-W57&lt;C57+D57-E57,AND(U57+V57-W57=C57+D57-E57,3&lt;0))),1,0),IF(AND(AA57+AB57-AC57&gt;0,OR(AA57+AB57-AC57&lt;C57+D57-E57,AND(AA57+AB57-AC57=C57+D57-E57,4&lt;0))),1,0)))</x:f>
        <x:v>99</x:v>
      </x:c>
      <x:c r="G57" s="6" t="n">
        <x:f>IF('Debt strategy'!$C$16&gt;0,0,MIN(C57+D57-E57,MAX(0,'Debt strategy'!$C$5-SUM(E57,K57,Q57,W57,AC57)-SUM(IF(L57&lt;F57,I57+J57-K57,0),IF(R57&lt;F57,O57+P57-Q57,0),IF(X57&lt;F57,U57+V57-W57,0),IF(AD57&lt;F57,AA57+AB57-AC57,0)))))</x:f>
        <x:v>0</x:v>
      </x:c>
      <x:c r="H57" s="6" t="n">
        <x:f>ROUND(MAX(0,C57+D57-E57-G57),2)</x:f>
        <x:v>0</x:v>
      </x:c>
      <x:c r="I57" s="6" t="n">
        <x:f>N56</x:f>
        <x:v>0</x:v>
      </x:c>
      <x:c r="J57" s="6" t="n">
        <x:f>ROUND(I57*'Debt strategy'!$D$10/12,2)</x:f>
        <x:v>0</x:v>
      </x:c>
      <x:c r="K57" s="6" t="n">
        <x:f>MIN(I57+J57,'Debt strategy'!$E$10)</x:f>
        <x:v>0</x:v>
      </x:c>
      <x:c r="L57" s="27" t="n">
        <x:f>IF(I57+J57-K57&lt;=0,99,1+SUM(IF(AND(C57+D57-E57&gt;0,OR(C57+D57-E57&lt;I57+J57-K57,AND(C57+D57-E57=I57+J57-K57,0&lt;1))),1,0),IF(AND(O57+P57-Q57&gt;0,OR(O57+P57-Q57&lt;I57+J57-K57,AND(O57+P57-Q57=I57+J57-K57,2&lt;1))),1,0),IF(AND(U57+V57-W57&gt;0,OR(U57+V57-W57&lt;I57+J57-K57,AND(U57+V57-W57=I57+J57-K57,3&lt;1))),1,0),IF(AND(AA57+AB57-AC57&gt;0,OR(AA57+AB57-AC57&lt;I57+J57-K57,AND(AA57+AB57-AC57=I57+J57-K57,4&lt;1))),1,0)))</x:f>
        <x:v>99</x:v>
      </x:c>
      <x:c r="M57" s="6" t="n">
        <x:f>IF('Debt strategy'!$C$16&gt;0,0,MIN(I57+J57-K57,MAX(0,'Debt strategy'!$C$5-SUM(E57,K57,Q57,W57,AC57)-SUM(IF(F57&lt;L57,C57+D57-E57,0),IF(R57&lt;L57,O57+P57-Q57,0),IF(X57&lt;L57,U57+V57-W57,0),IF(AD57&lt;L57,AA57+AB57-AC57,0)))))</x:f>
        <x:v>0</x:v>
      </x:c>
      <x:c r="N57" s="6" t="n">
        <x:f>ROUND(MAX(0,I57+J57-K57-M57),2)</x:f>
        <x:v>0</x:v>
      </x:c>
      <x:c r="O57" s="6" t="n">
        <x:f>T56</x:f>
        <x:v>0</x:v>
      </x:c>
      <x:c r="P57" s="6" t="n">
        <x:f>ROUND(O57*'Debt strategy'!$D$11/12,2)</x:f>
        <x:v>0</x:v>
      </x:c>
      <x:c r="Q57" s="6" t="n">
        <x:f>MIN(O57+P57,'Debt strategy'!$E$11)</x:f>
        <x:v>0</x:v>
      </x:c>
      <x:c r="R57" s="27" t="n">
        <x:f>IF(O57+P57-Q57&lt;=0,99,1+SUM(IF(AND(C57+D57-E57&gt;0,OR(C57+D57-E57&lt;O57+P57-Q57,AND(C57+D57-E57=O57+P57-Q57,0&lt;2))),1,0),IF(AND(I57+J57-K57&gt;0,OR(I57+J57-K57&lt;O57+P57-Q57,AND(I57+J57-K57=O57+P57-Q57,1&lt;2))),1,0),IF(AND(U57+V57-W57&gt;0,OR(U57+V57-W57&lt;O57+P57-Q57,AND(U57+V57-W57=O57+P57-Q57,3&lt;2))),1,0),IF(AND(AA57+AB57-AC57&gt;0,OR(AA57+AB57-AC57&lt;O57+P57-Q57,AND(AA57+AB57-AC57=O57+P57-Q57,4&lt;2))),1,0)))</x:f>
        <x:v>99</x:v>
      </x:c>
      <x:c r="S57" s="6" t="n">
        <x:f>IF('Debt strategy'!$C$16&gt;0,0,MIN(O57+P57-Q57,MAX(0,'Debt strategy'!$C$5-SUM(E57,K57,Q57,W57,AC57)-SUM(IF(F57&lt;R57,C57+D57-E57,0),IF(L57&lt;R57,I57+J57-K57,0),IF(X57&lt;R57,U57+V57-W57,0),IF(AD57&lt;R57,AA57+AB57-AC57,0)))))</x:f>
        <x:v>0</x:v>
      </x:c>
      <x:c r="T57" s="6" t="n">
        <x:f>ROUND(MAX(0,O57+P57-Q57-S57),2)</x:f>
        <x:v>0</x:v>
      </x:c>
      <x:c r="U57" s="6" t="n">
        <x:f>Z56</x:f>
        <x:v>0</x:v>
      </x:c>
      <x:c r="V57" s="6" t="n">
        <x:f>ROUND(U57*'Debt strategy'!$D$12/12,2)</x:f>
        <x:v>0</x:v>
      </x:c>
      <x:c r="W57" s="6" t="n">
        <x:f>MIN(U57+V57,'Debt strategy'!$E$12)</x:f>
        <x:v>0</x:v>
      </x:c>
      <x:c r="X57" s="27" t="n">
        <x:f>IF(U57+V57-W57&lt;=0,99,1+SUM(IF(AND(C57+D57-E57&gt;0,OR(C57+D57-E57&lt;U57+V57-W57,AND(C57+D57-E57=U57+V57-W57,0&lt;3))),1,0),IF(AND(I57+J57-K57&gt;0,OR(I57+J57-K57&lt;U57+V57-W57,AND(I57+J57-K57=U57+V57-W57,1&lt;3))),1,0),IF(AND(O57+P57-Q57&gt;0,OR(O57+P57-Q57&lt;U57+V57-W57,AND(O57+P57-Q57=U57+V57-W57,2&lt;3))),1,0),IF(AND(AA57+AB57-AC57&gt;0,OR(AA57+AB57-AC57&lt;U57+V57-W57,AND(AA57+AB57-AC57=U57+V57-W57,4&lt;3))),1,0)))</x:f>
        <x:v>99</x:v>
      </x:c>
      <x:c r="Y57" s="6" t="n">
        <x:f>IF('Debt strategy'!$C$16&gt;0,0,MIN(U57+V57-W57,MAX(0,'Debt strategy'!$C$5-SUM(E57,K57,Q57,W57,AC57)-SUM(IF(F57&lt;X57,C57+D57-E57,0),IF(L57&lt;X57,I57+J57-K57,0),IF(R57&lt;X57,O57+P57-Q57,0),IF(AD57&lt;X57,AA57+AB57-AC57,0)))))</x:f>
        <x:v>0</x:v>
      </x:c>
      <x:c r="Z57" s="6" t="n">
        <x:f>ROUND(MAX(0,U57+V57-W57-Y57),2)</x:f>
        <x:v>0</x:v>
      </x:c>
      <x:c r="AA57" s="6" t="n">
        <x:f>AF56</x:f>
        <x:v>0</x:v>
      </x:c>
      <x:c r="AB57" s="6" t="n">
        <x:f>ROUND(AA57*'Debt strategy'!$D$13/12,2)</x:f>
        <x:v>0</x:v>
      </x:c>
      <x:c r="AC57" s="6" t="n">
        <x:f>MIN(AA57+AB57,'Debt strategy'!$E$13)</x:f>
        <x:v>0</x:v>
      </x:c>
      <x:c r="AD57" s="27" t="n">
        <x:f>IF(AA57+AB57-AC57&lt;=0,99,1+SUM(IF(AND(C57+D57-E57&gt;0,OR(C57+D57-E57&lt;AA57+AB57-AC57,AND(C57+D57-E57=AA57+AB57-AC57,0&lt;4))),1,0),IF(AND(I57+J57-K57&gt;0,OR(I57+J57-K57&lt;AA57+AB57-AC57,AND(I57+J57-K57=AA57+AB57-AC57,1&lt;4))),1,0),IF(AND(O57+P57-Q57&gt;0,OR(O57+P57-Q57&lt;AA57+AB57-AC57,AND(O57+P57-Q57=AA57+AB57-AC57,2&lt;4))),1,0),IF(AND(U57+V57-W57&gt;0,OR(U57+V57-W57&lt;AA57+AB57-AC57,AND(U57+V57-W57=AA57+AB57-AC57,3&lt;4))),1,0)))</x:f>
        <x:v>99</x:v>
      </x:c>
      <x:c r="AE57" s="6" t="n">
        <x:f>IF('Debt strategy'!$C$16&gt;0,0,MIN(AA57+AB57-AC57,MAX(0,'Debt strategy'!$C$5-SUM(E57,K57,Q57,W57,AC57)-SUM(IF(F57&lt;AD57,C57+D57-E57,0),IF(L57&lt;AD57,I57+J57-K57,0),IF(R57&lt;AD57,O57+P57-Q57,0),IF(X57&lt;AD57,U57+V57-W57,0)))))</x:f>
        <x:v>0</x:v>
      </x:c>
      <x:c r="AF57" s="6" t="n">
        <x:f>ROUND(MAX(0,AA57+AB57-AC57-AE57),2)</x:f>
        <x:v>0</x:v>
      </x:c>
      <x:c r="AG57" s="6" t="n">
        <x:f>SUM(H57,N57,T57,Z57,AF57)</x:f>
        <x:v>0</x:v>
      </x:c>
      <x:c r="AH57" s="6" t="n">
        <x:f>SUM(D57,J57,P57,V57,AB57)+AH56</x:f>
        <x:v>1353.9499999999996</x:v>
      </x:c>
      <x:c r="AI57" s="2"/>
    </x:row>
    <x:row r="58" ht="23" customHeight="1">
      <x:c r="B58" s="2" t="n">
        <x:f>50</x:f>
        <x:v>50</x:v>
      </x:c>
      <x:c r="C58" s="6" t="n">
        <x:f>H57</x:f>
        <x:v>0</x:v>
      </x:c>
      <x:c r="D58" s="6" t="n">
        <x:f>ROUND(C58*'Debt strategy'!$D$9/12,2)</x:f>
        <x:v>0</x:v>
      </x:c>
      <x:c r="E58" s="6" t="n">
        <x:f>MIN(C58+D58,'Debt strategy'!$E$9)</x:f>
        <x:v>0</x:v>
      </x:c>
      <x:c r="F58" s="27" t="n">
        <x:f>IF(C58+D58-E58&lt;=0,99,1+SUM(IF(AND(I58+J58-K58&gt;0,OR(I58+J58-K58&lt;C58+D58-E58,AND(I58+J58-K58=C58+D58-E58,1&lt;0))),1,0),IF(AND(O58+P58-Q58&gt;0,OR(O58+P58-Q58&lt;C58+D58-E58,AND(O58+P58-Q58=C58+D58-E58,2&lt;0))),1,0),IF(AND(U58+V58-W58&gt;0,OR(U58+V58-W58&lt;C58+D58-E58,AND(U58+V58-W58=C58+D58-E58,3&lt;0))),1,0),IF(AND(AA58+AB58-AC58&gt;0,OR(AA58+AB58-AC58&lt;C58+D58-E58,AND(AA58+AB58-AC58=C58+D58-E58,4&lt;0))),1,0)))</x:f>
        <x:v>99</x:v>
      </x:c>
      <x:c r="G58" s="6" t="n">
        <x:f>IF('Debt strategy'!$C$16&gt;0,0,MIN(C58+D58-E58,MAX(0,'Debt strategy'!$C$5-SUM(E58,K58,Q58,W58,AC58)-SUM(IF(L58&lt;F58,I58+J58-K58,0),IF(R58&lt;F58,O58+P58-Q58,0),IF(X58&lt;F58,U58+V58-W58,0),IF(AD58&lt;F58,AA58+AB58-AC58,0)))))</x:f>
        <x:v>0</x:v>
      </x:c>
      <x:c r="H58" s="6" t="n">
        <x:f>ROUND(MAX(0,C58+D58-E58-G58),2)</x:f>
        <x:v>0</x:v>
      </x:c>
      <x:c r="I58" s="6" t="n">
        <x:f>N57</x:f>
        <x:v>0</x:v>
      </x:c>
      <x:c r="J58" s="6" t="n">
        <x:f>ROUND(I58*'Debt strategy'!$D$10/12,2)</x:f>
        <x:v>0</x:v>
      </x:c>
      <x:c r="K58" s="6" t="n">
        <x:f>MIN(I58+J58,'Debt strategy'!$E$10)</x:f>
        <x:v>0</x:v>
      </x:c>
      <x:c r="L58" s="27" t="n">
        <x:f>IF(I58+J58-K58&lt;=0,99,1+SUM(IF(AND(C58+D58-E58&gt;0,OR(C58+D58-E58&lt;I58+J58-K58,AND(C58+D58-E58=I58+J58-K58,0&lt;1))),1,0),IF(AND(O58+P58-Q58&gt;0,OR(O58+P58-Q58&lt;I58+J58-K58,AND(O58+P58-Q58=I58+J58-K58,2&lt;1))),1,0),IF(AND(U58+V58-W58&gt;0,OR(U58+V58-W58&lt;I58+J58-K58,AND(U58+V58-W58=I58+J58-K58,3&lt;1))),1,0),IF(AND(AA58+AB58-AC58&gt;0,OR(AA58+AB58-AC58&lt;I58+J58-K58,AND(AA58+AB58-AC58=I58+J58-K58,4&lt;1))),1,0)))</x:f>
        <x:v>99</x:v>
      </x:c>
      <x:c r="M58" s="6" t="n">
        <x:f>IF('Debt strategy'!$C$16&gt;0,0,MIN(I58+J58-K58,MAX(0,'Debt strategy'!$C$5-SUM(E58,K58,Q58,W58,AC58)-SUM(IF(F58&lt;L58,C58+D58-E58,0),IF(R58&lt;L58,O58+P58-Q58,0),IF(X58&lt;L58,U58+V58-W58,0),IF(AD58&lt;L58,AA58+AB58-AC58,0)))))</x:f>
        <x:v>0</x:v>
      </x:c>
      <x:c r="N58" s="6" t="n">
        <x:f>ROUND(MAX(0,I58+J58-K58-M58),2)</x:f>
        <x:v>0</x:v>
      </x:c>
      <x:c r="O58" s="6" t="n">
        <x:f>T57</x:f>
        <x:v>0</x:v>
      </x:c>
      <x:c r="P58" s="6" t="n">
        <x:f>ROUND(O58*'Debt strategy'!$D$11/12,2)</x:f>
        <x:v>0</x:v>
      </x:c>
      <x:c r="Q58" s="6" t="n">
        <x:f>MIN(O58+P58,'Debt strategy'!$E$11)</x:f>
        <x:v>0</x:v>
      </x:c>
      <x:c r="R58" s="27" t="n">
        <x:f>IF(O58+P58-Q58&lt;=0,99,1+SUM(IF(AND(C58+D58-E58&gt;0,OR(C58+D58-E58&lt;O58+P58-Q58,AND(C58+D58-E58=O58+P58-Q58,0&lt;2))),1,0),IF(AND(I58+J58-K58&gt;0,OR(I58+J58-K58&lt;O58+P58-Q58,AND(I58+J58-K58=O58+P58-Q58,1&lt;2))),1,0),IF(AND(U58+V58-W58&gt;0,OR(U58+V58-W58&lt;O58+P58-Q58,AND(U58+V58-W58=O58+P58-Q58,3&lt;2))),1,0),IF(AND(AA58+AB58-AC58&gt;0,OR(AA58+AB58-AC58&lt;O58+P58-Q58,AND(AA58+AB58-AC58=O58+P58-Q58,4&lt;2))),1,0)))</x:f>
        <x:v>99</x:v>
      </x:c>
      <x:c r="S58" s="6" t="n">
        <x:f>IF('Debt strategy'!$C$16&gt;0,0,MIN(O58+P58-Q58,MAX(0,'Debt strategy'!$C$5-SUM(E58,K58,Q58,W58,AC58)-SUM(IF(F58&lt;R58,C58+D58-E58,0),IF(L58&lt;R58,I58+J58-K58,0),IF(X58&lt;R58,U58+V58-W58,0),IF(AD58&lt;R58,AA58+AB58-AC58,0)))))</x:f>
        <x:v>0</x:v>
      </x:c>
      <x:c r="T58" s="6" t="n">
        <x:f>ROUND(MAX(0,O58+P58-Q58-S58),2)</x:f>
        <x:v>0</x:v>
      </x:c>
      <x:c r="U58" s="6" t="n">
        <x:f>Z57</x:f>
        <x:v>0</x:v>
      </x:c>
      <x:c r="V58" s="6" t="n">
        <x:f>ROUND(U58*'Debt strategy'!$D$12/12,2)</x:f>
        <x:v>0</x:v>
      </x:c>
      <x:c r="W58" s="6" t="n">
        <x:f>MIN(U58+V58,'Debt strategy'!$E$12)</x:f>
        <x:v>0</x:v>
      </x:c>
      <x:c r="X58" s="27" t="n">
        <x:f>IF(U58+V58-W58&lt;=0,99,1+SUM(IF(AND(C58+D58-E58&gt;0,OR(C58+D58-E58&lt;U58+V58-W58,AND(C58+D58-E58=U58+V58-W58,0&lt;3))),1,0),IF(AND(I58+J58-K58&gt;0,OR(I58+J58-K58&lt;U58+V58-W58,AND(I58+J58-K58=U58+V58-W58,1&lt;3))),1,0),IF(AND(O58+P58-Q58&gt;0,OR(O58+P58-Q58&lt;U58+V58-W58,AND(O58+P58-Q58=U58+V58-W58,2&lt;3))),1,0),IF(AND(AA58+AB58-AC58&gt;0,OR(AA58+AB58-AC58&lt;U58+V58-W58,AND(AA58+AB58-AC58=U58+V58-W58,4&lt;3))),1,0)))</x:f>
        <x:v>99</x:v>
      </x:c>
      <x:c r="Y58" s="6" t="n">
        <x:f>IF('Debt strategy'!$C$16&gt;0,0,MIN(U58+V58-W58,MAX(0,'Debt strategy'!$C$5-SUM(E58,K58,Q58,W58,AC58)-SUM(IF(F58&lt;X58,C58+D58-E58,0),IF(L58&lt;X58,I58+J58-K58,0),IF(R58&lt;X58,O58+P58-Q58,0),IF(AD58&lt;X58,AA58+AB58-AC58,0)))))</x:f>
        <x:v>0</x:v>
      </x:c>
      <x:c r="Z58" s="6" t="n">
        <x:f>ROUND(MAX(0,U58+V58-W58-Y58),2)</x:f>
        <x:v>0</x:v>
      </x:c>
      <x:c r="AA58" s="6" t="n">
        <x:f>AF57</x:f>
        <x:v>0</x:v>
      </x:c>
      <x:c r="AB58" s="6" t="n">
        <x:f>ROUND(AA58*'Debt strategy'!$D$13/12,2)</x:f>
        <x:v>0</x:v>
      </x:c>
      <x:c r="AC58" s="6" t="n">
        <x:f>MIN(AA58+AB58,'Debt strategy'!$E$13)</x:f>
        <x:v>0</x:v>
      </x:c>
      <x:c r="AD58" s="27" t="n">
        <x:f>IF(AA58+AB58-AC58&lt;=0,99,1+SUM(IF(AND(C58+D58-E58&gt;0,OR(C58+D58-E58&lt;AA58+AB58-AC58,AND(C58+D58-E58=AA58+AB58-AC58,0&lt;4))),1,0),IF(AND(I58+J58-K58&gt;0,OR(I58+J58-K58&lt;AA58+AB58-AC58,AND(I58+J58-K58=AA58+AB58-AC58,1&lt;4))),1,0),IF(AND(O58+P58-Q58&gt;0,OR(O58+P58-Q58&lt;AA58+AB58-AC58,AND(O58+P58-Q58=AA58+AB58-AC58,2&lt;4))),1,0),IF(AND(U58+V58-W58&gt;0,OR(U58+V58-W58&lt;AA58+AB58-AC58,AND(U58+V58-W58=AA58+AB58-AC58,3&lt;4))),1,0)))</x:f>
        <x:v>99</x:v>
      </x:c>
      <x:c r="AE58" s="6" t="n">
        <x:f>IF('Debt strategy'!$C$16&gt;0,0,MIN(AA58+AB58-AC58,MAX(0,'Debt strategy'!$C$5-SUM(E58,K58,Q58,W58,AC58)-SUM(IF(F58&lt;AD58,C58+D58-E58,0),IF(L58&lt;AD58,I58+J58-K58,0),IF(R58&lt;AD58,O58+P58-Q58,0),IF(X58&lt;AD58,U58+V58-W58,0)))))</x:f>
        <x:v>0</x:v>
      </x:c>
      <x:c r="AF58" s="6" t="n">
        <x:f>ROUND(MAX(0,AA58+AB58-AC58-AE58),2)</x:f>
        <x:v>0</x:v>
      </x:c>
      <x:c r="AG58" s="6" t="n">
        <x:f>SUM(H58,N58,T58,Z58,AF58)</x:f>
        <x:v>0</x:v>
      </x:c>
      <x:c r="AH58" s="6" t="n">
        <x:f>SUM(D58,J58,P58,V58,AB58)+AH57</x:f>
        <x:v>1353.9499999999996</x:v>
      </x:c>
      <x:c r="AI58" s="2"/>
    </x:row>
    <x:row r="59" ht="23" customHeight="1">
      <x:c r="B59" s="2" t="n">
        <x:f>51</x:f>
        <x:v>51</x:v>
      </x:c>
      <x:c r="C59" s="6" t="n">
        <x:f>H58</x:f>
        <x:v>0</x:v>
      </x:c>
      <x:c r="D59" s="6" t="n">
        <x:f>ROUND(C59*'Debt strategy'!$D$9/12,2)</x:f>
        <x:v>0</x:v>
      </x:c>
      <x:c r="E59" s="6" t="n">
        <x:f>MIN(C59+D59,'Debt strategy'!$E$9)</x:f>
        <x:v>0</x:v>
      </x:c>
      <x:c r="F59" s="27" t="n">
        <x:f>IF(C59+D59-E59&lt;=0,99,1+SUM(IF(AND(I59+J59-K59&gt;0,OR(I59+J59-K59&lt;C59+D59-E59,AND(I59+J59-K59=C59+D59-E59,1&lt;0))),1,0),IF(AND(O59+P59-Q59&gt;0,OR(O59+P59-Q59&lt;C59+D59-E59,AND(O59+P59-Q59=C59+D59-E59,2&lt;0))),1,0),IF(AND(U59+V59-W59&gt;0,OR(U59+V59-W59&lt;C59+D59-E59,AND(U59+V59-W59=C59+D59-E59,3&lt;0))),1,0),IF(AND(AA59+AB59-AC59&gt;0,OR(AA59+AB59-AC59&lt;C59+D59-E59,AND(AA59+AB59-AC59=C59+D59-E59,4&lt;0))),1,0)))</x:f>
        <x:v>99</x:v>
      </x:c>
      <x:c r="G59" s="6" t="n">
        <x:f>IF('Debt strategy'!$C$16&gt;0,0,MIN(C59+D59-E59,MAX(0,'Debt strategy'!$C$5-SUM(E59,K59,Q59,W59,AC59)-SUM(IF(L59&lt;F59,I59+J59-K59,0),IF(R59&lt;F59,O59+P59-Q59,0),IF(X59&lt;F59,U59+V59-W59,0),IF(AD59&lt;F59,AA59+AB59-AC59,0)))))</x:f>
        <x:v>0</x:v>
      </x:c>
      <x:c r="H59" s="6" t="n">
        <x:f>ROUND(MAX(0,C59+D59-E59-G59),2)</x:f>
        <x:v>0</x:v>
      </x:c>
      <x:c r="I59" s="6" t="n">
        <x:f>N58</x:f>
        <x:v>0</x:v>
      </x:c>
      <x:c r="J59" s="6" t="n">
        <x:f>ROUND(I59*'Debt strategy'!$D$10/12,2)</x:f>
        <x:v>0</x:v>
      </x:c>
      <x:c r="K59" s="6" t="n">
        <x:f>MIN(I59+J59,'Debt strategy'!$E$10)</x:f>
        <x:v>0</x:v>
      </x:c>
      <x:c r="L59" s="27" t="n">
        <x:f>IF(I59+J59-K59&lt;=0,99,1+SUM(IF(AND(C59+D59-E59&gt;0,OR(C59+D59-E59&lt;I59+J59-K59,AND(C59+D59-E59=I59+J59-K59,0&lt;1))),1,0),IF(AND(O59+P59-Q59&gt;0,OR(O59+P59-Q59&lt;I59+J59-K59,AND(O59+P59-Q59=I59+J59-K59,2&lt;1))),1,0),IF(AND(U59+V59-W59&gt;0,OR(U59+V59-W59&lt;I59+J59-K59,AND(U59+V59-W59=I59+J59-K59,3&lt;1))),1,0),IF(AND(AA59+AB59-AC59&gt;0,OR(AA59+AB59-AC59&lt;I59+J59-K59,AND(AA59+AB59-AC59=I59+J59-K59,4&lt;1))),1,0)))</x:f>
        <x:v>99</x:v>
      </x:c>
      <x:c r="M59" s="6" t="n">
        <x:f>IF('Debt strategy'!$C$16&gt;0,0,MIN(I59+J59-K59,MAX(0,'Debt strategy'!$C$5-SUM(E59,K59,Q59,W59,AC59)-SUM(IF(F59&lt;L59,C59+D59-E59,0),IF(R59&lt;L59,O59+P59-Q59,0),IF(X59&lt;L59,U59+V59-W59,0),IF(AD59&lt;L59,AA59+AB59-AC59,0)))))</x:f>
        <x:v>0</x:v>
      </x:c>
      <x:c r="N59" s="6" t="n">
        <x:f>ROUND(MAX(0,I59+J59-K59-M59),2)</x:f>
        <x:v>0</x:v>
      </x:c>
      <x:c r="O59" s="6" t="n">
        <x:f>T58</x:f>
        <x:v>0</x:v>
      </x:c>
      <x:c r="P59" s="6" t="n">
        <x:f>ROUND(O59*'Debt strategy'!$D$11/12,2)</x:f>
        <x:v>0</x:v>
      </x:c>
      <x:c r="Q59" s="6" t="n">
        <x:f>MIN(O59+P59,'Debt strategy'!$E$11)</x:f>
        <x:v>0</x:v>
      </x:c>
      <x:c r="R59" s="27" t="n">
        <x:f>IF(O59+P59-Q59&lt;=0,99,1+SUM(IF(AND(C59+D59-E59&gt;0,OR(C59+D59-E59&lt;O59+P59-Q59,AND(C59+D59-E59=O59+P59-Q59,0&lt;2))),1,0),IF(AND(I59+J59-K59&gt;0,OR(I59+J59-K59&lt;O59+P59-Q59,AND(I59+J59-K59=O59+P59-Q59,1&lt;2))),1,0),IF(AND(U59+V59-W59&gt;0,OR(U59+V59-W59&lt;O59+P59-Q59,AND(U59+V59-W59=O59+P59-Q59,3&lt;2))),1,0),IF(AND(AA59+AB59-AC59&gt;0,OR(AA59+AB59-AC59&lt;O59+P59-Q59,AND(AA59+AB59-AC59=O59+P59-Q59,4&lt;2))),1,0)))</x:f>
        <x:v>99</x:v>
      </x:c>
      <x:c r="S59" s="6" t="n">
        <x:f>IF('Debt strategy'!$C$16&gt;0,0,MIN(O59+P59-Q59,MAX(0,'Debt strategy'!$C$5-SUM(E59,K59,Q59,W59,AC59)-SUM(IF(F59&lt;R59,C59+D59-E59,0),IF(L59&lt;R59,I59+J59-K59,0),IF(X59&lt;R59,U59+V59-W59,0),IF(AD59&lt;R59,AA59+AB59-AC59,0)))))</x:f>
        <x:v>0</x:v>
      </x:c>
      <x:c r="T59" s="6" t="n">
        <x:f>ROUND(MAX(0,O59+P59-Q59-S59),2)</x:f>
        <x:v>0</x:v>
      </x:c>
      <x:c r="U59" s="6" t="n">
        <x:f>Z58</x:f>
        <x:v>0</x:v>
      </x:c>
      <x:c r="V59" s="6" t="n">
        <x:f>ROUND(U59*'Debt strategy'!$D$12/12,2)</x:f>
        <x:v>0</x:v>
      </x:c>
      <x:c r="W59" s="6" t="n">
        <x:f>MIN(U59+V59,'Debt strategy'!$E$12)</x:f>
        <x:v>0</x:v>
      </x:c>
      <x:c r="X59" s="27" t="n">
        <x:f>IF(U59+V59-W59&lt;=0,99,1+SUM(IF(AND(C59+D59-E59&gt;0,OR(C59+D59-E59&lt;U59+V59-W59,AND(C59+D59-E59=U59+V59-W59,0&lt;3))),1,0),IF(AND(I59+J59-K59&gt;0,OR(I59+J59-K59&lt;U59+V59-W59,AND(I59+J59-K59=U59+V59-W59,1&lt;3))),1,0),IF(AND(O59+P59-Q59&gt;0,OR(O59+P59-Q59&lt;U59+V59-W59,AND(O59+P59-Q59=U59+V59-W59,2&lt;3))),1,0),IF(AND(AA59+AB59-AC59&gt;0,OR(AA59+AB59-AC59&lt;U59+V59-W59,AND(AA59+AB59-AC59=U59+V59-W59,4&lt;3))),1,0)))</x:f>
        <x:v>99</x:v>
      </x:c>
      <x:c r="Y59" s="6" t="n">
        <x:f>IF('Debt strategy'!$C$16&gt;0,0,MIN(U59+V59-W59,MAX(0,'Debt strategy'!$C$5-SUM(E59,K59,Q59,W59,AC59)-SUM(IF(F59&lt;X59,C59+D59-E59,0),IF(L59&lt;X59,I59+J59-K59,0),IF(R59&lt;X59,O59+P59-Q59,0),IF(AD59&lt;X59,AA59+AB59-AC59,0)))))</x:f>
        <x:v>0</x:v>
      </x:c>
      <x:c r="Z59" s="6" t="n">
        <x:f>ROUND(MAX(0,U59+V59-W59-Y59),2)</x:f>
        <x:v>0</x:v>
      </x:c>
      <x:c r="AA59" s="6" t="n">
        <x:f>AF58</x:f>
        <x:v>0</x:v>
      </x:c>
      <x:c r="AB59" s="6" t="n">
        <x:f>ROUND(AA59*'Debt strategy'!$D$13/12,2)</x:f>
        <x:v>0</x:v>
      </x:c>
      <x:c r="AC59" s="6" t="n">
        <x:f>MIN(AA59+AB59,'Debt strategy'!$E$13)</x:f>
        <x:v>0</x:v>
      </x:c>
      <x:c r="AD59" s="27" t="n">
        <x:f>IF(AA59+AB59-AC59&lt;=0,99,1+SUM(IF(AND(C59+D59-E59&gt;0,OR(C59+D59-E59&lt;AA59+AB59-AC59,AND(C59+D59-E59=AA59+AB59-AC59,0&lt;4))),1,0),IF(AND(I59+J59-K59&gt;0,OR(I59+J59-K59&lt;AA59+AB59-AC59,AND(I59+J59-K59=AA59+AB59-AC59,1&lt;4))),1,0),IF(AND(O59+P59-Q59&gt;0,OR(O59+P59-Q59&lt;AA59+AB59-AC59,AND(O59+P59-Q59=AA59+AB59-AC59,2&lt;4))),1,0),IF(AND(U59+V59-W59&gt;0,OR(U59+V59-W59&lt;AA59+AB59-AC59,AND(U59+V59-W59=AA59+AB59-AC59,3&lt;4))),1,0)))</x:f>
        <x:v>99</x:v>
      </x:c>
      <x:c r="AE59" s="6" t="n">
        <x:f>IF('Debt strategy'!$C$16&gt;0,0,MIN(AA59+AB59-AC59,MAX(0,'Debt strategy'!$C$5-SUM(E59,K59,Q59,W59,AC59)-SUM(IF(F59&lt;AD59,C59+D59-E59,0),IF(L59&lt;AD59,I59+J59-K59,0),IF(R59&lt;AD59,O59+P59-Q59,0),IF(X59&lt;AD59,U59+V59-W59,0)))))</x:f>
        <x:v>0</x:v>
      </x:c>
      <x:c r="AF59" s="6" t="n">
        <x:f>ROUND(MAX(0,AA59+AB59-AC59-AE59),2)</x:f>
        <x:v>0</x:v>
      </x:c>
      <x:c r="AG59" s="6" t="n">
        <x:f>SUM(H59,N59,T59,Z59,AF59)</x:f>
        <x:v>0</x:v>
      </x:c>
      <x:c r="AH59" s="6" t="n">
        <x:f>SUM(D59,J59,P59,V59,AB59)+AH58</x:f>
        <x:v>1353.9499999999996</x:v>
      </x:c>
      <x:c r="AI59" s="2"/>
    </x:row>
    <x:row r="60" ht="23" customHeight="1">
      <x:c r="B60" s="2" t="n">
        <x:f>52</x:f>
        <x:v>52</x:v>
      </x:c>
      <x:c r="C60" s="6" t="n">
        <x:f>H59</x:f>
        <x:v>0</x:v>
      </x:c>
      <x:c r="D60" s="6" t="n">
        <x:f>ROUND(C60*'Debt strategy'!$D$9/12,2)</x:f>
        <x:v>0</x:v>
      </x:c>
      <x:c r="E60" s="6" t="n">
        <x:f>MIN(C60+D60,'Debt strategy'!$E$9)</x:f>
        <x:v>0</x:v>
      </x:c>
      <x:c r="F60" s="27" t="n">
        <x:f>IF(C60+D60-E60&lt;=0,99,1+SUM(IF(AND(I60+J60-K60&gt;0,OR(I60+J60-K60&lt;C60+D60-E60,AND(I60+J60-K60=C60+D60-E60,1&lt;0))),1,0),IF(AND(O60+P60-Q60&gt;0,OR(O60+P60-Q60&lt;C60+D60-E60,AND(O60+P60-Q60=C60+D60-E60,2&lt;0))),1,0),IF(AND(U60+V60-W60&gt;0,OR(U60+V60-W60&lt;C60+D60-E60,AND(U60+V60-W60=C60+D60-E60,3&lt;0))),1,0),IF(AND(AA60+AB60-AC60&gt;0,OR(AA60+AB60-AC60&lt;C60+D60-E60,AND(AA60+AB60-AC60=C60+D60-E60,4&lt;0))),1,0)))</x:f>
        <x:v>99</x:v>
      </x:c>
      <x:c r="G60" s="6" t="n">
        <x:f>IF('Debt strategy'!$C$16&gt;0,0,MIN(C60+D60-E60,MAX(0,'Debt strategy'!$C$5-SUM(E60,K60,Q60,W60,AC60)-SUM(IF(L60&lt;F60,I60+J60-K60,0),IF(R60&lt;F60,O60+P60-Q60,0),IF(X60&lt;F60,U60+V60-W60,0),IF(AD60&lt;F60,AA60+AB60-AC60,0)))))</x:f>
        <x:v>0</x:v>
      </x:c>
      <x:c r="H60" s="6" t="n">
        <x:f>ROUND(MAX(0,C60+D60-E60-G60),2)</x:f>
        <x:v>0</x:v>
      </x:c>
      <x:c r="I60" s="6" t="n">
        <x:f>N59</x:f>
        <x:v>0</x:v>
      </x:c>
      <x:c r="J60" s="6" t="n">
        <x:f>ROUND(I60*'Debt strategy'!$D$10/12,2)</x:f>
        <x:v>0</x:v>
      </x:c>
      <x:c r="K60" s="6" t="n">
        <x:f>MIN(I60+J60,'Debt strategy'!$E$10)</x:f>
        <x:v>0</x:v>
      </x:c>
      <x:c r="L60" s="27" t="n">
        <x:f>IF(I60+J60-K60&lt;=0,99,1+SUM(IF(AND(C60+D60-E60&gt;0,OR(C60+D60-E60&lt;I60+J60-K60,AND(C60+D60-E60=I60+J60-K60,0&lt;1))),1,0),IF(AND(O60+P60-Q60&gt;0,OR(O60+P60-Q60&lt;I60+J60-K60,AND(O60+P60-Q60=I60+J60-K60,2&lt;1))),1,0),IF(AND(U60+V60-W60&gt;0,OR(U60+V60-W60&lt;I60+J60-K60,AND(U60+V60-W60=I60+J60-K60,3&lt;1))),1,0),IF(AND(AA60+AB60-AC60&gt;0,OR(AA60+AB60-AC60&lt;I60+J60-K60,AND(AA60+AB60-AC60=I60+J60-K60,4&lt;1))),1,0)))</x:f>
        <x:v>99</x:v>
      </x:c>
      <x:c r="M60" s="6" t="n">
        <x:f>IF('Debt strategy'!$C$16&gt;0,0,MIN(I60+J60-K60,MAX(0,'Debt strategy'!$C$5-SUM(E60,K60,Q60,W60,AC60)-SUM(IF(F60&lt;L60,C60+D60-E60,0),IF(R60&lt;L60,O60+P60-Q60,0),IF(X60&lt;L60,U60+V60-W60,0),IF(AD60&lt;L60,AA60+AB60-AC60,0)))))</x:f>
        <x:v>0</x:v>
      </x:c>
      <x:c r="N60" s="6" t="n">
        <x:f>ROUND(MAX(0,I60+J60-K60-M60),2)</x:f>
        <x:v>0</x:v>
      </x:c>
      <x:c r="O60" s="6" t="n">
        <x:f>T59</x:f>
        <x:v>0</x:v>
      </x:c>
      <x:c r="P60" s="6" t="n">
        <x:f>ROUND(O60*'Debt strategy'!$D$11/12,2)</x:f>
        <x:v>0</x:v>
      </x:c>
      <x:c r="Q60" s="6" t="n">
        <x:f>MIN(O60+P60,'Debt strategy'!$E$11)</x:f>
        <x:v>0</x:v>
      </x:c>
      <x:c r="R60" s="27" t="n">
        <x:f>IF(O60+P60-Q60&lt;=0,99,1+SUM(IF(AND(C60+D60-E60&gt;0,OR(C60+D60-E60&lt;O60+P60-Q60,AND(C60+D60-E60=O60+P60-Q60,0&lt;2))),1,0),IF(AND(I60+J60-K60&gt;0,OR(I60+J60-K60&lt;O60+P60-Q60,AND(I60+J60-K60=O60+P60-Q60,1&lt;2))),1,0),IF(AND(U60+V60-W60&gt;0,OR(U60+V60-W60&lt;O60+P60-Q60,AND(U60+V60-W60=O60+P60-Q60,3&lt;2))),1,0),IF(AND(AA60+AB60-AC60&gt;0,OR(AA60+AB60-AC60&lt;O60+P60-Q60,AND(AA60+AB60-AC60=O60+P60-Q60,4&lt;2))),1,0)))</x:f>
        <x:v>99</x:v>
      </x:c>
      <x:c r="S60" s="6" t="n">
        <x:f>IF('Debt strategy'!$C$16&gt;0,0,MIN(O60+P60-Q60,MAX(0,'Debt strategy'!$C$5-SUM(E60,K60,Q60,W60,AC60)-SUM(IF(F60&lt;R60,C60+D60-E60,0),IF(L60&lt;R60,I60+J60-K60,0),IF(X60&lt;R60,U60+V60-W60,0),IF(AD60&lt;R60,AA60+AB60-AC60,0)))))</x:f>
        <x:v>0</x:v>
      </x:c>
      <x:c r="T60" s="6" t="n">
        <x:f>ROUND(MAX(0,O60+P60-Q60-S60),2)</x:f>
        <x:v>0</x:v>
      </x:c>
      <x:c r="U60" s="6" t="n">
        <x:f>Z59</x:f>
        <x:v>0</x:v>
      </x:c>
      <x:c r="V60" s="6" t="n">
        <x:f>ROUND(U60*'Debt strategy'!$D$12/12,2)</x:f>
        <x:v>0</x:v>
      </x:c>
      <x:c r="W60" s="6" t="n">
        <x:f>MIN(U60+V60,'Debt strategy'!$E$12)</x:f>
        <x:v>0</x:v>
      </x:c>
      <x:c r="X60" s="27" t="n">
        <x:f>IF(U60+V60-W60&lt;=0,99,1+SUM(IF(AND(C60+D60-E60&gt;0,OR(C60+D60-E60&lt;U60+V60-W60,AND(C60+D60-E60=U60+V60-W60,0&lt;3))),1,0),IF(AND(I60+J60-K60&gt;0,OR(I60+J60-K60&lt;U60+V60-W60,AND(I60+J60-K60=U60+V60-W60,1&lt;3))),1,0),IF(AND(O60+P60-Q60&gt;0,OR(O60+P60-Q60&lt;U60+V60-W60,AND(O60+P60-Q60=U60+V60-W60,2&lt;3))),1,0),IF(AND(AA60+AB60-AC60&gt;0,OR(AA60+AB60-AC60&lt;U60+V60-W60,AND(AA60+AB60-AC60=U60+V60-W60,4&lt;3))),1,0)))</x:f>
        <x:v>99</x:v>
      </x:c>
      <x:c r="Y60" s="6" t="n">
        <x:f>IF('Debt strategy'!$C$16&gt;0,0,MIN(U60+V60-W60,MAX(0,'Debt strategy'!$C$5-SUM(E60,K60,Q60,W60,AC60)-SUM(IF(F60&lt;X60,C60+D60-E60,0),IF(L60&lt;X60,I60+J60-K60,0),IF(R60&lt;X60,O60+P60-Q60,0),IF(AD60&lt;X60,AA60+AB60-AC60,0)))))</x:f>
        <x:v>0</x:v>
      </x:c>
      <x:c r="Z60" s="6" t="n">
        <x:f>ROUND(MAX(0,U60+V60-W60-Y60),2)</x:f>
        <x:v>0</x:v>
      </x:c>
      <x:c r="AA60" s="6" t="n">
        <x:f>AF59</x:f>
        <x:v>0</x:v>
      </x:c>
      <x:c r="AB60" s="6" t="n">
        <x:f>ROUND(AA60*'Debt strategy'!$D$13/12,2)</x:f>
        <x:v>0</x:v>
      </x:c>
      <x:c r="AC60" s="6" t="n">
        <x:f>MIN(AA60+AB60,'Debt strategy'!$E$13)</x:f>
        <x:v>0</x:v>
      </x:c>
      <x:c r="AD60" s="27" t="n">
        <x:f>IF(AA60+AB60-AC60&lt;=0,99,1+SUM(IF(AND(C60+D60-E60&gt;0,OR(C60+D60-E60&lt;AA60+AB60-AC60,AND(C60+D60-E60=AA60+AB60-AC60,0&lt;4))),1,0),IF(AND(I60+J60-K60&gt;0,OR(I60+J60-K60&lt;AA60+AB60-AC60,AND(I60+J60-K60=AA60+AB60-AC60,1&lt;4))),1,0),IF(AND(O60+P60-Q60&gt;0,OR(O60+P60-Q60&lt;AA60+AB60-AC60,AND(O60+P60-Q60=AA60+AB60-AC60,2&lt;4))),1,0),IF(AND(U60+V60-W60&gt;0,OR(U60+V60-W60&lt;AA60+AB60-AC60,AND(U60+V60-W60=AA60+AB60-AC60,3&lt;4))),1,0)))</x:f>
        <x:v>99</x:v>
      </x:c>
      <x:c r="AE60" s="6" t="n">
        <x:f>IF('Debt strategy'!$C$16&gt;0,0,MIN(AA60+AB60-AC60,MAX(0,'Debt strategy'!$C$5-SUM(E60,K60,Q60,W60,AC60)-SUM(IF(F60&lt;AD60,C60+D60-E60,0),IF(L60&lt;AD60,I60+J60-K60,0),IF(R60&lt;AD60,O60+P60-Q60,0),IF(X60&lt;AD60,U60+V60-W60,0)))))</x:f>
        <x:v>0</x:v>
      </x:c>
      <x:c r="AF60" s="6" t="n">
        <x:f>ROUND(MAX(0,AA60+AB60-AC60-AE60),2)</x:f>
        <x:v>0</x:v>
      </x:c>
      <x:c r="AG60" s="6" t="n">
        <x:f>SUM(H60,N60,T60,Z60,AF60)</x:f>
        <x:v>0</x:v>
      </x:c>
      <x:c r="AH60" s="6" t="n">
        <x:f>SUM(D60,J60,P60,V60,AB60)+AH59</x:f>
        <x:v>1353.9499999999996</x:v>
      </x:c>
      <x:c r="AI60" s="2"/>
    </x:row>
    <x:row r="61" ht="23" customHeight="1">
      <x:c r="B61" s="2" t="n">
        <x:f>53</x:f>
        <x:v>53</x:v>
      </x:c>
      <x:c r="C61" s="6" t="n">
        <x:f>H60</x:f>
        <x:v>0</x:v>
      </x:c>
      <x:c r="D61" s="6" t="n">
        <x:f>ROUND(C61*'Debt strategy'!$D$9/12,2)</x:f>
        <x:v>0</x:v>
      </x:c>
      <x:c r="E61" s="6" t="n">
        <x:f>MIN(C61+D61,'Debt strategy'!$E$9)</x:f>
        <x:v>0</x:v>
      </x:c>
      <x:c r="F61" s="27" t="n">
        <x:f>IF(C61+D61-E61&lt;=0,99,1+SUM(IF(AND(I61+J61-K61&gt;0,OR(I61+J61-K61&lt;C61+D61-E61,AND(I61+J61-K61=C61+D61-E61,1&lt;0))),1,0),IF(AND(O61+P61-Q61&gt;0,OR(O61+P61-Q61&lt;C61+D61-E61,AND(O61+P61-Q61=C61+D61-E61,2&lt;0))),1,0),IF(AND(U61+V61-W61&gt;0,OR(U61+V61-W61&lt;C61+D61-E61,AND(U61+V61-W61=C61+D61-E61,3&lt;0))),1,0),IF(AND(AA61+AB61-AC61&gt;0,OR(AA61+AB61-AC61&lt;C61+D61-E61,AND(AA61+AB61-AC61=C61+D61-E61,4&lt;0))),1,0)))</x:f>
        <x:v>99</x:v>
      </x:c>
      <x:c r="G61" s="6" t="n">
        <x:f>IF('Debt strategy'!$C$16&gt;0,0,MIN(C61+D61-E61,MAX(0,'Debt strategy'!$C$5-SUM(E61,K61,Q61,W61,AC61)-SUM(IF(L61&lt;F61,I61+J61-K61,0),IF(R61&lt;F61,O61+P61-Q61,0),IF(X61&lt;F61,U61+V61-W61,0),IF(AD61&lt;F61,AA61+AB61-AC61,0)))))</x:f>
        <x:v>0</x:v>
      </x:c>
      <x:c r="H61" s="6" t="n">
        <x:f>ROUND(MAX(0,C61+D61-E61-G61),2)</x:f>
        <x:v>0</x:v>
      </x:c>
      <x:c r="I61" s="6" t="n">
        <x:f>N60</x:f>
        <x:v>0</x:v>
      </x:c>
      <x:c r="J61" s="6" t="n">
        <x:f>ROUND(I61*'Debt strategy'!$D$10/12,2)</x:f>
        <x:v>0</x:v>
      </x:c>
      <x:c r="K61" s="6" t="n">
        <x:f>MIN(I61+J61,'Debt strategy'!$E$10)</x:f>
        <x:v>0</x:v>
      </x:c>
      <x:c r="L61" s="27" t="n">
        <x:f>IF(I61+J61-K61&lt;=0,99,1+SUM(IF(AND(C61+D61-E61&gt;0,OR(C61+D61-E61&lt;I61+J61-K61,AND(C61+D61-E61=I61+J61-K61,0&lt;1))),1,0),IF(AND(O61+P61-Q61&gt;0,OR(O61+P61-Q61&lt;I61+J61-K61,AND(O61+P61-Q61=I61+J61-K61,2&lt;1))),1,0),IF(AND(U61+V61-W61&gt;0,OR(U61+V61-W61&lt;I61+J61-K61,AND(U61+V61-W61=I61+J61-K61,3&lt;1))),1,0),IF(AND(AA61+AB61-AC61&gt;0,OR(AA61+AB61-AC61&lt;I61+J61-K61,AND(AA61+AB61-AC61=I61+J61-K61,4&lt;1))),1,0)))</x:f>
        <x:v>99</x:v>
      </x:c>
      <x:c r="M61" s="6" t="n">
        <x:f>IF('Debt strategy'!$C$16&gt;0,0,MIN(I61+J61-K61,MAX(0,'Debt strategy'!$C$5-SUM(E61,K61,Q61,W61,AC61)-SUM(IF(F61&lt;L61,C61+D61-E61,0),IF(R61&lt;L61,O61+P61-Q61,0),IF(X61&lt;L61,U61+V61-W61,0),IF(AD61&lt;L61,AA61+AB61-AC61,0)))))</x:f>
        <x:v>0</x:v>
      </x:c>
      <x:c r="N61" s="6" t="n">
        <x:f>ROUND(MAX(0,I61+J61-K61-M61),2)</x:f>
        <x:v>0</x:v>
      </x:c>
      <x:c r="O61" s="6" t="n">
        <x:f>T60</x:f>
        <x:v>0</x:v>
      </x:c>
      <x:c r="P61" s="6" t="n">
        <x:f>ROUND(O61*'Debt strategy'!$D$11/12,2)</x:f>
        <x:v>0</x:v>
      </x:c>
      <x:c r="Q61" s="6" t="n">
        <x:f>MIN(O61+P61,'Debt strategy'!$E$11)</x:f>
        <x:v>0</x:v>
      </x:c>
      <x:c r="R61" s="27" t="n">
        <x:f>IF(O61+P61-Q61&lt;=0,99,1+SUM(IF(AND(C61+D61-E61&gt;0,OR(C61+D61-E61&lt;O61+P61-Q61,AND(C61+D61-E61=O61+P61-Q61,0&lt;2))),1,0),IF(AND(I61+J61-K61&gt;0,OR(I61+J61-K61&lt;O61+P61-Q61,AND(I61+J61-K61=O61+P61-Q61,1&lt;2))),1,0),IF(AND(U61+V61-W61&gt;0,OR(U61+V61-W61&lt;O61+P61-Q61,AND(U61+V61-W61=O61+P61-Q61,3&lt;2))),1,0),IF(AND(AA61+AB61-AC61&gt;0,OR(AA61+AB61-AC61&lt;O61+P61-Q61,AND(AA61+AB61-AC61=O61+P61-Q61,4&lt;2))),1,0)))</x:f>
        <x:v>99</x:v>
      </x:c>
      <x:c r="S61" s="6" t="n">
        <x:f>IF('Debt strategy'!$C$16&gt;0,0,MIN(O61+P61-Q61,MAX(0,'Debt strategy'!$C$5-SUM(E61,K61,Q61,W61,AC61)-SUM(IF(F61&lt;R61,C61+D61-E61,0),IF(L61&lt;R61,I61+J61-K61,0),IF(X61&lt;R61,U61+V61-W61,0),IF(AD61&lt;R61,AA61+AB61-AC61,0)))))</x:f>
        <x:v>0</x:v>
      </x:c>
      <x:c r="T61" s="6" t="n">
        <x:f>ROUND(MAX(0,O61+P61-Q61-S61),2)</x:f>
        <x:v>0</x:v>
      </x:c>
      <x:c r="U61" s="6" t="n">
        <x:f>Z60</x:f>
        <x:v>0</x:v>
      </x:c>
      <x:c r="V61" s="6" t="n">
        <x:f>ROUND(U61*'Debt strategy'!$D$12/12,2)</x:f>
        <x:v>0</x:v>
      </x:c>
      <x:c r="W61" s="6" t="n">
        <x:f>MIN(U61+V61,'Debt strategy'!$E$12)</x:f>
        <x:v>0</x:v>
      </x:c>
      <x:c r="X61" s="27" t="n">
        <x:f>IF(U61+V61-W61&lt;=0,99,1+SUM(IF(AND(C61+D61-E61&gt;0,OR(C61+D61-E61&lt;U61+V61-W61,AND(C61+D61-E61=U61+V61-W61,0&lt;3))),1,0),IF(AND(I61+J61-K61&gt;0,OR(I61+J61-K61&lt;U61+V61-W61,AND(I61+J61-K61=U61+V61-W61,1&lt;3))),1,0),IF(AND(O61+P61-Q61&gt;0,OR(O61+P61-Q61&lt;U61+V61-W61,AND(O61+P61-Q61=U61+V61-W61,2&lt;3))),1,0),IF(AND(AA61+AB61-AC61&gt;0,OR(AA61+AB61-AC61&lt;U61+V61-W61,AND(AA61+AB61-AC61=U61+V61-W61,4&lt;3))),1,0)))</x:f>
        <x:v>99</x:v>
      </x:c>
      <x:c r="Y61" s="6" t="n">
        <x:f>IF('Debt strategy'!$C$16&gt;0,0,MIN(U61+V61-W61,MAX(0,'Debt strategy'!$C$5-SUM(E61,K61,Q61,W61,AC61)-SUM(IF(F61&lt;X61,C61+D61-E61,0),IF(L61&lt;X61,I61+J61-K61,0),IF(R61&lt;X61,O61+P61-Q61,0),IF(AD61&lt;X61,AA61+AB61-AC61,0)))))</x:f>
        <x:v>0</x:v>
      </x:c>
      <x:c r="Z61" s="6" t="n">
        <x:f>ROUND(MAX(0,U61+V61-W61-Y61),2)</x:f>
        <x:v>0</x:v>
      </x:c>
      <x:c r="AA61" s="6" t="n">
        <x:f>AF60</x:f>
        <x:v>0</x:v>
      </x:c>
      <x:c r="AB61" s="6" t="n">
        <x:f>ROUND(AA61*'Debt strategy'!$D$13/12,2)</x:f>
        <x:v>0</x:v>
      </x:c>
      <x:c r="AC61" s="6" t="n">
        <x:f>MIN(AA61+AB61,'Debt strategy'!$E$13)</x:f>
        <x:v>0</x:v>
      </x:c>
      <x:c r="AD61" s="27" t="n">
        <x:f>IF(AA61+AB61-AC61&lt;=0,99,1+SUM(IF(AND(C61+D61-E61&gt;0,OR(C61+D61-E61&lt;AA61+AB61-AC61,AND(C61+D61-E61=AA61+AB61-AC61,0&lt;4))),1,0),IF(AND(I61+J61-K61&gt;0,OR(I61+J61-K61&lt;AA61+AB61-AC61,AND(I61+J61-K61=AA61+AB61-AC61,1&lt;4))),1,0),IF(AND(O61+P61-Q61&gt;0,OR(O61+P61-Q61&lt;AA61+AB61-AC61,AND(O61+P61-Q61=AA61+AB61-AC61,2&lt;4))),1,0),IF(AND(U61+V61-W61&gt;0,OR(U61+V61-W61&lt;AA61+AB61-AC61,AND(U61+V61-W61=AA61+AB61-AC61,3&lt;4))),1,0)))</x:f>
        <x:v>99</x:v>
      </x:c>
      <x:c r="AE61" s="6" t="n">
        <x:f>IF('Debt strategy'!$C$16&gt;0,0,MIN(AA61+AB61-AC61,MAX(0,'Debt strategy'!$C$5-SUM(E61,K61,Q61,W61,AC61)-SUM(IF(F61&lt;AD61,C61+D61-E61,0),IF(L61&lt;AD61,I61+J61-K61,0),IF(R61&lt;AD61,O61+P61-Q61,0),IF(X61&lt;AD61,U61+V61-W61,0)))))</x:f>
        <x:v>0</x:v>
      </x:c>
      <x:c r="AF61" s="6" t="n">
        <x:f>ROUND(MAX(0,AA61+AB61-AC61-AE61),2)</x:f>
        <x:v>0</x:v>
      </x:c>
      <x:c r="AG61" s="6" t="n">
        <x:f>SUM(H61,N61,T61,Z61,AF61)</x:f>
        <x:v>0</x:v>
      </x:c>
      <x:c r="AH61" s="6" t="n">
        <x:f>SUM(D61,J61,P61,V61,AB61)+AH60</x:f>
        <x:v>1353.9499999999996</x:v>
      </x:c>
      <x:c r="AI61" s="2"/>
    </x:row>
    <x:row r="62" ht="23" customHeight="1">
      <x:c r="B62" s="2" t="n">
        <x:f>54</x:f>
        <x:v>54</x:v>
      </x:c>
      <x:c r="C62" s="6" t="n">
        <x:f>H61</x:f>
        <x:v>0</x:v>
      </x:c>
      <x:c r="D62" s="6" t="n">
        <x:f>ROUND(C62*'Debt strategy'!$D$9/12,2)</x:f>
        <x:v>0</x:v>
      </x:c>
      <x:c r="E62" s="6" t="n">
        <x:f>MIN(C62+D62,'Debt strategy'!$E$9)</x:f>
        <x:v>0</x:v>
      </x:c>
      <x:c r="F62" s="27" t="n">
        <x:f>IF(C62+D62-E62&lt;=0,99,1+SUM(IF(AND(I62+J62-K62&gt;0,OR(I62+J62-K62&lt;C62+D62-E62,AND(I62+J62-K62=C62+D62-E62,1&lt;0))),1,0),IF(AND(O62+P62-Q62&gt;0,OR(O62+P62-Q62&lt;C62+D62-E62,AND(O62+P62-Q62=C62+D62-E62,2&lt;0))),1,0),IF(AND(U62+V62-W62&gt;0,OR(U62+V62-W62&lt;C62+D62-E62,AND(U62+V62-W62=C62+D62-E62,3&lt;0))),1,0),IF(AND(AA62+AB62-AC62&gt;0,OR(AA62+AB62-AC62&lt;C62+D62-E62,AND(AA62+AB62-AC62=C62+D62-E62,4&lt;0))),1,0)))</x:f>
        <x:v>99</x:v>
      </x:c>
      <x:c r="G62" s="6" t="n">
        <x:f>IF('Debt strategy'!$C$16&gt;0,0,MIN(C62+D62-E62,MAX(0,'Debt strategy'!$C$5-SUM(E62,K62,Q62,W62,AC62)-SUM(IF(L62&lt;F62,I62+J62-K62,0),IF(R62&lt;F62,O62+P62-Q62,0),IF(X62&lt;F62,U62+V62-W62,0),IF(AD62&lt;F62,AA62+AB62-AC62,0)))))</x:f>
        <x:v>0</x:v>
      </x:c>
      <x:c r="H62" s="6" t="n">
        <x:f>ROUND(MAX(0,C62+D62-E62-G62),2)</x:f>
        <x:v>0</x:v>
      </x:c>
      <x:c r="I62" s="6" t="n">
        <x:f>N61</x:f>
        <x:v>0</x:v>
      </x:c>
      <x:c r="J62" s="6" t="n">
        <x:f>ROUND(I62*'Debt strategy'!$D$10/12,2)</x:f>
        <x:v>0</x:v>
      </x:c>
      <x:c r="K62" s="6" t="n">
        <x:f>MIN(I62+J62,'Debt strategy'!$E$10)</x:f>
        <x:v>0</x:v>
      </x:c>
      <x:c r="L62" s="27" t="n">
        <x:f>IF(I62+J62-K62&lt;=0,99,1+SUM(IF(AND(C62+D62-E62&gt;0,OR(C62+D62-E62&lt;I62+J62-K62,AND(C62+D62-E62=I62+J62-K62,0&lt;1))),1,0),IF(AND(O62+P62-Q62&gt;0,OR(O62+P62-Q62&lt;I62+J62-K62,AND(O62+P62-Q62=I62+J62-K62,2&lt;1))),1,0),IF(AND(U62+V62-W62&gt;0,OR(U62+V62-W62&lt;I62+J62-K62,AND(U62+V62-W62=I62+J62-K62,3&lt;1))),1,0),IF(AND(AA62+AB62-AC62&gt;0,OR(AA62+AB62-AC62&lt;I62+J62-K62,AND(AA62+AB62-AC62=I62+J62-K62,4&lt;1))),1,0)))</x:f>
        <x:v>99</x:v>
      </x:c>
      <x:c r="M62" s="6" t="n">
        <x:f>IF('Debt strategy'!$C$16&gt;0,0,MIN(I62+J62-K62,MAX(0,'Debt strategy'!$C$5-SUM(E62,K62,Q62,W62,AC62)-SUM(IF(F62&lt;L62,C62+D62-E62,0),IF(R62&lt;L62,O62+P62-Q62,0),IF(X62&lt;L62,U62+V62-W62,0),IF(AD62&lt;L62,AA62+AB62-AC62,0)))))</x:f>
        <x:v>0</x:v>
      </x:c>
      <x:c r="N62" s="6" t="n">
        <x:f>ROUND(MAX(0,I62+J62-K62-M62),2)</x:f>
        <x:v>0</x:v>
      </x:c>
      <x:c r="O62" s="6" t="n">
        <x:f>T61</x:f>
        <x:v>0</x:v>
      </x:c>
      <x:c r="P62" s="6" t="n">
        <x:f>ROUND(O62*'Debt strategy'!$D$11/12,2)</x:f>
        <x:v>0</x:v>
      </x:c>
      <x:c r="Q62" s="6" t="n">
        <x:f>MIN(O62+P62,'Debt strategy'!$E$11)</x:f>
        <x:v>0</x:v>
      </x:c>
      <x:c r="R62" s="27" t="n">
        <x:f>IF(O62+P62-Q62&lt;=0,99,1+SUM(IF(AND(C62+D62-E62&gt;0,OR(C62+D62-E62&lt;O62+P62-Q62,AND(C62+D62-E62=O62+P62-Q62,0&lt;2))),1,0),IF(AND(I62+J62-K62&gt;0,OR(I62+J62-K62&lt;O62+P62-Q62,AND(I62+J62-K62=O62+P62-Q62,1&lt;2))),1,0),IF(AND(U62+V62-W62&gt;0,OR(U62+V62-W62&lt;O62+P62-Q62,AND(U62+V62-W62=O62+P62-Q62,3&lt;2))),1,0),IF(AND(AA62+AB62-AC62&gt;0,OR(AA62+AB62-AC62&lt;O62+P62-Q62,AND(AA62+AB62-AC62=O62+P62-Q62,4&lt;2))),1,0)))</x:f>
        <x:v>99</x:v>
      </x:c>
      <x:c r="S62" s="6" t="n">
        <x:f>IF('Debt strategy'!$C$16&gt;0,0,MIN(O62+P62-Q62,MAX(0,'Debt strategy'!$C$5-SUM(E62,K62,Q62,W62,AC62)-SUM(IF(F62&lt;R62,C62+D62-E62,0),IF(L62&lt;R62,I62+J62-K62,0),IF(X62&lt;R62,U62+V62-W62,0),IF(AD62&lt;R62,AA62+AB62-AC62,0)))))</x:f>
        <x:v>0</x:v>
      </x:c>
      <x:c r="T62" s="6" t="n">
        <x:f>ROUND(MAX(0,O62+P62-Q62-S62),2)</x:f>
        <x:v>0</x:v>
      </x:c>
      <x:c r="U62" s="6" t="n">
        <x:f>Z61</x:f>
        <x:v>0</x:v>
      </x:c>
      <x:c r="V62" s="6" t="n">
        <x:f>ROUND(U62*'Debt strategy'!$D$12/12,2)</x:f>
        <x:v>0</x:v>
      </x:c>
      <x:c r="W62" s="6" t="n">
        <x:f>MIN(U62+V62,'Debt strategy'!$E$12)</x:f>
        <x:v>0</x:v>
      </x:c>
      <x:c r="X62" s="27" t="n">
        <x:f>IF(U62+V62-W62&lt;=0,99,1+SUM(IF(AND(C62+D62-E62&gt;0,OR(C62+D62-E62&lt;U62+V62-W62,AND(C62+D62-E62=U62+V62-W62,0&lt;3))),1,0),IF(AND(I62+J62-K62&gt;0,OR(I62+J62-K62&lt;U62+V62-W62,AND(I62+J62-K62=U62+V62-W62,1&lt;3))),1,0),IF(AND(O62+P62-Q62&gt;0,OR(O62+P62-Q62&lt;U62+V62-W62,AND(O62+P62-Q62=U62+V62-W62,2&lt;3))),1,0),IF(AND(AA62+AB62-AC62&gt;0,OR(AA62+AB62-AC62&lt;U62+V62-W62,AND(AA62+AB62-AC62=U62+V62-W62,4&lt;3))),1,0)))</x:f>
        <x:v>99</x:v>
      </x:c>
      <x:c r="Y62" s="6" t="n">
        <x:f>IF('Debt strategy'!$C$16&gt;0,0,MIN(U62+V62-W62,MAX(0,'Debt strategy'!$C$5-SUM(E62,K62,Q62,W62,AC62)-SUM(IF(F62&lt;X62,C62+D62-E62,0),IF(L62&lt;X62,I62+J62-K62,0),IF(R62&lt;X62,O62+P62-Q62,0),IF(AD62&lt;X62,AA62+AB62-AC62,0)))))</x:f>
        <x:v>0</x:v>
      </x:c>
      <x:c r="Z62" s="6" t="n">
        <x:f>ROUND(MAX(0,U62+V62-W62-Y62),2)</x:f>
        <x:v>0</x:v>
      </x:c>
      <x:c r="AA62" s="6" t="n">
        <x:f>AF61</x:f>
        <x:v>0</x:v>
      </x:c>
      <x:c r="AB62" s="6" t="n">
        <x:f>ROUND(AA62*'Debt strategy'!$D$13/12,2)</x:f>
        <x:v>0</x:v>
      </x:c>
      <x:c r="AC62" s="6" t="n">
        <x:f>MIN(AA62+AB62,'Debt strategy'!$E$13)</x:f>
        <x:v>0</x:v>
      </x:c>
      <x:c r="AD62" s="27" t="n">
        <x:f>IF(AA62+AB62-AC62&lt;=0,99,1+SUM(IF(AND(C62+D62-E62&gt;0,OR(C62+D62-E62&lt;AA62+AB62-AC62,AND(C62+D62-E62=AA62+AB62-AC62,0&lt;4))),1,0),IF(AND(I62+J62-K62&gt;0,OR(I62+J62-K62&lt;AA62+AB62-AC62,AND(I62+J62-K62=AA62+AB62-AC62,1&lt;4))),1,0),IF(AND(O62+P62-Q62&gt;0,OR(O62+P62-Q62&lt;AA62+AB62-AC62,AND(O62+P62-Q62=AA62+AB62-AC62,2&lt;4))),1,0),IF(AND(U62+V62-W62&gt;0,OR(U62+V62-W62&lt;AA62+AB62-AC62,AND(U62+V62-W62=AA62+AB62-AC62,3&lt;4))),1,0)))</x:f>
        <x:v>99</x:v>
      </x:c>
      <x:c r="AE62" s="6" t="n">
        <x:f>IF('Debt strategy'!$C$16&gt;0,0,MIN(AA62+AB62-AC62,MAX(0,'Debt strategy'!$C$5-SUM(E62,K62,Q62,W62,AC62)-SUM(IF(F62&lt;AD62,C62+D62-E62,0),IF(L62&lt;AD62,I62+J62-K62,0),IF(R62&lt;AD62,O62+P62-Q62,0),IF(X62&lt;AD62,U62+V62-W62,0)))))</x:f>
        <x:v>0</x:v>
      </x:c>
      <x:c r="AF62" s="6" t="n">
        <x:f>ROUND(MAX(0,AA62+AB62-AC62-AE62),2)</x:f>
        <x:v>0</x:v>
      </x:c>
      <x:c r="AG62" s="6" t="n">
        <x:f>SUM(H62,N62,T62,Z62,AF62)</x:f>
        <x:v>0</x:v>
      </x:c>
      <x:c r="AH62" s="6" t="n">
        <x:f>SUM(D62,J62,P62,V62,AB62)+AH61</x:f>
        <x:v>1353.9499999999996</x:v>
      </x:c>
      <x:c r="AI62" s="2"/>
    </x:row>
    <x:row r="63" ht="23" customHeight="1">
      <x:c r="B63" s="2" t="n">
        <x:f>55</x:f>
        <x:v>55</x:v>
      </x:c>
      <x:c r="C63" s="6" t="n">
        <x:f>H62</x:f>
        <x:v>0</x:v>
      </x:c>
      <x:c r="D63" s="6" t="n">
        <x:f>ROUND(C63*'Debt strategy'!$D$9/12,2)</x:f>
        <x:v>0</x:v>
      </x:c>
      <x:c r="E63" s="6" t="n">
        <x:f>MIN(C63+D63,'Debt strategy'!$E$9)</x:f>
        <x:v>0</x:v>
      </x:c>
      <x:c r="F63" s="27" t="n">
        <x:f>IF(C63+D63-E63&lt;=0,99,1+SUM(IF(AND(I63+J63-K63&gt;0,OR(I63+J63-K63&lt;C63+D63-E63,AND(I63+J63-K63=C63+D63-E63,1&lt;0))),1,0),IF(AND(O63+P63-Q63&gt;0,OR(O63+P63-Q63&lt;C63+D63-E63,AND(O63+P63-Q63=C63+D63-E63,2&lt;0))),1,0),IF(AND(U63+V63-W63&gt;0,OR(U63+V63-W63&lt;C63+D63-E63,AND(U63+V63-W63=C63+D63-E63,3&lt;0))),1,0),IF(AND(AA63+AB63-AC63&gt;0,OR(AA63+AB63-AC63&lt;C63+D63-E63,AND(AA63+AB63-AC63=C63+D63-E63,4&lt;0))),1,0)))</x:f>
        <x:v>99</x:v>
      </x:c>
      <x:c r="G63" s="6" t="n">
        <x:f>IF('Debt strategy'!$C$16&gt;0,0,MIN(C63+D63-E63,MAX(0,'Debt strategy'!$C$5-SUM(E63,K63,Q63,W63,AC63)-SUM(IF(L63&lt;F63,I63+J63-K63,0),IF(R63&lt;F63,O63+P63-Q63,0),IF(X63&lt;F63,U63+V63-W63,0),IF(AD63&lt;F63,AA63+AB63-AC63,0)))))</x:f>
        <x:v>0</x:v>
      </x:c>
      <x:c r="H63" s="6" t="n">
        <x:f>ROUND(MAX(0,C63+D63-E63-G63),2)</x:f>
        <x:v>0</x:v>
      </x:c>
      <x:c r="I63" s="6" t="n">
        <x:f>N62</x:f>
        <x:v>0</x:v>
      </x:c>
      <x:c r="J63" s="6" t="n">
        <x:f>ROUND(I63*'Debt strategy'!$D$10/12,2)</x:f>
        <x:v>0</x:v>
      </x:c>
      <x:c r="K63" s="6" t="n">
        <x:f>MIN(I63+J63,'Debt strategy'!$E$10)</x:f>
        <x:v>0</x:v>
      </x:c>
      <x:c r="L63" s="27" t="n">
        <x:f>IF(I63+J63-K63&lt;=0,99,1+SUM(IF(AND(C63+D63-E63&gt;0,OR(C63+D63-E63&lt;I63+J63-K63,AND(C63+D63-E63=I63+J63-K63,0&lt;1))),1,0),IF(AND(O63+P63-Q63&gt;0,OR(O63+P63-Q63&lt;I63+J63-K63,AND(O63+P63-Q63=I63+J63-K63,2&lt;1))),1,0),IF(AND(U63+V63-W63&gt;0,OR(U63+V63-W63&lt;I63+J63-K63,AND(U63+V63-W63=I63+J63-K63,3&lt;1))),1,0),IF(AND(AA63+AB63-AC63&gt;0,OR(AA63+AB63-AC63&lt;I63+J63-K63,AND(AA63+AB63-AC63=I63+J63-K63,4&lt;1))),1,0)))</x:f>
        <x:v>99</x:v>
      </x:c>
      <x:c r="M63" s="6" t="n">
        <x:f>IF('Debt strategy'!$C$16&gt;0,0,MIN(I63+J63-K63,MAX(0,'Debt strategy'!$C$5-SUM(E63,K63,Q63,W63,AC63)-SUM(IF(F63&lt;L63,C63+D63-E63,0),IF(R63&lt;L63,O63+P63-Q63,0),IF(X63&lt;L63,U63+V63-W63,0),IF(AD63&lt;L63,AA63+AB63-AC63,0)))))</x:f>
        <x:v>0</x:v>
      </x:c>
      <x:c r="N63" s="6" t="n">
        <x:f>ROUND(MAX(0,I63+J63-K63-M63),2)</x:f>
        <x:v>0</x:v>
      </x:c>
      <x:c r="O63" s="6" t="n">
        <x:f>T62</x:f>
        <x:v>0</x:v>
      </x:c>
      <x:c r="P63" s="6" t="n">
        <x:f>ROUND(O63*'Debt strategy'!$D$11/12,2)</x:f>
        <x:v>0</x:v>
      </x:c>
      <x:c r="Q63" s="6" t="n">
        <x:f>MIN(O63+P63,'Debt strategy'!$E$11)</x:f>
        <x:v>0</x:v>
      </x:c>
      <x:c r="R63" s="27" t="n">
        <x:f>IF(O63+P63-Q63&lt;=0,99,1+SUM(IF(AND(C63+D63-E63&gt;0,OR(C63+D63-E63&lt;O63+P63-Q63,AND(C63+D63-E63=O63+P63-Q63,0&lt;2))),1,0),IF(AND(I63+J63-K63&gt;0,OR(I63+J63-K63&lt;O63+P63-Q63,AND(I63+J63-K63=O63+P63-Q63,1&lt;2))),1,0),IF(AND(U63+V63-W63&gt;0,OR(U63+V63-W63&lt;O63+P63-Q63,AND(U63+V63-W63=O63+P63-Q63,3&lt;2))),1,0),IF(AND(AA63+AB63-AC63&gt;0,OR(AA63+AB63-AC63&lt;O63+P63-Q63,AND(AA63+AB63-AC63=O63+P63-Q63,4&lt;2))),1,0)))</x:f>
        <x:v>99</x:v>
      </x:c>
      <x:c r="S63" s="6" t="n">
        <x:f>IF('Debt strategy'!$C$16&gt;0,0,MIN(O63+P63-Q63,MAX(0,'Debt strategy'!$C$5-SUM(E63,K63,Q63,W63,AC63)-SUM(IF(F63&lt;R63,C63+D63-E63,0),IF(L63&lt;R63,I63+J63-K63,0),IF(X63&lt;R63,U63+V63-W63,0),IF(AD63&lt;R63,AA63+AB63-AC63,0)))))</x:f>
        <x:v>0</x:v>
      </x:c>
      <x:c r="T63" s="6" t="n">
        <x:f>ROUND(MAX(0,O63+P63-Q63-S63),2)</x:f>
        <x:v>0</x:v>
      </x:c>
      <x:c r="U63" s="6" t="n">
        <x:f>Z62</x:f>
        <x:v>0</x:v>
      </x:c>
      <x:c r="V63" s="6" t="n">
        <x:f>ROUND(U63*'Debt strategy'!$D$12/12,2)</x:f>
        <x:v>0</x:v>
      </x:c>
      <x:c r="W63" s="6" t="n">
        <x:f>MIN(U63+V63,'Debt strategy'!$E$12)</x:f>
        <x:v>0</x:v>
      </x:c>
      <x:c r="X63" s="27" t="n">
        <x:f>IF(U63+V63-W63&lt;=0,99,1+SUM(IF(AND(C63+D63-E63&gt;0,OR(C63+D63-E63&lt;U63+V63-W63,AND(C63+D63-E63=U63+V63-W63,0&lt;3))),1,0),IF(AND(I63+J63-K63&gt;0,OR(I63+J63-K63&lt;U63+V63-W63,AND(I63+J63-K63=U63+V63-W63,1&lt;3))),1,0),IF(AND(O63+P63-Q63&gt;0,OR(O63+P63-Q63&lt;U63+V63-W63,AND(O63+P63-Q63=U63+V63-W63,2&lt;3))),1,0),IF(AND(AA63+AB63-AC63&gt;0,OR(AA63+AB63-AC63&lt;U63+V63-W63,AND(AA63+AB63-AC63=U63+V63-W63,4&lt;3))),1,0)))</x:f>
        <x:v>99</x:v>
      </x:c>
      <x:c r="Y63" s="6" t="n">
        <x:f>IF('Debt strategy'!$C$16&gt;0,0,MIN(U63+V63-W63,MAX(0,'Debt strategy'!$C$5-SUM(E63,K63,Q63,W63,AC63)-SUM(IF(F63&lt;X63,C63+D63-E63,0),IF(L63&lt;X63,I63+J63-K63,0),IF(R63&lt;X63,O63+P63-Q63,0),IF(AD63&lt;X63,AA63+AB63-AC63,0)))))</x:f>
        <x:v>0</x:v>
      </x:c>
      <x:c r="Z63" s="6" t="n">
        <x:f>ROUND(MAX(0,U63+V63-W63-Y63),2)</x:f>
        <x:v>0</x:v>
      </x:c>
      <x:c r="AA63" s="6" t="n">
        <x:f>AF62</x:f>
        <x:v>0</x:v>
      </x:c>
      <x:c r="AB63" s="6" t="n">
        <x:f>ROUND(AA63*'Debt strategy'!$D$13/12,2)</x:f>
        <x:v>0</x:v>
      </x:c>
      <x:c r="AC63" s="6" t="n">
        <x:f>MIN(AA63+AB63,'Debt strategy'!$E$13)</x:f>
        <x:v>0</x:v>
      </x:c>
      <x:c r="AD63" s="27" t="n">
        <x:f>IF(AA63+AB63-AC63&lt;=0,99,1+SUM(IF(AND(C63+D63-E63&gt;0,OR(C63+D63-E63&lt;AA63+AB63-AC63,AND(C63+D63-E63=AA63+AB63-AC63,0&lt;4))),1,0),IF(AND(I63+J63-K63&gt;0,OR(I63+J63-K63&lt;AA63+AB63-AC63,AND(I63+J63-K63=AA63+AB63-AC63,1&lt;4))),1,0),IF(AND(O63+P63-Q63&gt;0,OR(O63+P63-Q63&lt;AA63+AB63-AC63,AND(O63+P63-Q63=AA63+AB63-AC63,2&lt;4))),1,0),IF(AND(U63+V63-W63&gt;0,OR(U63+V63-W63&lt;AA63+AB63-AC63,AND(U63+V63-W63=AA63+AB63-AC63,3&lt;4))),1,0)))</x:f>
        <x:v>99</x:v>
      </x:c>
      <x:c r="AE63" s="6" t="n">
        <x:f>IF('Debt strategy'!$C$16&gt;0,0,MIN(AA63+AB63-AC63,MAX(0,'Debt strategy'!$C$5-SUM(E63,K63,Q63,W63,AC63)-SUM(IF(F63&lt;AD63,C63+D63-E63,0),IF(L63&lt;AD63,I63+J63-K63,0),IF(R63&lt;AD63,O63+P63-Q63,0),IF(X63&lt;AD63,U63+V63-W63,0)))))</x:f>
        <x:v>0</x:v>
      </x:c>
      <x:c r="AF63" s="6" t="n">
        <x:f>ROUND(MAX(0,AA63+AB63-AC63-AE63),2)</x:f>
        <x:v>0</x:v>
      </x:c>
      <x:c r="AG63" s="6" t="n">
        <x:f>SUM(H63,N63,T63,Z63,AF63)</x:f>
        <x:v>0</x:v>
      </x:c>
      <x:c r="AH63" s="6" t="n">
        <x:f>SUM(D63,J63,P63,V63,AB63)+AH62</x:f>
        <x:v>1353.9499999999996</x:v>
      </x:c>
      <x:c r="AI63" s="2"/>
    </x:row>
    <x:row r="64" ht="23" customHeight="1">
      <x:c r="B64" s="2" t="n">
        <x:f>56</x:f>
        <x:v>56</x:v>
      </x:c>
      <x:c r="C64" s="6" t="n">
        <x:f>H63</x:f>
        <x:v>0</x:v>
      </x:c>
      <x:c r="D64" s="6" t="n">
        <x:f>ROUND(C64*'Debt strategy'!$D$9/12,2)</x:f>
        <x:v>0</x:v>
      </x:c>
      <x:c r="E64" s="6" t="n">
        <x:f>MIN(C64+D64,'Debt strategy'!$E$9)</x:f>
        <x:v>0</x:v>
      </x:c>
      <x:c r="F64" s="27" t="n">
        <x:f>IF(C64+D64-E64&lt;=0,99,1+SUM(IF(AND(I64+J64-K64&gt;0,OR(I64+J64-K64&lt;C64+D64-E64,AND(I64+J64-K64=C64+D64-E64,1&lt;0))),1,0),IF(AND(O64+P64-Q64&gt;0,OR(O64+P64-Q64&lt;C64+D64-E64,AND(O64+P64-Q64=C64+D64-E64,2&lt;0))),1,0),IF(AND(U64+V64-W64&gt;0,OR(U64+V64-W64&lt;C64+D64-E64,AND(U64+V64-W64=C64+D64-E64,3&lt;0))),1,0),IF(AND(AA64+AB64-AC64&gt;0,OR(AA64+AB64-AC64&lt;C64+D64-E64,AND(AA64+AB64-AC64=C64+D64-E64,4&lt;0))),1,0)))</x:f>
        <x:v>99</x:v>
      </x:c>
      <x:c r="G64" s="6" t="n">
        <x:f>IF('Debt strategy'!$C$16&gt;0,0,MIN(C64+D64-E64,MAX(0,'Debt strategy'!$C$5-SUM(E64,K64,Q64,W64,AC64)-SUM(IF(L64&lt;F64,I64+J64-K64,0),IF(R64&lt;F64,O64+P64-Q64,0),IF(X64&lt;F64,U64+V64-W64,0),IF(AD64&lt;F64,AA64+AB64-AC64,0)))))</x:f>
        <x:v>0</x:v>
      </x:c>
      <x:c r="H64" s="6" t="n">
        <x:f>ROUND(MAX(0,C64+D64-E64-G64),2)</x:f>
        <x:v>0</x:v>
      </x:c>
      <x:c r="I64" s="6" t="n">
        <x:f>N63</x:f>
        <x:v>0</x:v>
      </x:c>
      <x:c r="J64" s="6" t="n">
        <x:f>ROUND(I64*'Debt strategy'!$D$10/12,2)</x:f>
        <x:v>0</x:v>
      </x:c>
      <x:c r="K64" s="6" t="n">
        <x:f>MIN(I64+J64,'Debt strategy'!$E$10)</x:f>
        <x:v>0</x:v>
      </x:c>
      <x:c r="L64" s="27" t="n">
        <x:f>IF(I64+J64-K64&lt;=0,99,1+SUM(IF(AND(C64+D64-E64&gt;0,OR(C64+D64-E64&lt;I64+J64-K64,AND(C64+D64-E64=I64+J64-K64,0&lt;1))),1,0),IF(AND(O64+P64-Q64&gt;0,OR(O64+P64-Q64&lt;I64+J64-K64,AND(O64+P64-Q64=I64+J64-K64,2&lt;1))),1,0),IF(AND(U64+V64-W64&gt;0,OR(U64+V64-W64&lt;I64+J64-K64,AND(U64+V64-W64=I64+J64-K64,3&lt;1))),1,0),IF(AND(AA64+AB64-AC64&gt;0,OR(AA64+AB64-AC64&lt;I64+J64-K64,AND(AA64+AB64-AC64=I64+J64-K64,4&lt;1))),1,0)))</x:f>
        <x:v>99</x:v>
      </x:c>
      <x:c r="M64" s="6" t="n">
        <x:f>IF('Debt strategy'!$C$16&gt;0,0,MIN(I64+J64-K64,MAX(0,'Debt strategy'!$C$5-SUM(E64,K64,Q64,W64,AC64)-SUM(IF(F64&lt;L64,C64+D64-E64,0),IF(R64&lt;L64,O64+P64-Q64,0),IF(X64&lt;L64,U64+V64-W64,0),IF(AD64&lt;L64,AA64+AB64-AC64,0)))))</x:f>
        <x:v>0</x:v>
      </x:c>
      <x:c r="N64" s="6" t="n">
        <x:f>ROUND(MAX(0,I64+J64-K64-M64),2)</x:f>
        <x:v>0</x:v>
      </x:c>
      <x:c r="O64" s="6" t="n">
        <x:f>T63</x:f>
        <x:v>0</x:v>
      </x:c>
      <x:c r="P64" s="6" t="n">
        <x:f>ROUND(O64*'Debt strategy'!$D$11/12,2)</x:f>
        <x:v>0</x:v>
      </x:c>
      <x:c r="Q64" s="6" t="n">
        <x:f>MIN(O64+P64,'Debt strategy'!$E$11)</x:f>
        <x:v>0</x:v>
      </x:c>
      <x:c r="R64" s="27" t="n">
        <x:f>IF(O64+P64-Q64&lt;=0,99,1+SUM(IF(AND(C64+D64-E64&gt;0,OR(C64+D64-E64&lt;O64+P64-Q64,AND(C64+D64-E64=O64+P64-Q64,0&lt;2))),1,0),IF(AND(I64+J64-K64&gt;0,OR(I64+J64-K64&lt;O64+P64-Q64,AND(I64+J64-K64=O64+P64-Q64,1&lt;2))),1,0),IF(AND(U64+V64-W64&gt;0,OR(U64+V64-W64&lt;O64+P64-Q64,AND(U64+V64-W64=O64+P64-Q64,3&lt;2))),1,0),IF(AND(AA64+AB64-AC64&gt;0,OR(AA64+AB64-AC64&lt;O64+P64-Q64,AND(AA64+AB64-AC64=O64+P64-Q64,4&lt;2))),1,0)))</x:f>
        <x:v>99</x:v>
      </x:c>
      <x:c r="S64" s="6" t="n">
        <x:f>IF('Debt strategy'!$C$16&gt;0,0,MIN(O64+P64-Q64,MAX(0,'Debt strategy'!$C$5-SUM(E64,K64,Q64,W64,AC64)-SUM(IF(F64&lt;R64,C64+D64-E64,0),IF(L64&lt;R64,I64+J64-K64,0),IF(X64&lt;R64,U64+V64-W64,0),IF(AD64&lt;R64,AA64+AB64-AC64,0)))))</x:f>
        <x:v>0</x:v>
      </x:c>
      <x:c r="T64" s="6" t="n">
        <x:f>ROUND(MAX(0,O64+P64-Q64-S64),2)</x:f>
        <x:v>0</x:v>
      </x:c>
      <x:c r="U64" s="6" t="n">
        <x:f>Z63</x:f>
        <x:v>0</x:v>
      </x:c>
      <x:c r="V64" s="6" t="n">
        <x:f>ROUND(U64*'Debt strategy'!$D$12/12,2)</x:f>
        <x:v>0</x:v>
      </x:c>
      <x:c r="W64" s="6" t="n">
        <x:f>MIN(U64+V64,'Debt strategy'!$E$12)</x:f>
        <x:v>0</x:v>
      </x:c>
      <x:c r="X64" s="27" t="n">
        <x:f>IF(U64+V64-W64&lt;=0,99,1+SUM(IF(AND(C64+D64-E64&gt;0,OR(C64+D64-E64&lt;U64+V64-W64,AND(C64+D64-E64=U64+V64-W64,0&lt;3))),1,0),IF(AND(I64+J64-K64&gt;0,OR(I64+J64-K64&lt;U64+V64-W64,AND(I64+J64-K64=U64+V64-W64,1&lt;3))),1,0),IF(AND(O64+P64-Q64&gt;0,OR(O64+P64-Q64&lt;U64+V64-W64,AND(O64+P64-Q64=U64+V64-W64,2&lt;3))),1,0),IF(AND(AA64+AB64-AC64&gt;0,OR(AA64+AB64-AC64&lt;U64+V64-W64,AND(AA64+AB64-AC64=U64+V64-W64,4&lt;3))),1,0)))</x:f>
        <x:v>99</x:v>
      </x:c>
      <x:c r="Y64" s="6" t="n">
        <x:f>IF('Debt strategy'!$C$16&gt;0,0,MIN(U64+V64-W64,MAX(0,'Debt strategy'!$C$5-SUM(E64,K64,Q64,W64,AC64)-SUM(IF(F64&lt;X64,C64+D64-E64,0),IF(L64&lt;X64,I64+J64-K64,0),IF(R64&lt;X64,O64+P64-Q64,0),IF(AD64&lt;X64,AA64+AB64-AC64,0)))))</x:f>
        <x:v>0</x:v>
      </x:c>
      <x:c r="Z64" s="6" t="n">
        <x:f>ROUND(MAX(0,U64+V64-W64-Y64),2)</x:f>
        <x:v>0</x:v>
      </x:c>
      <x:c r="AA64" s="6" t="n">
        <x:f>AF63</x:f>
        <x:v>0</x:v>
      </x:c>
      <x:c r="AB64" s="6" t="n">
        <x:f>ROUND(AA64*'Debt strategy'!$D$13/12,2)</x:f>
        <x:v>0</x:v>
      </x:c>
      <x:c r="AC64" s="6" t="n">
        <x:f>MIN(AA64+AB64,'Debt strategy'!$E$13)</x:f>
        <x:v>0</x:v>
      </x:c>
      <x:c r="AD64" s="27" t="n">
        <x:f>IF(AA64+AB64-AC64&lt;=0,99,1+SUM(IF(AND(C64+D64-E64&gt;0,OR(C64+D64-E64&lt;AA64+AB64-AC64,AND(C64+D64-E64=AA64+AB64-AC64,0&lt;4))),1,0),IF(AND(I64+J64-K64&gt;0,OR(I64+J64-K64&lt;AA64+AB64-AC64,AND(I64+J64-K64=AA64+AB64-AC64,1&lt;4))),1,0),IF(AND(O64+P64-Q64&gt;0,OR(O64+P64-Q64&lt;AA64+AB64-AC64,AND(O64+P64-Q64=AA64+AB64-AC64,2&lt;4))),1,0),IF(AND(U64+V64-W64&gt;0,OR(U64+V64-W64&lt;AA64+AB64-AC64,AND(U64+V64-W64=AA64+AB64-AC64,3&lt;4))),1,0)))</x:f>
        <x:v>99</x:v>
      </x:c>
      <x:c r="AE64" s="6" t="n">
        <x:f>IF('Debt strategy'!$C$16&gt;0,0,MIN(AA64+AB64-AC64,MAX(0,'Debt strategy'!$C$5-SUM(E64,K64,Q64,W64,AC64)-SUM(IF(F64&lt;AD64,C64+D64-E64,0),IF(L64&lt;AD64,I64+J64-K64,0),IF(R64&lt;AD64,O64+P64-Q64,0),IF(X64&lt;AD64,U64+V64-W64,0)))))</x:f>
        <x:v>0</x:v>
      </x:c>
      <x:c r="AF64" s="6" t="n">
        <x:f>ROUND(MAX(0,AA64+AB64-AC64-AE64),2)</x:f>
        <x:v>0</x:v>
      </x:c>
      <x:c r="AG64" s="6" t="n">
        <x:f>SUM(H64,N64,T64,Z64,AF64)</x:f>
        <x:v>0</x:v>
      </x:c>
      <x:c r="AH64" s="6" t="n">
        <x:f>SUM(D64,J64,P64,V64,AB64)+AH63</x:f>
        <x:v>1353.9499999999996</x:v>
      </x:c>
      <x:c r="AI64" s="2"/>
    </x:row>
    <x:row r="65" ht="23" customHeight="1">
      <x:c r="B65" s="2" t="n">
        <x:f>57</x:f>
        <x:v>57</x:v>
      </x:c>
      <x:c r="C65" s="6" t="n">
        <x:f>H64</x:f>
        <x:v>0</x:v>
      </x:c>
      <x:c r="D65" s="6" t="n">
        <x:f>ROUND(C65*'Debt strategy'!$D$9/12,2)</x:f>
        <x:v>0</x:v>
      </x:c>
      <x:c r="E65" s="6" t="n">
        <x:f>MIN(C65+D65,'Debt strategy'!$E$9)</x:f>
        <x:v>0</x:v>
      </x:c>
      <x:c r="F65" s="27" t="n">
        <x:f>IF(C65+D65-E65&lt;=0,99,1+SUM(IF(AND(I65+J65-K65&gt;0,OR(I65+J65-K65&lt;C65+D65-E65,AND(I65+J65-K65=C65+D65-E65,1&lt;0))),1,0),IF(AND(O65+P65-Q65&gt;0,OR(O65+P65-Q65&lt;C65+D65-E65,AND(O65+P65-Q65=C65+D65-E65,2&lt;0))),1,0),IF(AND(U65+V65-W65&gt;0,OR(U65+V65-W65&lt;C65+D65-E65,AND(U65+V65-W65=C65+D65-E65,3&lt;0))),1,0),IF(AND(AA65+AB65-AC65&gt;0,OR(AA65+AB65-AC65&lt;C65+D65-E65,AND(AA65+AB65-AC65=C65+D65-E65,4&lt;0))),1,0)))</x:f>
        <x:v>99</x:v>
      </x:c>
      <x:c r="G65" s="6" t="n">
        <x:f>IF('Debt strategy'!$C$16&gt;0,0,MIN(C65+D65-E65,MAX(0,'Debt strategy'!$C$5-SUM(E65,K65,Q65,W65,AC65)-SUM(IF(L65&lt;F65,I65+J65-K65,0),IF(R65&lt;F65,O65+P65-Q65,0),IF(X65&lt;F65,U65+V65-W65,0),IF(AD65&lt;F65,AA65+AB65-AC65,0)))))</x:f>
        <x:v>0</x:v>
      </x:c>
      <x:c r="H65" s="6" t="n">
        <x:f>ROUND(MAX(0,C65+D65-E65-G65),2)</x:f>
        <x:v>0</x:v>
      </x:c>
      <x:c r="I65" s="6" t="n">
        <x:f>N64</x:f>
        <x:v>0</x:v>
      </x:c>
      <x:c r="J65" s="6" t="n">
        <x:f>ROUND(I65*'Debt strategy'!$D$10/12,2)</x:f>
        <x:v>0</x:v>
      </x:c>
      <x:c r="K65" s="6" t="n">
        <x:f>MIN(I65+J65,'Debt strategy'!$E$10)</x:f>
        <x:v>0</x:v>
      </x:c>
      <x:c r="L65" s="27" t="n">
        <x:f>IF(I65+J65-K65&lt;=0,99,1+SUM(IF(AND(C65+D65-E65&gt;0,OR(C65+D65-E65&lt;I65+J65-K65,AND(C65+D65-E65=I65+J65-K65,0&lt;1))),1,0),IF(AND(O65+P65-Q65&gt;0,OR(O65+P65-Q65&lt;I65+J65-K65,AND(O65+P65-Q65=I65+J65-K65,2&lt;1))),1,0),IF(AND(U65+V65-W65&gt;0,OR(U65+V65-W65&lt;I65+J65-K65,AND(U65+V65-W65=I65+J65-K65,3&lt;1))),1,0),IF(AND(AA65+AB65-AC65&gt;0,OR(AA65+AB65-AC65&lt;I65+J65-K65,AND(AA65+AB65-AC65=I65+J65-K65,4&lt;1))),1,0)))</x:f>
        <x:v>99</x:v>
      </x:c>
      <x:c r="M65" s="6" t="n">
        <x:f>IF('Debt strategy'!$C$16&gt;0,0,MIN(I65+J65-K65,MAX(0,'Debt strategy'!$C$5-SUM(E65,K65,Q65,W65,AC65)-SUM(IF(F65&lt;L65,C65+D65-E65,0),IF(R65&lt;L65,O65+P65-Q65,0),IF(X65&lt;L65,U65+V65-W65,0),IF(AD65&lt;L65,AA65+AB65-AC65,0)))))</x:f>
        <x:v>0</x:v>
      </x:c>
      <x:c r="N65" s="6" t="n">
        <x:f>ROUND(MAX(0,I65+J65-K65-M65),2)</x:f>
        <x:v>0</x:v>
      </x:c>
      <x:c r="O65" s="6" t="n">
        <x:f>T64</x:f>
        <x:v>0</x:v>
      </x:c>
      <x:c r="P65" s="6" t="n">
        <x:f>ROUND(O65*'Debt strategy'!$D$11/12,2)</x:f>
        <x:v>0</x:v>
      </x:c>
      <x:c r="Q65" s="6" t="n">
        <x:f>MIN(O65+P65,'Debt strategy'!$E$11)</x:f>
        <x:v>0</x:v>
      </x:c>
      <x:c r="R65" s="27" t="n">
        <x:f>IF(O65+P65-Q65&lt;=0,99,1+SUM(IF(AND(C65+D65-E65&gt;0,OR(C65+D65-E65&lt;O65+P65-Q65,AND(C65+D65-E65=O65+P65-Q65,0&lt;2))),1,0),IF(AND(I65+J65-K65&gt;0,OR(I65+J65-K65&lt;O65+P65-Q65,AND(I65+J65-K65=O65+P65-Q65,1&lt;2))),1,0),IF(AND(U65+V65-W65&gt;0,OR(U65+V65-W65&lt;O65+P65-Q65,AND(U65+V65-W65=O65+P65-Q65,3&lt;2))),1,0),IF(AND(AA65+AB65-AC65&gt;0,OR(AA65+AB65-AC65&lt;O65+P65-Q65,AND(AA65+AB65-AC65=O65+P65-Q65,4&lt;2))),1,0)))</x:f>
        <x:v>99</x:v>
      </x:c>
      <x:c r="S65" s="6" t="n">
        <x:f>IF('Debt strategy'!$C$16&gt;0,0,MIN(O65+P65-Q65,MAX(0,'Debt strategy'!$C$5-SUM(E65,K65,Q65,W65,AC65)-SUM(IF(F65&lt;R65,C65+D65-E65,0),IF(L65&lt;R65,I65+J65-K65,0),IF(X65&lt;R65,U65+V65-W65,0),IF(AD65&lt;R65,AA65+AB65-AC65,0)))))</x:f>
        <x:v>0</x:v>
      </x:c>
      <x:c r="T65" s="6" t="n">
        <x:f>ROUND(MAX(0,O65+P65-Q65-S65),2)</x:f>
        <x:v>0</x:v>
      </x:c>
      <x:c r="U65" s="6" t="n">
        <x:f>Z64</x:f>
        <x:v>0</x:v>
      </x:c>
      <x:c r="V65" s="6" t="n">
        <x:f>ROUND(U65*'Debt strategy'!$D$12/12,2)</x:f>
        <x:v>0</x:v>
      </x:c>
      <x:c r="W65" s="6" t="n">
        <x:f>MIN(U65+V65,'Debt strategy'!$E$12)</x:f>
        <x:v>0</x:v>
      </x:c>
      <x:c r="X65" s="27" t="n">
        <x:f>IF(U65+V65-W65&lt;=0,99,1+SUM(IF(AND(C65+D65-E65&gt;0,OR(C65+D65-E65&lt;U65+V65-W65,AND(C65+D65-E65=U65+V65-W65,0&lt;3))),1,0),IF(AND(I65+J65-K65&gt;0,OR(I65+J65-K65&lt;U65+V65-W65,AND(I65+J65-K65=U65+V65-W65,1&lt;3))),1,0),IF(AND(O65+P65-Q65&gt;0,OR(O65+P65-Q65&lt;U65+V65-W65,AND(O65+P65-Q65=U65+V65-W65,2&lt;3))),1,0),IF(AND(AA65+AB65-AC65&gt;0,OR(AA65+AB65-AC65&lt;U65+V65-W65,AND(AA65+AB65-AC65=U65+V65-W65,4&lt;3))),1,0)))</x:f>
        <x:v>99</x:v>
      </x:c>
      <x:c r="Y65" s="6" t="n">
        <x:f>IF('Debt strategy'!$C$16&gt;0,0,MIN(U65+V65-W65,MAX(0,'Debt strategy'!$C$5-SUM(E65,K65,Q65,W65,AC65)-SUM(IF(F65&lt;X65,C65+D65-E65,0),IF(L65&lt;X65,I65+J65-K65,0),IF(R65&lt;X65,O65+P65-Q65,0),IF(AD65&lt;X65,AA65+AB65-AC65,0)))))</x:f>
        <x:v>0</x:v>
      </x:c>
      <x:c r="Z65" s="6" t="n">
        <x:f>ROUND(MAX(0,U65+V65-W65-Y65),2)</x:f>
        <x:v>0</x:v>
      </x:c>
      <x:c r="AA65" s="6" t="n">
        <x:f>AF64</x:f>
        <x:v>0</x:v>
      </x:c>
      <x:c r="AB65" s="6" t="n">
        <x:f>ROUND(AA65*'Debt strategy'!$D$13/12,2)</x:f>
        <x:v>0</x:v>
      </x:c>
      <x:c r="AC65" s="6" t="n">
        <x:f>MIN(AA65+AB65,'Debt strategy'!$E$13)</x:f>
        <x:v>0</x:v>
      </x:c>
      <x:c r="AD65" s="27" t="n">
        <x:f>IF(AA65+AB65-AC65&lt;=0,99,1+SUM(IF(AND(C65+D65-E65&gt;0,OR(C65+D65-E65&lt;AA65+AB65-AC65,AND(C65+D65-E65=AA65+AB65-AC65,0&lt;4))),1,0),IF(AND(I65+J65-K65&gt;0,OR(I65+J65-K65&lt;AA65+AB65-AC65,AND(I65+J65-K65=AA65+AB65-AC65,1&lt;4))),1,0),IF(AND(O65+P65-Q65&gt;0,OR(O65+P65-Q65&lt;AA65+AB65-AC65,AND(O65+P65-Q65=AA65+AB65-AC65,2&lt;4))),1,0),IF(AND(U65+V65-W65&gt;0,OR(U65+V65-W65&lt;AA65+AB65-AC65,AND(U65+V65-W65=AA65+AB65-AC65,3&lt;4))),1,0)))</x:f>
        <x:v>99</x:v>
      </x:c>
      <x:c r="AE65" s="6" t="n">
        <x:f>IF('Debt strategy'!$C$16&gt;0,0,MIN(AA65+AB65-AC65,MAX(0,'Debt strategy'!$C$5-SUM(E65,K65,Q65,W65,AC65)-SUM(IF(F65&lt;AD65,C65+D65-E65,0),IF(L65&lt;AD65,I65+J65-K65,0),IF(R65&lt;AD65,O65+P65-Q65,0),IF(X65&lt;AD65,U65+V65-W65,0)))))</x:f>
        <x:v>0</x:v>
      </x:c>
      <x:c r="AF65" s="6" t="n">
        <x:f>ROUND(MAX(0,AA65+AB65-AC65-AE65),2)</x:f>
        <x:v>0</x:v>
      </x:c>
      <x:c r="AG65" s="6" t="n">
        <x:f>SUM(H65,N65,T65,Z65,AF65)</x:f>
        <x:v>0</x:v>
      </x:c>
      <x:c r="AH65" s="6" t="n">
        <x:f>SUM(D65,J65,P65,V65,AB65)+AH64</x:f>
        <x:v>1353.9499999999996</x:v>
      </x:c>
      <x:c r="AI65" s="2"/>
    </x:row>
    <x:row r="66" ht="23" customHeight="1">
      <x:c r="B66" s="2" t="n">
        <x:f>58</x:f>
        <x:v>58</x:v>
      </x:c>
      <x:c r="C66" s="6" t="n">
        <x:f>H65</x:f>
        <x:v>0</x:v>
      </x:c>
      <x:c r="D66" s="6" t="n">
        <x:f>ROUND(C66*'Debt strategy'!$D$9/12,2)</x:f>
        <x:v>0</x:v>
      </x:c>
      <x:c r="E66" s="6" t="n">
        <x:f>MIN(C66+D66,'Debt strategy'!$E$9)</x:f>
        <x:v>0</x:v>
      </x:c>
      <x:c r="F66" s="27" t="n">
        <x:f>IF(C66+D66-E66&lt;=0,99,1+SUM(IF(AND(I66+J66-K66&gt;0,OR(I66+J66-K66&lt;C66+D66-E66,AND(I66+J66-K66=C66+D66-E66,1&lt;0))),1,0),IF(AND(O66+P66-Q66&gt;0,OR(O66+P66-Q66&lt;C66+D66-E66,AND(O66+P66-Q66=C66+D66-E66,2&lt;0))),1,0),IF(AND(U66+V66-W66&gt;0,OR(U66+V66-W66&lt;C66+D66-E66,AND(U66+V66-W66=C66+D66-E66,3&lt;0))),1,0),IF(AND(AA66+AB66-AC66&gt;0,OR(AA66+AB66-AC66&lt;C66+D66-E66,AND(AA66+AB66-AC66=C66+D66-E66,4&lt;0))),1,0)))</x:f>
        <x:v>99</x:v>
      </x:c>
      <x:c r="G66" s="6" t="n">
        <x:f>IF('Debt strategy'!$C$16&gt;0,0,MIN(C66+D66-E66,MAX(0,'Debt strategy'!$C$5-SUM(E66,K66,Q66,W66,AC66)-SUM(IF(L66&lt;F66,I66+J66-K66,0),IF(R66&lt;F66,O66+P66-Q66,0),IF(X66&lt;F66,U66+V66-W66,0),IF(AD66&lt;F66,AA66+AB66-AC66,0)))))</x:f>
        <x:v>0</x:v>
      </x:c>
      <x:c r="H66" s="6" t="n">
        <x:f>ROUND(MAX(0,C66+D66-E66-G66),2)</x:f>
        <x:v>0</x:v>
      </x:c>
      <x:c r="I66" s="6" t="n">
        <x:f>N65</x:f>
        <x:v>0</x:v>
      </x:c>
      <x:c r="J66" s="6" t="n">
        <x:f>ROUND(I66*'Debt strategy'!$D$10/12,2)</x:f>
        <x:v>0</x:v>
      </x:c>
      <x:c r="K66" s="6" t="n">
        <x:f>MIN(I66+J66,'Debt strategy'!$E$10)</x:f>
        <x:v>0</x:v>
      </x:c>
      <x:c r="L66" s="27" t="n">
        <x:f>IF(I66+J66-K66&lt;=0,99,1+SUM(IF(AND(C66+D66-E66&gt;0,OR(C66+D66-E66&lt;I66+J66-K66,AND(C66+D66-E66=I66+J66-K66,0&lt;1))),1,0),IF(AND(O66+P66-Q66&gt;0,OR(O66+P66-Q66&lt;I66+J66-K66,AND(O66+P66-Q66=I66+J66-K66,2&lt;1))),1,0),IF(AND(U66+V66-W66&gt;0,OR(U66+V66-W66&lt;I66+J66-K66,AND(U66+V66-W66=I66+J66-K66,3&lt;1))),1,0),IF(AND(AA66+AB66-AC66&gt;0,OR(AA66+AB66-AC66&lt;I66+J66-K66,AND(AA66+AB66-AC66=I66+J66-K66,4&lt;1))),1,0)))</x:f>
        <x:v>99</x:v>
      </x:c>
      <x:c r="M66" s="6" t="n">
        <x:f>IF('Debt strategy'!$C$16&gt;0,0,MIN(I66+J66-K66,MAX(0,'Debt strategy'!$C$5-SUM(E66,K66,Q66,W66,AC66)-SUM(IF(F66&lt;L66,C66+D66-E66,0),IF(R66&lt;L66,O66+P66-Q66,0),IF(X66&lt;L66,U66+V66-W66,0),IF(AD66&lt;L66,AA66+AB66-AC66,0)))))</x:f>
        <x:v>0</x:v>
      </x:c>
      <x:c r="N66" s="6" t="n">
        <x:f>ROUND(MAX(0,I66+J66-K66-M66),2)</x:f>
        <x:v>0</x:v>
      </x:c>
      <x:c r="O66" s="6" t="n">
        <x:f>T65</x:f>
        <x:v>0</x:v>
      </x:c>
      <x:c r="P66" s="6" t="n">
        <x:f>ROUND(O66*'Debt strategy'!$D$11/12,2)</x:f>
        <x:v>0</x:v>
      </x:c>
      <x:c r="Q66" s="6" t="n">
        <x:f>MIN(O66+P66,'Debt strategy'!$E$11)</x:f>
        <x:v>0</x:v>
      </x:c>
      <x:c r="R66" s="27" t="n">
        <x:f>IF(O66+P66-Q66&lt;=0,99,1+SUM(IF(AND(C66+D66-E66&gt;0,OR(C66+D66-E66&lt;O66+P66-Q66,AND(C66+D66-E66=O66+P66-Q66,0&lt;2))),1,0),IF(AND(I66+J66-K66&gt;0,OR(I66+J66-K66&lt;O66+P66-Q66,AND(I66+J66-K66=O66+P66-Q66,1&lt;2))),1,0),IF(AND(U66+V66-W66&gt;0,OR(U66+V66-W66&lt;O66+P66-Q66,AND(U66+V66-W66=O66+P66-Q66,3&lt;2))),1,0),IF(AND(AA66+AB66-AC66&gt;0,OR(AA66+AB66-AC66&lt;O66+P66-Q66,AND(AA66+AB66-AC66=O66+P66-Q66,4&lt;2))),1,0)))</x:f>
        <x:v>99</x:v>
      </x:c>
      <x:c r="S66" s="6" t="n">
        <x:f>IF('Debt strategy'!$C$16&gt;0,0,MIN(O66+P66-Q66,MAX(0,'Debt strategy'!$C$5-SUM(E66,K66,Q66,W66,AC66)-SUM(IF(F66&lt;R66,C66+D66-E66,0),IF(L66&lt;R66,I66+J66-K66,0),IF(X66&lt;R66,U66+V66-W66,0),IF(AD66&lt;R66,AA66+AB66-AC66,0)))))</x:f>
        <x:v>0</x:v>
      </x:c>
      <x:c r="T66" s="6" t="n">
        <x:f>ROUND(MAX(0,O66+P66-Q66-S66),2)</x:f>
        <x:v>0</x:v>
      </x:c>
      <x:c r="U66" s="6" t="n">
        <x:f>Z65</x:f>
        <x:v>0</x:v>
      </x:c>
      <x:c r="V66" s="6" t="n">
        <x:f>ROUND(U66*'Debt strategy'!$D$12/12,2)</x:f>
        <x:v>0</x:v>
      </x:c>
      <x:c r="W66" s="6" t="n">
        <x:f>MIN(U66+V66,'Debt strategy'!$E$12)</x:f>
        <x:v>0</x:v>
      </x:c>
      <x:c r="X66" s="27" t="n">
        <x:f>IF(U66+V66-W66&lt;=0,99,1+SUM(IF(AND(C66+D66-E66&gt;0,OR(C66+D66-E66&lt;U66+V66-W66,AND(C66+D66-E66=U66+V66-W66,0&lt;3))),1,0),IF(AND(I66+J66-K66&gt;0,OR(I66+J66-K66&lt;U66+V66-W66,AND(I66+J66-K66=U66+V66-W66,1&lt;3))),1,0),IF(AND(O66+P66-Q66&gt;0,OR(O66+P66-Q66&lt;U66+V66-W66,AND(O66+P66-Q66=U66+V66-W66,2&lt;3))),1,0),IF(AND(AA66+AB66-AC66&gt;0,OR(AA66+AB66-AC66&lt;U66+V66-W66,AND(AA66+AB66-AC66=U66+V66-W66,4&lt;3))),1,0)))</x:f>
        <x:v>99</x:v>
      </x:c>
      <x:c r="Y66" s="6" t="n">
        <x:f>IF('Debt strategy'!$C$16&gt;0,0,MIN(U66+V66-W66,MAX(0,'Debt strategy'!$C$5-SUM(E66,K66,Q66,W66,AC66)-SUM(IF(F66&lt;X66,C66+D66-E66,0),IF(L66&lt;X66,I66+J66-K66,0),IF(R66&lt;X66,O66+P66-Q66,0),IF(AD66&lt;X66,AA66+AB66-AC66,0)))))</x:f>
        <x:v>0</x:v>
      </x:c>
      <x:c r="Z66" s="6" t="n">
        <x:f>ROUND(MAX(0,U66+V66-W66-Y66),2)</x:f>
        <x:v>0</x:v>
      </x:c>
      <x:c r="AA66" s="6" t="n">
        <x:f>AF65</x:f>
        <x:v>0</x:v>
      </x:c>
      <x:c r="AB66" s="6" t="n">
        <x:f>ROUND(AA66*'Debt strategy'!$D$13/12,2)</x:f>
        <x:v>0</x:v>
      </x:c>
      <x:c r="AC66" s="6" t="n">
        <x:f>MIN(AA66+AB66,'Debt strategy'!$E$13)</x:f>
        <x:v>0</x:v>
      </x:c>
      <x:c r="AD66" s="27" t="n">
        <x:f>IF(AA66+AB66-AC66&lt;=0,99,1+SUM(IF(AND(C66+D66-E66&gt;0,OR(C66+D66-E66&lt;AA66+AB66-AC66,AND(C66+D66-E66=AA66+AB66-AC66,0&lt;4))),1,0),IF(AND(I66+J66-K66&gt;0,OR(I66+J66-K66&lt;AA66+AB66-AC66,AND(I66+J66-K66=AA66+AB66-AC66,1&lt;4))),1,0),IF(AND(O66+P66-Q66&gt;0,OR(O66+P66-Q66&lt;AA66+AB66-AC66,AND(O66+P66-Q66=AA66+AB66-AC66,2&lt;4))),1,0),IF(AND(U66+V66-W66&gt;0,OR(U66+V66-W66&lt;AA66+AB66-AC66,AND(U66+V66-W66=AA66+AB66-AC66,3&lt;4))),1,0)))</x:f>
        <x:v>99</x:v>
      </x:c>
      <x:c r="AE66" s="6" t="n">
        <x:f>IF('Debt strategy'!$C$16&gt;0,0,MIN(AA66+AB66-AC66,MAX(0,'Debt strategy'!$C$5-SUM(E66,K66,Q66,W66,AC66)-SUM(IF(F66&lt;AD66,C66+D66-E66,0),IF(L66&lt;AD66,I66+J66-K66,0),IF(R66&lt;AD66,O66+P66-Q66,0),IF(X66&lt;AD66,U66+V66-W66,0)))))</x:f>
        <x:v>0</x:v>
      </x:c>
      <x:c r="AF66" s="6" t="n">
        <x:f>ROUND(MAX(0,AA66+AB66-AC66-AE66),2)</x:f>
        <x:v>0</x:v>
      </x:c>
      <x:c r="AG66" s="6" t="n">
        <x:f>SUM(H66,N66,T66,Z66,AF66)</x:f>
        <x:v>0</x:v>
      </x:c>
      <x:c r="AH66" s="6" t="n">
        <x:f>SUM(D66,J66,P66,V66,AB66)+AH65</x:f>
        <x:v>1353.9499999999996</x:v>
      </x:c>
      <x:c r="AI66" s="2"/>
    </x:row>
    <x:row r="67" ht="23" customHeight="1">
      <x:c r="B67" s="2" t="n">
        <x:f>59</x:f>
        <x:v>59</x:v>
      </x:c>
      <x:c r="C67" s="6" t="n">
        <x:f>H66</x:f>
        <x:v>0</x:v>
      </x:c>
      <x:c r="D67" s="6" t="n">
        <x:f>ROUND(C67*'Debt strategy'!$D$9/12,2)</x:f>
        <x:v>0</x:v>
      </x:c>
      <x:c r="E67" s="6" t="n">
        <x:f>MIN(C67+D67,'Debt strategy'!$E$9)</x:f>
        <x:v>0</x:v>
      </x:c>
      <x:c r="F67" s="27" t="n">
        <x:f>IF(C67+D67-E67&lt;=0,99,1+SUM(IF(AND(I67+J67-K67&gt;0,OR(I67+J67-K67&lt;C67+D67-E67,AND(I67+J67-K67=C67+D67-E67,1&lt;0))),1,0),IF(AND(O67+P67-Q67&gt;0,OR(O67+P67-Q67&lt;C67+D67-E67,AND(O67+P67-Q67=C67+D67-E67,2&lt;0))),1,0),IF(AND(U67+V67-W67&gt;0,OR(U67+V67-W67&lt;C67+D67-E67,AND(U67+V67-W67=C67+D67-E67,3&lt;0))),1,0),IF(AND(AA67+AB67-AC67&gt;0,OR(AA67+AB67-AC67&lt;C67+D67-E67,AND(AA67+AB67-AC67=C67+D67-E67,4&lt;0))),1,0)))</x:f>
        <x:v>99</x:v>
      </x:c>
      <x:c r="G67" s="6" t="n">
        <x:f>IF('Debt strategy'!$C$16&gt;0,0,MIN(C67+D67-E67,MAX(0,'Debt strategy'!$C$5-SUM(E67,K67,Q67,W67,AC67)-SUM(IF(L67&lt;F67,I67+J67-K67,0),IF(R67&lt;F67,O67+P67-Q67,0),IF(X67&lt;F67,U67+V67-W67,0),IF(AD67&lt;F67,AA67+AB67-AC67,0)))))</x:f>
        <x:v>0</x:v>
      </x:c>
      <x:c r="H67" s="6" t="n">
        <x:f>ROUND(MAX(0,C67+D67-E67-G67),2)</x:f>
        <x:v>0</x:v>
      </x:c>
      <x:c r="I67" s="6" t="n">
        <x:f>N66</x:f>
        <x:v>0</x:v>
      </x:c>
      <x:c r="J67" s="6" t="n">
        <x:f>ROUND(I67*'Debt strategy'!$D$10/12,2)</x:f>
        <x:v>0</x:v>
      </x:c>
      <x:c r="K67" s="6" t="n">
        <x:f>MIN(I67+J67,'Debt strategy'!$E$10)</x:f>
        <x:v>0</x:v>
      </x:c>
      <x:c r="L67" s="27" t="n">
        <x:f>IF(I67+J67-K67&lt;=0,99,1+SUM(IF(AND(C67+D67-E67&gt;0,OR(C67+D67-E67&lt;I67+J67-K67,AND(C67+D67-E67=I67+J67-K67,0&lt;1))),1,0),IF(AND(O67+P67-Q67&gt;0,OR(O67+P67-Q67&lt;I67+J67-K67,AND(O67+P67-Q67=I67+J67-K67,2&lt;1))),1,0),IF(AND(U67+V67-W67&gt;0,OR(U67+V67-W67&lt;I67+J67-K67,AND(U67+V67-W67=I67+J67-K67,3&lt;1))),1,0),IF(AND(AA67+AB67-AC67&gt;0,OR(AA67+AB67-AC67&lt;I67+J67-K67,AND(AA67+AB67-AC67=I67+J67-K67,4&lt;1))),1,0)))</x:f>
        <x:v>99</x:v>
      </x:c>
      <x:c r="M67" s="6" t="n">
        <x:f>IF('Debt strategy'!$C$16&gt;0,0,MIN(I67+J67-K67,MAX(0,'Debt strategy'!$C$5-SUM(E67,K67,Q67,W67,AC67)-SUM(IF(F67&lt;L67,C67+D67-E67,0),IF(R67&lt;L67,O67+P67-Q67,0),IF(X67&lt;L67,U67+V67-W67,0),IF(AD67&lt;L67,AA67+AB67-AC67,0)))))</x:f>
        <x:v>0</x:v>
      </x:c>
      <x:c r="N67" s="6" t="n">
        <x:f>ROUND(MAX(0,I67+J67-K67-M67),2)</x:f>
        <x:v>0</x:v>
      </x:c>
      <x:c r="O67" s="6" t="n">
        <x:f>T66</x:f>
        <x:v>0</x:v>
      </x:c>
      <x:c r="P67" s="6" t="n">
        <x:f>ROUND(O67*'Debt strategy'!$D$11/12,2)</x:f>
        <x:v>0</x:v>
      </x:c>
      <x:c r="Q67" s="6" t="n">
        <x:f>MIN(O67+P67,'Debt strategy'!$E$11)</x:f>
        <x:v>0</x:v>
      </x:c>
      <x:c r="R67" s="27" t="n">
        <x:f>IF(O67+P67-Q67&lt;=0,99,1+SUM(IF(AND(C67+D67-E67&gt;0,OR(C67+D67-E67&lt;O67+P67-Q67,AND(C67+D67-E67=O67+P67-Q67,0&lt;2))),1,0),IF(AND(I67+J67-K67&gt;0,OR(I67+J67-K67&lt;O67+P67-Q67,AND(I67+J67-K67=O67+P67-Q67,1&lt;2))),1,0),IF(AND(U67+V67-W67&gt;0,OR(U67+V67-W67&lt;O67+P67-Q67,AND(U67+V67-W67=O67+P67-Q67,3&lt;2))),1,0),IF(AND(AA67+AB67-AC67&gt;0,OR(AA67+AB67-AC67&lt;O67+P67-Q67,AND(AA67+AB67-AC67=O67+P67-Q67,4&lt;2))),1,0)))</x:f>
        <x:v>99</x:v>
      </x:c>
      <x:c r="S67" s="6" t="n">
        <x:f>IF('Debt strategy'!$C$16&gt;0,0,MIN(O67+P67-Q67,MAX(0,'Debt strategy'!$C$5-SUM(E67,K67,Q67,W67,AC67)-SUM(IF(F67&lt;R67,C67+D67-E67,0),IF(L67&lt;R67,I67+J67-K67,0),IF(X67&lt;R67,U67+V67-W67,0),IF(AD67&lt;R67,AA67+AB67-AC67,0)))))</x:f>
        <x:v>0</x:v>
      </x:c>
      <x:c r="T67" s="6" t="n">
        <x:f>ROUND(MAX(0,O67+P67-Q67-S67),2)</x:f>
        <x:v>0</x:v>
      </x:c>
      <x:c r="U67" s="6" t="n">
        <x:f>Z66</x:f>
        <x:v>0</x:v>
      </x:c>
      <x:c r="V67" s="6" t="n">
        <x:f>ROUND(U67*'Debt strategy'!$D$12/12,2)</x:f>
        <x:v>0</x:v>
      </x:c>
      <x:c r="W67" s="6" t="n">
        <x:f>MIN(U67+V67,'Debt strategy'!$E$12)</x:f>
        <x:v>0</x:v>
      </x:c>
      <x:c r="X67" s="27" t="n">
        <x:f>IF(U67+V67-W67&lt;=0,99,1+SUM(IF(AND(C67+D67-E67&gt;0,OR(C67+D67-E67&lt;U67+V67-W67,AND(C67+D67-E67=U67+V67-W67,0&lt;3))),1,0),IF(AND(I67+J67-K67&gt;0,OR(I67+J67-K67&lt;U67+V67-W67,AND(I67+J67-K67=U67+V67-W67,1&lt;3))),1,0),IF(AND(O67+P67-Q67&gt;0,OR(O67+P67-Q67&lt;U67+V67-W67,AND(O67+P67-Q67=U67+V67-W67,2&lt;3))),1,0),IF(AND(AA67+AB67-AC67&gt;0,OR(AA67+AB67-AC67&lt;U67+V67-W67,AND(AA67+AB67-AC67=U67+V67-W67,4&lt;3))),1,0)))</x:f>
        <x:v>99</x:v>
      </x:c>
      <x:c r="Y67" s="6" t="n">
        <x:f>IF('Debt strategy'!$C$16&gt;0,0,MIN(U67+V67-W67,MAX(0,'Debt strategy'!$C$5-SUM(E67,K67,Q67,W67,AC67)-SUM(IF(F67&lt;X67,C67+D67-E67,0),IF(L67&lt;X67,I67+J67-K67,0),IF(R67&lt;X67,O67+P67-Q67,0),IF(AD67&lt;X67,AA67+AB67-AC67,0)))))</x:f>
        <x:v>0</x:v>
      </x:c>
      <x:c r="Z67" s="6" t="n">
        <x:f>ROUND(MAX(0,U67+V67-W67-Y67),2)</x:f>
        <x:v>0</x:v>
      </x:c>
      <x:c r="AA67" s="6" t="n">
        <x:f>AF66</x:f>
        <x:v>0</x:v>
      </x:c>
      <x:c r="AB67" s="6" t="n">
        <x:f>ROUND(AA67*'Debt strategy'!$D$13/12,2)</x:f>
        <x:v>0</x:v>
      </x:c>
      <x:c r="AC67" s="6" t="n">
        <x:f>MIN(AA67+AB67,'Debt strategy'!$E$13)</x:f>
        <x:v>0</x:v>
      </x:c>
      <x:c r="AD67" s="27" t="n">
        <x:f>IF(AA67+AB67-AC67&lt;=0,99,1+SUM(IF(AND(C67+D67-E67&gt;0,OR(C67+D67-E67&lt;AA67+AB67-AC67,AND(C67+D67-E67=AA67+AB67-AC67,0&lt;4))),1,0),IF(AND(I67+J67-K67&gt;0,OR(I67+J67-K67&lt;AA67+AB67-AC67,AND(I67+J67-K67=AA67+AB67-AC67,1&lt;4))),1,0),IF(AND(O67+P67-Q67&gt;0,OR(O67+P67-Q67&lt;AA67+AB67-AC67,AND(O67+P67-Q67=AA67+AB67-AC67,2&lt;4))),1,0),IF(AND(U67+V67-W67&gt;0,OR(U67+V67-W67&lt;AA67+AB67-AC67,AND(U67+V67-W67=AA67+AB67-AC67,3&lt;4))),1,0)))</x:f>
        <x:v>99</x:v>
      </x:c>
      <x:c r="AE67" s="6" t="n">
        <x:f>IF('Debt strategy'!$C$16&gt;0,0,MIN(AA67+AB67-AC67,MAX(0,'Debt strategy'!$C$5-SUM(E67,K67,Q67,W67,AC67)-SUM(IF(F67&lt;AD67,C67+D67-E67,0),IF(L67&lt;AD67,I67+J67-K67,0),IF(R67&lt;AD67,O67+P67-Q67,0),IF(X67&lt;AD67,U67+V67-W67,0)))))</x:f>
        <x:v>0</x:v>
      </x:c>
      <x:c r="AF67" s="6" t="n">
        <x:f>ROUND(MAX(0,AA67+AB67-AC67-AE67),2)</x:f>
        <x:v>0</x:v>
      </x:c>
      <x:c r="AG67" s="6" t="n">
        <x:f>SUM(H67,N67,T67,Z67,AF67)</x:f>
        <x:v>0</x:v>
      </x:c>
      <x:c r="AH67" s="6" t="n">
        <x:f>SUM(D67,J67,P67,V67,AB67)+AH66</x:f>
        <x:v>1353.9499999999996</x:v>
      </x:c>
      <x:c r="AI67" s="2"/>
    </x:row>
    <x:row r="68" ht="23" customHeight="1">
      <x:c r="B68" s="2" t="n">
        <x:f>60</x:f>
        <x:v>60</x:v>
      </x:c>
      <x:c r="C68" s="6" t="n">
        <x:f>H67</x:f>
        <x:v>0</x:v>
      </x:c>
      <x:c r="D68" s="6" t="n">
        <x:f>ROUND(C68*'Debt strategy'!$D$9/12,2)</x:f>
        <x:v>0</x:v>
      </x:c>
      <x:c r="E68" s="6" t="n">
        <x:f>MIN(C68+D68,'Debt strategy'!$E$9)</x:f>
        <x:v>0</x:v>
      </x:c>
      <x:c r="F68" s="27" t="n">
        <x:f>IF(C68+D68-E68&lt;=0,99,1+SUM(IF(AND(I68+J68-K68&gt;0,OR(I68+J68-K68&lt;C68+D68-E68,AND(I68+J68-K68=C68+D68-E68,1&lt;0))),1,0),IF(AND(O68+P68-Q68&gt;0,OR(O68+P68-Q68&lt;C68+D68-E68,AND(O68+P68-Q68=C68+D68-E68,2&lt;0))),1,0),IF(AND(U68+V68-W68&gt;0,OR(U68+V68-W68&lt;C68+D68-E68,AND(U68+V68-W68=C68+D68-E68,3&lt;0))),1,0),IF(AND(AA68+AB68-AC68&gt;0,OR(AA68+AB68-AC68&lt;C68+D68-E68,AND(AA68+AB68-AC68=C68+D68-E68,4&lt;0))),1,0)))</x:f>
        <x:v>99</x:v>
      </x:c>
      <x:c r="G68" s="6" t="n">
        <x:f>IF('Debt strategy'!$C$16&gt;0,0,MIN(C68+D68-E68,MAX(0,'Debt strategy'!$C$5-SUM(E68,K68,Q68,W68,AC68)-SUM(IF(L68&lt;F68,I68+J68-K68,0),IF(R68&lt;F68,O68+P68-Q68,0),IF(X68&lt;F68,U68+V68-W68,0),IF(AD68&lt;F68,AA68+AB68-AC68,0)))))</x:f>
        <x:v>0</x:v>
      </x:c>
      <x:c r="H68" s="6" t="n">
        <x:f>ROUND(MAX(0,C68+D68-E68-G68),2)</x:f>
        <x:v>0</x:v>
      </x:c>
      <x:c r="I68" s="6" t="n">
        <x:f>N67</x:f>
        <x:v>0</x:v>
      </x:c>
      <x:c r="J68" s="6" t="n">
        <x:f>ROUND(I68*'Debt strategy'!$D$10/12,2)</x:f>
        <x:v>0</x:v>
      </x:c>
      <x:c r="K68" s="6" t="n">
        <x:f>MIN(I68+J68,'Debt strategy'!$E$10)</x:f>
        <x:v>0</x:v>
      </x:c>
      <x:c r="L68" s="27" t="n">
        <x:f>IF(I68+J68-K68&lt;=0,99,1+SUM(IF(AND(C68+D68-E68&gt;0,OR(C68+D68-E68&lt;I68+J68-K68,AND(C68+D68-E68=I68+J68-K68,0&lt;1))),1,0),IF(AND(O68+P68-Q68&gt;0,OR(O68+P68-Q68&lt;I68+J68-K68,AND(O68+P68-Q68=I68+J68-K68,2&lt;1))),1,0),IF(AND(U68+V68-W68&gt;0,OR(U68+V68-W68&lt;I68+J68-K68,AND(U68+V68-W68=I68+J68-K68,3&lt;1))),1,0),IF(AND(AA68+AB68-AC68&gt;0,OR(AA68+AB68-AC68&lt;I68+J68-K68,AND(AA68+AB68-AC68=I68+J68-K68,4&lt;1))),1,0)))</x:f>
        <x:v>99</x:v>
      </x:c>
      <x:c r="M68" s="6" t="n">
        <x:f>IF('Debt strategy'!$C$16&gt;0,0,MIN(I68+J68-K68,MAX(0,'Debt strategy'!$C$5-SUM(E68,K68,Q68,W68,AC68)-SUM(IF(F68&lt;L68,C68+D68-E68,0),IF(R68&lt;L68,O68+P68-Q68,0),IF(X68&lt;L68,U68+V68-W68,0),IF(AD68&lt;L68,AA68+AB68-AC68,0)))))</x:f>
        <x:v>0</x:v>
      </x:c>
      <x:c r="N68" s="6" t="n">
        <x:f>ROUND(MAX(0,I68+J68-K68-M68),2)</x:f>
        <x:v>0</x:v>
      </x:c>
      <x:c r="O68" s="6" t="n">
        <x:f>T67</x:f>
        <x:v>0</x:v>
      </x:c>
      <x:c r="P68" s="6" t="n">
        <x:f>ROUND(O68*'Debt strategy'!$D$11/12,2)</x:f>
        <x:v>0</x:v>
      </x:c>
      <x:c r="Q68" s="6" t="n">
        <x:f>MIN(O68+P68,'Debt strategy'!$E$11)</x:f>
        <x:v>0</x:v>
      </x:c>
      <x:c r="R68" s="27" t="n">
        <x:f>IF(O68+P68-Q68&lt;=0,99,1+SUM(IF(AND(C68+D68-E68&gt;0,OR(C68+D68-E68&lt;O68+P68-Q68,AND(C68+D68-E68=O68+P68-Q68,0&lt;2))),1,0),IF(AND(I68+J68-K68&gt;0,OR(I68+J68-K68&lt;O68+P68-Q68,AND(I68+J68-K68=O68+P68-Q68,1&lt;2))),1,0),IF(AND(U68+V68-W68&gt;0,OR(U68+V68-W68&lt;O68+P68-Q68,AND(U68+V68-W68=O68+P68-Q68,3&lt;2))),1,0),IF(AND(AA68+AB68-AC68&gt;0,OR(AA68+AB68-AC68&lt;O68+P68-Q68,AND(AA68+AB68-AC68=O68+P68-Q68,4&lt;2))),1,0)))</x:f>
        <x:v>99</x:v>
      </x:c>
      <x:c r="S68" s="6" t="n">
        <x:f>IF('Debt strategy'!$C$16&gt;0,0,MIN(O68+P68-Q68,MAX(0,'Debt strategy'!$C$5-SUM(E68,K68,Q68,W68,AC68)-SUM(IF(F68&lt;R68,C68+D68-E68,0),IF(L68&lt;R68,I68+J68-K68,0),IF(X68&lt;R68,U68+V68-W68,0),IF(AD68&lt;R68,AA68+AB68-AC68,0)))))</x:f>
        <x:v>0</x:v>
      </x:c>
      <x:c r="T68" s="6" t="n">
        <x:f>ROUND(MAX(0,O68+P68-Q68-S68),2)</x:f>
        <x:v>0</x:v>
      </x:c>
      <x:c r="U68" s="6" t="n">
        <x:f>Z67</x:f>
        <x:v>0</x:v>
      </x:c>
      <x:c r="V68" s="6" t="n">
        <x:f>ROUND(U68*'Debt strategy'!$D$12/12,2)</x:f>
        <x:v>0</x:v>
      </x:c>
      <x:c r="W68" s="6" t="n">
        <x:f>MIN(U68+V68,'Debt strategy'!$E$12)</x:f>
        <x:v>0</x:v>
      </x:c>
      <x:c r="X68" s="27" t="n">
        <x:f>IF(U68+V68-W68&lt;=0,99,1+SUM(IF(AND(C68+D68-E68&gt;0,OR(C68+D68-E68&lt;U68+V68-W68,AND(C68+D68-E68=U68+V68-W68,0&lt;3))),1,0),IF(AND(I68+J68-K68&gt;0,OR(I68+J68-K68&lt;U68+V68-W68,AND(I68+J68-K68=U68+V68-W68,1&lt;3))),1,0),IF(AND(O68+P68-Q68&gt;0,OR(O68+P68-Q68&lt;U68+V68-W68,AND(O68+P68-Q68=U68+V68-W68,2&lt;3))),1,0),IF(AND(AA68+AB68-AC68&gt;0,OR(AA68+AB68-AC68&lt;U68+V68-W68,AND(AA68+AB68-AC68=U68+V68-W68,4&lt;3))),1,0)))</x:f>
        <x:v>99</x:v>
      </x:c>
      <x:c r="Y68" s="6" t="n">
        <x:f>IF('Debt strategy'!$C$16&gt;0,0,MIN(U68+V68-W68,MAX(0,'Debt strategy'!$C$5-SUM(E68,K68,Q68,W68,AC68)-SUM(IF(F68&lt;X68,C68+D68-E68,0),IF(L68&lt;X68,I68+J68-K68,0),IF(R68&lt;X68,O68+P68-Q68,0),IF(AD68&lt;X68,AA68+AB68-AC68,0)))))</x:f>
        <x:v>0</x:v>
      </x:c>
      <x:c r="Z68" s="6" t="n">
        <x:f>ROUND(MAX(0,U68+V68-W68-Y68),2)</x:f>
        <x:v>0</x:v>
      </x:c>
      <x:c r="AA68" s="6" t="n">
        <x:f>AF67</x:f>
        <x:v>0</x:v>
      </x:c>
      <x:c r="AB68" s="6" t="n">
        <x:f>ROUND(AA68*'Debt strategy'!$D$13/12,2)</x:f>
        <x:v>0</x:v>
      </x:c>
      <x:c r="AC68" s="6" t="n">
        <x:f>MIN(AA68+AB68,'Debt strategy'!$E$13)</x:f>
        <x:v>0</x:v>
      </x:c>
      <x:c r="AD68" s="27" t="n">
        <x:f>IF(AA68+AB68-AC68&lt;=0,99,1+SUM(IF(AND(C68+D68-E68&gt;0,OR(C68+D68-E68&lt;AA68+AB68-AC68,AND(C68+D68-E68=AA68+AB68-AC68,0&lt;4))),1,0),IF(AND(I68+J68-K68&gt;0,OR(I68+J68-K68&lt;AA68+AB68-AC68,AND(I68+J68-K68=AA68+AB68-AC68,1&lt;4))),1,0),IF(AND(O68+P68-Q68&gt;0,OR(O68+P68-Q68&lt;AA68+AB68-AC68,AND(O68+P68-Q68=AA68+AB68-AC68,2&lt;4))),1,0),IF(AND(U68+V68-W68&gt;0,OR(U68+V68-W68&lt;AA68+AB68-AC68,AND(U68+V68-W68=AA68+AB68-AC68,3&lt;4))),1,0)))</x:f>
        <x:v>99</x:v>
      </x:c>
      <x:c r="AE68" s="6" t="n">
        <x:f>IF('Debt strategy'!$C$16&gt;0,0,MIN(AA68+AB68-AC68,MAX(0,'Debt strategy'!$C$5-SUM(E68,K68,Q68,W68,AC68)-SUM(IF(F68&lt;AD68,C68+D68-E68,0),IF(L68&lt;AD68,I68+J68-K68,0),IF(R68&lt;AD68,O68+P68-Q68,0),IF(X68&lt;AD68,U68+V68-W68,0)))))</x:f>
        <x:v>0</x:v>
      </x:c>
      <x:c r="AF68" s="6" t="n">
        <x:f>ROUND(MAX(0,AA68+AB68-AC68-AE68),2)</x:f>
        <x:v>0</x:v>
      </x:c>
      <x:c r="AG68" s="6" t="n">
        <x:f>SUM(H68,N68,T68,Z68,AF68)</x:f>
        <x:v>0</x:v>
      </x:c>
      <x:c r="AH68" s="6" t="n">
        <x:f>SUM(D68,J68,P68,V68,AB68)+AH67</x:f>
        <x:v>1353.9499999999996</x:v>
      </x:c>
      <x:c r="AI68" s="2"/>
    </x:row>
    <x:row r="69" ht="23" customHeight="1">
      <x:c r="B69" s="2" t="n">
        <x:f>61</x:f>
        <x:v>61</x:v>
      </x:c>
      <x:c r="C69" s="6" t="n">
        <x:f>H68</x:f>
        <x:v>0</x:v>
      </x:c>
      <x:c r="D69" s="6" t="n">
        <x:f>ROUND(C69*'Debt strategy'!$D$9/12,2)</x:f>
        <x:v>0</x:v>
      </x:c>
      <x:c r="E69" s="6" t="n">
        <x:f>MIN(C69+D69,'Debt strategy'!$E$9)</x:f>
        <x:v>0</x:v>
      </x:c>
      <x:c r="F69" s="27" t="n">
        <x:f>IF(C69+D69-E69&lt;=0,99,1+SUM(IF(AND(I69+J69-K69&gt;0,OR(I69+J69-K69&lt;C69+D69-E69,AND(I69+J69-K69=C69+D69-E69,1&lt;0))),1,0),IF(AND(O69+P69-Q69&gt;0,OR(O69+P69-Q69&lt;C69+D69-E69,AND(O69+P69-Q69=C69+D69-E69,2&lt;0))),1,0),IF(AND(U69+V69-W69&gt;0,OR(U69+V69-W69&lt;C69+D69-E69,AND(U69+V69-W69=C69+D69-E69,3&lt;0))),1,0),IF(AND(AA69+AB69-AC69&gt;0,OR(AA69+AB69-AC69&lt;C69+D69-E69,AND(AA69+AB69-AC69=C69+D69-E69,4&lt;0))),1,0)))</x:f>
        <x:v>99</x:v>
      </x:c>
      <x:c r="G69" s="6" t="n">
        <x:f>IF('Debt strategy'!$C$16&gt;0,0,MIN(C69+D69-E69,MAX(0,'Debt strategy'!$C$5-SUM(E69,K69,Q69,W69,AC69)-SUM(IF(L69&lt;F69,I69+J69-K69,0),IF(R69&lt;F69,O69+P69-Q69,0),IF(X69&lt;F69,U69+V69-W69,0),IF(AD69&lt;F69,AA69+AB69-AC69,0)))))</x:f>
        <x:v>0</x:v>
      </x:c>
      <x:c r="H69" s="6" t="n">
        <x:f>ROUND(MAX(0,C69+D69-E69-G69),2)</x:f>
        <x:v>0</x:v>
      </x:c>
      <x:c r="I69" s="6" t="n">
        <x:f>N68</x:f>
        <x:v>0</x:v>
      </x:c>
      <x:c r="J69" s="6" t="n">
        <x:f>ROUND(I69*'Debt strategy'!$D$10/12,2)</x:f>
        <x:v>0</x:v>
      </x:c>
      <x:c r="K69" s="6" t="n">
        <x:f>MIN(I69+J69,'Debt strategy'!$E$10)</x:f>
        <x:v>0</x:v>
      </x:c>
      <x:c r="L69" s="27" t="n">
        <x:f>IF(I69+J69-K69&lt;=0,99,1+SUM(IF(AND(C69+D69-E69&gt;0,OR(C69+D69-E69&lt;I69+J69-K69,AND(C69+D69-E69=I69+J69-K69,0&lt;1))),1,0),IF(AND(O69+P69-Q69&gt;0,OR(O69+P69-Q69&lt;I69+J69-K69,AND(O69+P69-Q69=I69+J69-K69,2&lt;1))),1,0),IF(AND(U69+V69-W69&gt;0,OR(U69+V69-W69&lt;I69+J69-K69,AND(U69+V69-W69=I69+J69-K69,3&lt;1))),1,0),IF(AND(AA69+AB69-AC69&gt;0,OR(AA69+AB69-AC69&lt;I69+J69-K69,AND(AA69+AB69-AC69=I69+J69-K69,4&lt;1))),1,0)))</x:f>
        <x:v>99</x:v>
      </x:c>
      <x:c r="M69" s="6" t="n">
        <x:f>IF('Debt strategy'!$C$16&gt;0,0,MIN(I69+J69-K69,MAX(0,'Debt strategy'!$C$5-SUM(E69,K69,Q69,W69,AC69)-SUM(IF(F69&lt;L69,C69+D69-E69,0),IF(R69&lt;L69,O69+P69-Q69,0),IF(X69&lt;L69,U69+V69-W69,0),IF(AD69&lt;L69,AA69+AB69-AC69,0)))))</x:f>
        <x:v>0</x:v>
      </x:c>
      <x:c r="N69" s="6" t="n">
        <x:f>ROUND(MAX(0,I69+J69-K69-M69),2)</x:f>
        <x:v>0</x:v>
      </x:c>
      <x:c r="O69" s="6" t="n">
        <x:f>T68</x:f>
        <x:v>0</x:v>
      </x:c>
      <x:c r="P69" s="6" t="n">
        <x:f>ROUND(O69*'Debt strategy'!$D$11/12,2)</x:f>
        <x:v>0</x:v>
      </x:c>
      <x:c r="Q69" s="6" t="n">
        <x:f>MIN(O69+P69,'Debt strategy'!$E$11)</x:f>
        <x:v>0</x:v>
      </x:c>
      <x:c r="R69" s="27" t="n">
        <x:f>IF(O69+P69-Q69&lt;=0,99,1+SUM(IF(AND(C69+D69-E69&gt;0,OR(C69+D69-E69&lt;O69+P69-Q69,AND(C69+D69-E69=O69+P69-Q69,0&lt;2))),1,0),IF(AND(I69+J69-K69&gt;0,OR(I69+J69-K69&lt;O69+P69-Q69,AND(I69+J69-K69=O69+P69-Q69,1&lt;2))),1,0),IF(AND(U69+V69-W69&gt;0,OR(U69+V69-W69&lt;O69+P69-Q69,AND(U69+V69-W69=O69+P69-Q69,3&lt;2))),1,0),IF(AND(AA69+AB69-AC69&gt;0,OR(AA69+AB69-AC69&lt;O69+P69-Q69,AND(AA69+AB69-AC69=O69+P69-Q69,4&lt;2))),1,0)))</x:f>
        <x:v>99</x:v>
      </x:c>
      <x:c r="S69" s="6" t="n">
        <x:f>IF('Debt strategy'!$C$16&gt;0,0,MIN(O69+P69-Q69,MAX(0,'Debt strategy'!$C$5-SUM(E69,K69,Q69,W69,AC69)-SUM(IF(F69&lt;R69,C69+D69-E69,0),IF(L69&lt;R69,I69+J69-K69,0),IF(X69&lt;R69,U69+V69-W69,0),IF(AD69&lt;R69,AA69+AB69-AC69,0)))))</x:f>
        <x:v>0</x:v>
      </x:c>
      <x:c r="T69" s="6" t="n">
        <x:f>ROUND(MAX(0,O69+P69-Q69-S69),2)</x:f>
        <x:v>0</x:v>
      </x:c>
      <x:c r="U69" s="6" t="n">
        <x:f>Z68</x:f>
        <x:v>0</x:v>
      </x:c>
      <x:c r="V69" s="6" t="n">
        <x:f>ROUND(U69*'Debt strategy'!$D$12/12,2)</x:f>
        <x:v>0</x:v>
      </x:c>
      <x:c r="W69" s="6" t="n">
        <x:f>MIN(U69+V69,'Debt strategy'!$E$12)</x:f>
        <x:v>0</x:v>
      </x:c>
      <x:c r="X69" s="27" t="n">
        <x:f>IF(U69+V69-W69&lt;=0,99,1+SUM(IF(AND(C69+D69-E69&gt;0,OR(C69+D69-E69&lt;U69+V69-W69,AND(C69+D69-E69=U69+V69-W69,0&lt;3))),1,0),IF(AND(I69+J69-K69&gt;0,OR(I69+J69-K69&lt;U69+V69-W69,AND(I69+J69-K69=U69+V69-W69,1&lt;3))),1,0),IF(AND(O69+P69-Q69&gt;0,OR(O69+P69-Q69&lt;U69+V69-W69,AND(O69+P69-Q69=U69+V69-W69,2&lt;3))),1,0),IF(AND(AA69+AB69-AC69&gt;0,OR(AA69+AB69-AC69&lt;U69+V69-W69,AND(AA69+AB69-AC69=U69+V69-W69,4&lt;3))),1,0)))</x:f>
        <x:v>99</x:v>
      </x:c>
      <x:c r="Y69" s="6" t="n">
        <x:f>IF('Debt strategy'!$C$16&gt;0,0,MIN(U69+V69-W69,MAX(0,'Debt strategy'!$C$5-SUM(E69,K69,Q69,W69,AC69)-SUM(IF(F69&lt;X69,C69+D69-E69,0),IF(L69&lt;X69,I69+J69-K69,0),IF(R69&lt;X69,O69+P69-Q69,0),IF(AD69&lt;X69,AA69+AB69-AC69,0)))))</x:f>
        <x:v>0</x:v>
      </x:c>
      <x:c r="Z69" s="6" t="n">
        <x:f>ROUND(MAX(0,U69+V69-W69-Y69),2)</x:f>
        <x:v>0</x:v>
      </x:c>
      <x:c r="AA69" s="6" t="n">
        <x:f>AF68</x:f>
        <x:v>0</x:v>
      </x:c>
      <x:c r="AB69" s="6" t="n">
        <x:f>ROUND(AA69*'Debt strategy'!$D$13/12,2)</x:f>
        <x:v>0</x:v>
      </x:c>
      <x:c r="AC69" s="6" t="n">
        <x:f>MIN(AA69+AB69,'Debt strategy'!$E$13)</x:f>
        <x:v>0</x:v>
      </x:c>
      <x:c r="AD69" s="27" t="n">
        <x:f>IF(AA69+AB69-AC69&lt;=0,99,1+SUM(IF(AND(C69+D69-E69&gt;0,OR(C69+D69-E69&lt;AA69+AB69-AC69,AND(C69+D69-E69=AA69+AB69-AC69,0&lt;4))),1,0),IF(AND(I69+J69-K69&gt;0,OR(I69+J69-K69&lt;AA69+AB69-AC69,AND(I69+J69-K69=AA69+AB69-AC69,1&lt;4))),1,0),IF(AND(O69+P69-Q69&gt;0,OR(O69+P69-Q69&lt;AA69+AB69-AC69,AND(O69+P69-Q69=AA69+AB69-AC69,2&lt;4))),1,0),IF(AND(U69+V69-W69&gt;0,OR(U69+V69-W69&lt;AA69+AB69-AC69,AND(U69+V69-W69=AA69+AB69-AC69,3&lt;4))),1,0)))</x:f>
        <x:v>99</x:v>
      </x:c>
      <x:c r="AE69" s="6" t="n">
        <x:f>IF('Debt strategy'!$C$16&gt;0,0,MIN(AA69+AB69-AC69,MAX(0,'Debt strategy'!$C$5-SUM(E69,K69,Q69,W69,AC69)-SUM(IF(F69&lt;AD69,C69+D69-E69,0),IF(L69&lt;AD69,I69+J69-K69,0),IF(R69&lt;AD69,O69+P69-Q69,0),IF(X69&lt;AD69,U69+V69-W69,0)))))</x:f>
        <x:v>0</x:v>
      </x:c>
      <x:c r="AF69" s="6" t="n">
        <x:f>ROUND(MAX(0,AA69+AB69-AC69-AE69),2)</x:f>
        <x:v>0</x:v>
      </x:c>
      <x:c r="AG69" s="6" t="n">
        <x:f>SUM(H69,N69,T69,Z69,AF69)</x:f>
        <x:v>0</x:v>
      </x:c>
      <x:c r="AH69" s="6" t="n">
        <x:f>SUM(D69,J69,P69,V69,AB69)+AH68</x:f>
        <x:v>1353.9499999999996</x:v>
      </x:c>
      <x:c r="AI69" s="2"/>
    </x:row>
    <x:row r="70" ht="23" customHeight="1">
      <x:c r="B70" s="2" t="n">
        <x:f>62</x:f>
        <x:v>62</x:v>
      </x:c>
      <x:c r="C70" s="6" t="n">
        <x:f>H69</x:f>
        <x:v>0</x:v>
      </x:c>
      <x:c r="D70" s="6" t="n">
        <x:f>ROUND(C70*'Debt strategy'!$D$9/12,2)</x:f>
        <x:v>0</x:v>
      </x:c>
      <x:c r="E70" s="6" t="n">
        <x:f>MIN(C70+D70,'Debt strategy'!$E$9)</x:f>
        <x:v>0</x:v>
      </x:c>
      <x:c r="F70" s="27" t="n">
        <x:f>IF(C70+D70-E70&lt;=0,99,1+SUM(IF(AND(I70+J70-K70&gt;0,OR(I70+J70-K70&lt;C70+D70-E70,AND(I70+J70-K70=C70+D70-E70,1&lt;0))),1,0),IF(AND(O70+P70-Q70&gt;0,OR(O70+P70-Q70&lt;C70+D70-E70,AND(O70+P70-Q70=C70+D70-E70,2&lt;0))),1,0),IF(AND(U70+V70-W70&gt;0,OR(U70+V70-W70&lt;C70+D70-E70,AND(U70+V70-W70=C70+D70-E70,3&lt;0))),1,0),IF(AND(AA70+AB70-AC70&gt;0,OR(AA70+AB70-AC70&lt;C70+D70-E70,AND(AA70+AB70-AC70=C70+D70-E70,4&lt;0))),1,0)))</x:f>
        <x:v>99</x:v>
      </x:c>
      <x:c r="G70" s="6" t="n">
        <x:f>IF('Debt strategy'!$C$16&gt;0,0,MIN(C70+D70-E70,MAX(0,'Debt strategy'!$C$5-SUM(E70,K70,Q70,W70,AC70)-SUM(IF(L70&lt;F70,I70+J70-K70,0),IF(R70&lt;F70,O70+P70-Q70,0),IF(X70&lt;F70,U70+V70-W70,0),IF(AD70&lt;F70,AA70+AB70-AC70,0)))))</x:f>
        <x:v>0</x:v>
      </x:c>
      <x:c r="H70" s="6" t="n">
        <x:f>ROUND(MAX(0,C70+D70-E70-G70),2)</x:f>
        <x:v>0</x:v>
      </x:c>
      <x:c r="I70" s="6" t="n">
        <x:f>N69</x:f>
        <x:v>0</x:v>
      </x:c>
      <x:c r="J70" s="6" t="n">
        <x:f>ROUND(I70*'Debt strategy'!$D$10/12,2)</x:f>
        <x:v>0</x:v>
      </x:c>
      <x:c r="K70" s="6" t="n">
        <x:f>MIN(I70+J70,'Debt strategy'!$E$10)</x:f>
        <x:v>0</x:v>
      </x:c>
      <x:c r="L70" s="27" t="n">
        <x:f>IF(I70+J70-K70&lt;=0,99,1+SUM(IF(AND(C70+D70-E70&gt;0,OR(C70+D70-E70&lt;I70+J70-K70,AND(C70+D70-E70=I70+J70-K70,0&lt;1))),1,0),IF(AND(O70+P70-Q70&gt;0,OR(O70+P70-Q70&lt;I70+J70-K70,AND(O70+P70-Q70=I70+J70-K70,2&lt;1))),1,0),IF(AND(U70+V70-W70&gt;0,OR(U70+V70-W70&lt;I70+J70-K70,AND(U70+V70-W70=I70+J70-K70,3&lt;1))),1,0),IF(AND(AA70+AB70-AC70&gt;0,OR(AA70+AB70-AC70&lt;I70+J70-K70,AND(AA70+AB70-AC70=I70+J70-K70,4&lt;1))),1,0)))</x:f>
        <x:v>99</x:v>
      </x:c>
      <x:c r="M70" s="6" t="n">
        <x:f>IF('Debt strategy'!$C$16&gt;0,0,MIN(I70+J70-K70,MAX(0,'Debt strategy'!$C$5-SUM(E70,K70,Q70,W70,AC70)-SUM(IF(F70&lt;L70,C70+D70-E70,0),IF(R70&lt;L70,O70+P70-Q70,0),IF(X70&lt;L70,U70+V70-W70,0),IF(AD70&lt;L70,AA70+AB70-AC70,0)))))</x:f>
        <x:v>0</x:v>
      </x:c>
      <x:c r="N70" s="6" t="n">
        <x:f>ROUND(MAX(0,I70+J70-K70-M70),2)</x:f>
        <x:v>0</x:v>
      </x:c>
      <x:c r="O70" s="6" t="n">
        <x:f>T69</x:f>
        <x:v>0</x:v>
      </x:c>
      <x:c r="P70" s="6" t="n">
        <x:f>ROUND(O70*'Debt strategy'!$D$11/12,2)</x:f>
        <x:v>0</x:v>
      </x:c>
      <x:c r="Q70" s="6" t="n">
        <x:f>MIN(O70+P70,'Debt strategy'!$E$11)</x:f>
        <x:v>0</x:v>
      </x:c>
      <x:c r="R70" s="27" t="n">
        <x:f>IF(O70+P70-Q70&lt;=0,99,1+SUM(IF(AND(C70+D70-E70&gt;0,OR(C70+D70-E70&lt;O70+P70-Q70,AND(C70+D70-E70=O70+P70-Q70,0&lt;2))),1,0),IF(AND(I70+J70-K70&gt;0,OR(I70+J70-K70&lt;O70+P70-Q70,AND(I70+J70-K70=O70+P70-Q70,1&lt;2))),1,0),IF(AND(U70+V70-W70&gt;0,OR(U70+V70-W70&lt;O70+P70-Q70,AND(U70+V70-W70=O70+P70-Q70,3&lt;2))),1,0),IF(AND(AA70+AB70-AC70&gt;0,OR(AA70+AB70-AC70&lt;O70+P70-Q70,AND(AA70+AB70-AC70=O70+P70-Q70,4&lt;2))),1,0)))</x:f>
        <x:v>99</x:v>
      </x:c>
      <x:c r="S70" s="6" t="n">
        <x:f>IF('Debt strategy'!$C$16&gt;0,0,MIN(O70+P70-Q70,MAX(0,'Debt strategy'!$C$5-SUM(E70,K70,Q70,W70,AC70)-SUM(IF(F70&lt;R70,C70+D70-E70,0),IF(L70&lt;R70,I70+J70-K70,0),IF(X70&lt;R70,U70+V70-W70,0),IF(AD70&lt;R70,AA70+AB70-AC70,0)))))</x:f>
        <x:v>0</x:v>
      </x:c>
      <x:c r="T70" s="6" t="n">
        <x:f>ROUND(MAX(0,O70+P70-Q70-S70),2)</x:f>
        <x:v>0</x:v>
      </x:c>
      <x:c r="U70" s="6" t="n">
        <x:f>Z69</x:f>
        <x:v>0</x:v>
      </x:c>
      <x:c r="V70" s="6" t="n">
        <x:f>ROUND(U70*'Debt strategy'!$D$12/12,2)</x:f>
        <x:v>0</x:v>
      </x:c>
      <x:c r="W70" s="6" t="n">
        <x:f>MIN(U70+V70,'Debt strategy'!$E$12)</x:f>
        <x:v>0</x:v>
      </x:c>
      <x:c r="X70" s="27" t="n">
        <x:f>IF(U70+V70-W70&lt;=0,99,1+SUM(IF(AND(C70+D70-E70&gt;0,OR(C70+D70-E70&lt;U70+V70-W70,AND(C70+D70-E70=U70+V70-W70,0&lt;3))),1,0),IF(AND(I70+J70-K70&gt;0,OR(I70+J70-K70&lt;U70+V70-W70,AND(I70+J70-K70=U70+V70-W70,1&lt;3))),1,0),IF(AND(O70+P70-Q70&gt;0,OR(O70+P70-Q70&lt;U70+V70-W70,AND(O70+P70-Q70=U70+V70-W70,2&lt;3))),1,0),IF(AND(AA70+AB70-AC70&gt;0,OR(AA70+AB70-AC70&lt;U70+V70-W70,AND(AA70+AB70-AC70=U70+V70-W70,4&lt;3))),1,0)))</x:f>
        <x:v>99</x:v>
      </x:c>
      <x:c r="Y70" s="6" t="n">
        <x:f>IF('Debt strategy'!$C$16&gt;0,0,MIN(U70+V70-W70,MAX(0,'Debt strategy'!$C$5-SUM(E70,K70,Q70,W70,AC70)-SUM(IF(F70&lt;X70,C70+D70-E70,0),IF(L70&lt;X70,I70+J70-K70,0),IF(R70&lt;X70,O70+P70-Q70,0),IF(AD70&lt;X70,AA70+AB70-AC70,0)))))</x:f>
        <x:v>0</x:v>
      </x:c>
      <x:c r="Z70" s="6" t="n">
        <x:f>ROUND(MAX(0,U70+V70-W70-Y70),2)</x:f>
        <x:v>0</x:v>
      </x:c>
      <x:c r="AA70" s="6" t="n">
        <x:f>AF69</x:f>
        <x:v>0</x:v>
      </x:c>
      <x:c r="AB70" s="6" t="n">
        <x:f>ROUND(AA70*'Debt strategy'!$D$13/12,2)</x:f>
        <x:v>0</x:v>
      </x:c>
      <x:c r="AC70" s="6" t="n">
        <x:f>MIN(AA70+AB70,'Debt strategy'!$E$13)</x:f>
        <x:v>0</x:v>
      </x:c>
      <x:c r="AD70" s="27" t="n">
        <x:f>IF(AA70+AB70-AC70&lt;=0,99,1+SUM(IF(AND(C70+D70-E70&gt;0,OR(C70+D70-E70&lt;AA70+AB70-AC70,AND(C70+D70-E70=AA70+AB70-AC70,0&lt;4))),1,0),IF(AND(I70+J70-K70&gt;0,OR(I70+J70-K70&lt;AA70+AB70-AC70,AND(I70+J70-K70=AA70+AB70-AC70,1&lt;4))),1,0),IF(AND(O70+P70-Q70&gt;0,OR(O70+P70-Q70&lt;AA70+AB70-AC70,AND(O70+P70-Q70=AA70+AB70-AC70,2&lt;4))),1,0),IF(AND(U70+V70-W70&gt;0,OR(U70+V70-W70&lt;AA70+AB70-AC70,AND(U70+V70-W70=AA70+AB70-AC70,3&lt;4))),1,0)))</x:f>
        <x:v>99</x:v>
      </x:c>
      <x:c r="AE70" s="6" t="n">
        <x:f>IF('Debt strategy'!$C$16&gt;0,0,MIN(AA70+AB70-AC70,MAX(0,'Debt strategy'!$C$5-SUM(E70,K70,Q70,W70,AC70)-SUM(IF(F70&lt;AD70,C70+D70-E70,0),IF(L70&lt;AD70,I70+J70-K70,0),IF(R70&lt;AD70,O70+P70-Q70,0),IF(X70&lt;AD70,U70+V70-W70,0)))))</x:f>
        <x:v>0</x:v>
      </x:c>
      <x:c r="AF70" s="6" t="n">
        <x:f>ROUND(MAX(0,AA70+AB70-AC70-AE70),2)</x:f>
        <x:v>0</x:v>
      </x:c>
      <x:c r="AG70" s="6" t="n">
        <x:f>SUM(H70,N70,T70,Z70,AF70)</x:f>
        <x:v>0</x:v>
      </x:c>
      <x:c r="AH70" s="6" t="n">
        <x:f>SUM(D70,J70,P70,V70,AB70)+AH69</x:f>
        <x:v>1353.9499999999996</x:v>
      </x:c>
      <x:c r="AI70" s="2"/>
    </x:row>
    <x:row r="71" ht="23" customHeight="1">
      <x:c r="B71" s="2" t="n">
        <x:f>63</x:f>
        <x:v>63</x:v>
      </x:c>
      <x:c r="C71" s="6" t="n">
        <x:f>H70</x:f>
        <x:v>0</x:v>
      </x:c>
      <x:c r="D71" s="6" t="n">
        <x:f>ROUND(C71*'Debt strategy'!$D$9/12,2)</x:f>
        <x:v>0</x:v>
      </x:c>
      <x:c r="E71" s="6" t="n">
        <x:f>MIN(C71+D71,'Debt strategy'!$E$9)</x:f>
        <x:v>0</x:v>
      </x:c>
      <x:c r="F71" s="27" t="n">
        <x:f>IF(C71+D71-E71&lt;=0,99,1+SUM(IF(AND(I71+J71-K71&gt;0,OR(I71+J71-K71&lt;C71+D71-E71,AND(I71+J71-K71=C71+D71-E71,1&lt;0))),1,0),IF(AND(O71+P71-Q71&gt;0,OR(O71+P71-Q71&lt;C71+D71-E71,AND(O71+P71-Q71=C71+D71-E71,2&lt;0))),1,0),IF(AND(U71+V71-W71&gt;0,OR(U71+V71-W71&lt;C71+D71-E71,AND(U71+V71-W71=C71+D71-E71,3&lt;0))),1,0),IF(AND(AA71+AB71-AC71&gt;0,OR(AA71+AB71-AC71&lt;C71+D71-E71,AND(AA71+AB71-AC71=C71+D71-E71,4&lt;0))),1,0)))</x:f>
        <x:v>99</x:v>
      </x:c>
      <x:c r="G71" s="6" t="n">
        <x:f>IF('Debt strategy'!$C$16&gt;0,0,MIN(C71+D71-E71,MAX(0,'Debt strategy'!$C$5-SUM(E71,K71,Q71,W71,AC71)-SUM(IF(L71&lt;F71,I71+J71-K71,0),IF(R71&lt;F71,O71+P71-Q71,0),IF(X71&lt;F71,U71+V71-W71,0),IF(AD71&lt;F71,AA71+AB71-AC71,0)))))</x:f>
        <x:v>0</x:v>
      </x:c>
      <x:c r="H71" s="6" t="n">
        <x:f>ROUND(MAX(0,C71+D71-E71-G71),2)</x:f>
        <x:v>0</x:v>
      </x:c>
      <x:c r="I71" s="6" t="n">
        <x:f>N70</x:f>
        <x:v>0</x:v>
      </x:c>
      <x:c r="J71" s="6" t="n">
        <x:f>ROUND(I71*'Debt strategy'!$D$10/12,2)</x:f>
        <x:v>0</x:v>
      </x:c>
      <x:c r="K71" s="6" t="n">
        <x:f>MIN(I71+J71,'Debt strategy'!$E$10)</x:f>
        <x:v>0</x:v>
      </x:c>
      <x:c r="L71" s="27" t="n">
        <x:f>IF(I71+J71-K71&lt;=0,99,1+SUM(IF(AND(C71+D71-E71&gt;0,OR(C71+D71-E71&lt;I71+J71-K71,AND(C71+D71-E71=I71+J71-K71,0&lt;1))),1,0),IF(AND(O71+P71-Q71&gt;0,OR(O71+P71-Q71&lt;I71+J71-K71,AND(O71+P71-Q71=I71+J71-K71,2&lt;1))),1,0),IF(AND(U71+V71-W71&gt;0,OR(U71+V71-W71&lt;I71+J71-K71,AND(U71+V71-W71=I71+J71-K71,3&lt;1))),1,0),IF(AND(AA71+AB71-AC71&gt;0,OR(AA71+AB71-AC71&lt;I71+J71-K71,AND(AA71+AB71-AC71=I71+J71-K71,4&lt;1))),1,0)))</x:f>
        <x:v>99</x:v>
      </x:c>
      <x:c r="M71" s="6" t="n">
        <x:f>IF('Debt strategy'!$C$16&gt;0,0,MIN(I71+J71-K71,MAX(0,'Debt strategy'!$C$5-SUM(E71,K71,Q71,W71,AC71)-SUM(IF(F71&lt;L71,C71+D71-E71,0),IF(R71&lt;L71,O71+P71-Q71,0),IF(X71&lt;L71,U71+V71-W71,0),IF(AD71&lt;L71,AA71+AB71-AC71,0)))))</x:f>
        <x:v>0</x:v>
      </x:c>
      <x:c r="N71" s="6" t="n">
        <x:f>ROUND(MAX(0,I71+J71-K71-M71),2)</x:f>
        <x:v>0</x:v>
      </x:c>
      <x:c r="O71" s="6" t="n">
        <x:f>T70</x:f>
        <x:v>0</x:v>
      </x:c>
      <x:c r="P71" s="6" t="n">
        <x:f>ROUND(O71*'Debt strategy'!$D$11/12,2)</x:f>
        <x:v>0</x:v>
      </x:c>
      <x:c r="Q71" s="6" t="n">
        <x:f>MIN(O71+P71,'Debt strategy'!$E$11)</x:f>
        <x:v>0</x:v>
      </x:c>
      <x:c r="R71" s="27" t="n">
        <x:f>IF(O71+P71-Q71&lt;=0,99,1+SUM(IF(AND(C71+D71-E71&gt;0,OR(C71+D71-E71&lt;O71+P71-Q71,AND(C71+D71-E71=O71+P71-Q71,0&lt;2))),1,0),IF(AND(I71+J71-K71&gt;0,OR(I71+J71-K71&lt;O71+P71-Q71,AND(I71+J71-K71=O71+P71-Q71,1&lt;2))),1,0),IF(AND(U71+V71-W71&gt;0,OR(U71+V71-W71&lt;O71+P71-Q71,AND(U71+V71-W71=O71+P71-Q71,3&lt;2))),1,0),IF(AND(AA71+AB71-AC71&gt;0,OR(AA71+AB71-AC71&lt;O71+P71-Q71,AND(AA71+AB71-AC71=O71+P71-Q71,4&lt;2))),1,0)))</x:f>
        <x:v>99</x:v>
      </x:c>
      <x:c r="S71" s="6" t="n">
        <x:f>IF('Debt strategy'!$C$16&gt;0,0,MIN(O71+P71-Q71,MAX(0,'Debt strategy'!$C$5-SUM(E71,K71,Q71,W71,AC71)-SUM(IF(F71&lt;R71,C71+D71-E71,0),IF(L71&lt;R71,I71+J71-K71,0),IF(X71&lt;R71,U71+V71-W71,0),IF(AD71&lt;R71,AA71+AB71-AC71,0)))))</x:f>
        <x:v>0</x:v>
      </x:c>
      <x:c r="T71" s="6" t="n">
        <x:f>ROUND(MAX(0,O71+P71-Q71-S71),2)</x:f>
        <x:v>0</x:v>
      </x:c>
      <x:c r="U71" s="6" t="n">
        <x:f>Z70</x:f>
        <x:v>0</x:v>
      </x:c>
      <x:c r="V71" s="6" t="n">
        <x:f>ROUND(U71*'Debt strategy'!$D$12/12,2)</x:f>
        <x:v>0</x:v>
      </x:c>
      <x:c r="W71" s="6" t="n">
        <x:f>MIN(U71+V71,'Debt strategy'!$E$12)</x:f>
        <x:v>0</x:v>
      </x:c>
      <x:c r="X71" s="27" t="n">
        <x:f>IF(U71+V71-W71&lt;=0,99,1+SUM(IF(AND(C71+D71-E71&gt;0,OR(C71+D71-E71&lt;U71+V71-W71,AND(C71+D71-E71=U71+V71-W71,0&lt;3))),1,0),IF(AND(I71+J71-K71&gt;0,OR(I71+J71-K71&lt;U71+V71-W71,AND(I71+J71-K71=U71+V71-W71,1&lt;3))),1,0),IF(AND(O71+P71-Q71&gt;0,OR(O71+P71-Q71&lt;U71+V71-W71,AND(O71+P71-Q71=U71+V71-W71,2&lt;3))),1,0),IF(AND(AA71+AB71-AC71&gt;0,OR(AA71+AB71-AC71&lt;U71+V71-W71,AND(AA71+AB71-AC71=U71+V71-W71,4&lt;3))),1,0)))</x:f>
        <x:v>99</x:v>
      </x:c>
      <x:c r="Y71" s="6" t="n">
        <x:f>IF('Debt strategy'!$C$16&gt;0,0,MIN(U71+V71-W71,MAX(0,'Debt strategy'!$C$5-SUM(E71,K71,Q71,W71,AC71)-SUM(IF(F71&lt;X71,C71+D71-E71,0),IF(L71&lt;X71,I71+J71-K71,0),IF(R71&lt;X71,O71+P71-Q71,0),IF(AD71&lt;X71,AA71+AB71-AC71,0)))))</x:f>
        <x:v>0</x:v>
      </x:c>
      <x:c r="Z71" s="6" t="n">
        <x:f>ROUND(MAX(0,U71+V71-W71-Y71),2)</x:f>
        <x:v>0</x:v>
      </x:c>
      <x:c r="AA71" s="6" t="n">
        <x:f>AF70</x:f>
        <x:v>0</x:v>
      </x:c>
      <x:c r="AB71" s="6" t="n">
        <x:f>ROUND(AA71*'Debt strategy'!$D$13/12,2)</x:f>
        <x:v>0</x:v>
      </x:c>
      <x:c r="AC71" s="6" t="n">
        <x:f>MIN(AA71+AB71,'Debt strategy'!$E$13)</x:f>
        <x:v>0</x:v>
      </x:c>
      <x:c r="AD71" s="27" t="n">
        <x:f>IF(AA71+AB71-AC71&lt;=0,99,1+SUM(IF(AND(C71+D71-E71&gt;0,OR(C71+D71-E71&lt;AA71+AB71-AC71,AND(C71+D71-E71=AA71+AB71-AC71,0&lt;4))),1,0),IF(AND(I71+J71-K71&gt;0,OR(I71+J71-K71&lt;AA71+AB71-AC71,AND(I71+J71-K71=AA71+AB71-AC71,1&lt;4))),1,0),IF(AND(O71+P71-Q71&gt;0,OR(O71+P71-Q71&lt;AA71+AB71-AC71,AND(O71+P71-Q71=AA71+AB71-AC71,2&lt;4))),1,0),IF(AND(U71+V71-W71&gt;0,OR(U71+V71-W71&lt;AA71+AB71-AC71,AND(U71+V71-W71=AA71+AB71-AC71,3&lt;4))),1,0)))</x:f>
        <x:v>99</x:v>
      </x:c>
      <x:c r="AE71" s="6" t="n">
        <x:f>IF('Debt strategy'!$C$16&gt;0,0,MIN(AA71+AB71-AC71,MAX(0,'Debt strategy'!$C$5-SUM(E71,K71,Q71,W71,AC71)-SUM(IF(F71&lt;AD71,C71+D71-E71,0),IF(L71&lt;AD71,I71+J71-K71,0),IF(R71&lt;AD71,O71+P71-Q71,0),IF(X71&lt;AD71,U71+V71-W71,0)))))</x:f>
        <x:v>0</x:v>
      </x:c>
      <x:c r="AF71" s="6" t="n">
        <x:f>ROUND(MAX(0,AA71+AB71-AC71-AE71),2)</x:f>
        <x:v>0</x:v>
      </x:c>
      <x:c r="AG71" s="6" t="n">
        <x:f>SUM(H71,N71,T71,Z71,AF71)</x:f>
        <x:v>0</x:v>
      </x:c>
      <x:c r="AH71" s="6" t="n">
        <x:f>SUM(D71,J71,P71,V71,AB71)+AH70</x:f>
        <x:v>1353.9499999999996</x:v>
      </x:c>
      <x:c r="AI71" s="2"/>
    </x:row>
    <x:row r="72" ht="23" customHeight="1">
      <x:c r="B72" s="2" t="n">
        <x:f>64</x:f>
        <x:v>64</x:v>
      </x:c>
      <x:c r="C72" s="6" t="n">
        <x:f>H71</x:f>
        <x:v>0</x:v>
      </x:c>
      <x:c r="D72" s="6" t="n">
        <x:f>ROUND(C72*'Debt strategy'!$D$9/12,2)</x:f>
        <x:v>0</x:v>
      </x:c>
      <x:c r="E72" s="6" t="n">
        <x:f>MIN(C72+D72,'Debt strategy'!$E$9)</x:f>
        <x:v>0</x:v>
      </x:c>
      <x:c r="F72" s="27" t="n">
        <x:f>IF(C72+D72-E72&lt;=0,99,1+SUM(IF(AND(I72+J72-K72&gt;0,OR(I72+J72-K72&lt;C72+D72-E72,AND(I72+J72-K72=C72+D72-E72,1&lt;0))),1,0),IF(AND(O72+P72-Q72&gt;0,OR(O72+P72-Q72&lt;C72+D72-E72,AND(O72+P72-Q72=C72+D72-E72,2&lt;0))),1,0),IF(AND(U72+V72-W72&gt;0,OR(U72+V72-W72&lt;C72+D72-E72,AND(U72+V72-W72=C72+D72-E72,3&lt;0))),1,0),IF(AND(AA72+AB72-AC72&gt;0,OR(AA72+AB72-AC72&lt;C72+D72-E72,AND(AA72+AB72-AC72=C72+D72-E72,4&lt;0))),1,0)))</x:f>
        <x:v>99</x:v>
      </x:c>
      <x:c r="G72" s="6" t="n">
        <x:f>IF('Debt strategy'!$C$16&gt;0,0,MIN(C72+D72-E72,MAX(0,'Debt strategy'!$C$5-SUM(E72,K72,Q72,W72,AC72)-SUM(IF(L72&lt;F72,I72+J72-K72,0),IF(R72&lt;F72,O72+P72-Q72,0),IF(X72&lt;F72,U72+V72-W72,0),IF(AD72&lt;F72,AA72+AB72-AC72,0)))))</x:f>
        <x:v>0</x:v>
      </x:c>
      <x:c r="H72" s="6" t="n">
        <x:f>ROUND(MAX(0,C72+D72-E72-G72),2)</x:f>
        <x:v>0</x:v>
      </x:c>
      <x:c r="I72" s="6" t="n">
        <x:f>N71</x:f>
        <x:v>0</x:v>
      </x:c>
      <x:c r="J72" s="6" t="n">
        <x:f>ROUND(I72*'Debt strategy'!$D$10/12,2)</x:f>
        <x:v>0</x:v>
      </x:c>
      <x:c r="K72" s="6" t="n">
        <x:f>MIN(I72+J72,'Debt strategy'!$E$10)</x:f>
        <x:v>0</x:v>
      </x:c>
      <x:c r="L72" s="27" t="n">
        <x:f>IF(I72+J72-K72&lt;=0,99,1+SUM(IF(AND(C72+D72-E72&gt;0,OR(C72+D72-E72&lt;I72+J72-K72,AND(C72+D72-E72=I72+J72-K72,0&lt;1))),1,0),IF(AND(O72+P72-Q72&gt;0,OR(O72+P72-Q72&lt;I72+J72-K72,AND(O72+P72-Q72=I72+J72-K72,2&lt;1))),1,0),IF(AND(U72+V72-W72&gt;0,OR(U72+V72-W72&lt;I72+J72-K72,AND(U72+V72-W72=I72+J72-K72,3&lt;1))),1,0),IF(AND(AA72+AB72-AC72&gt;0,OR(AA72+AB72-AC72&lt;I72+J72-K72,AND(AA72+AB72-AC72=I72+J72-K72,4&lt;1))),1,0)))</x:f>
        <x:v>99</x:v>
      </x:c>
      <x:c r="M72" s="6" t="n">
        <x:f>IF('Debt strategy'!$C$16&gt;0,0,MIN(I72+J72-K72,MAX(0,'Debt strategy'!$C$5-SUM(E72,K72,Q72,W72,AC72)-SUM(IF(F72&lt;L72,C72+D72-E72,0),IF(R72&lt;L72,O72+P72-Q72,0),IF(X72&lt;L72,U72+V72-W72,0),IF(AD72&lt;L72,AA72+AB72-AC72,0)))))</x:f>
        <x:v>0</x:v>
      </x:c>
      <x:c r="N72" s="6" t="n">
        <x:f>ROUND(MAX(0,I72+J72-K72-M72),2)</x:f>
        <x:v>0</x:v>
      </x:c>
      <x:c r="O72" s="6" t="n">
        <x:f>T71</x:f>
        <x:v>0</x:v>
      </x:c>
      <x:c r="P72" s="6" t="n">
        <x:f>ROUND(O72*'Debt strategy'!$D$11/12,2)</x:f>
        <x:v>0</x:v>
      </x:c>
      <x:c r="Q72" s="6" t="n">
        <x:f>MIN(O72+P72,'Debt strategy'!$E$11)</x:f>
        <x:v>0</x:v>
      </x:c>
      <x:c r="R72" s="27" t="n">
        <x:f>IF(O72+P72-Q72&lt;=0,99,1+SUM(IF(AND(C72+D72-E72&gt;0,OR(C72+D72-E72&lt;O72+P72-Q72,AND(C72+D72-E72=O72+P72-Q72,0&lt;2))),1,0),IF(AND(I72+J72-K72&gt;0,OR(I72+J72-K72&lt;O72+P72-Q72,AND(I72+J72-K72=O72+P72-Q72,1&lt;2))),1,0),IF(AND(U72+V72-W72&gt;0,OR(U72+V72-W72&lt;O72+P72-Q72,AND(U72+V72-W72=O72+P72-Q72,3&lt;2))),1,0),IF(AND(AA72+AB72-AC72&gt;0,OR(AA72+AB72-AC72&lt;O72+P72-Q72,AND(AA72+AB72-AC72=O72+P72-Q72,4&lt;2))),1,0)))</x:f>
        <x:v>99</x:v>
      </x:c>
      <x:c r="S72" s="6" t="n">
        <x:f>IF('Debt strategy'!$C$16&gt;0,0,MIN(O72+P72-Q72,MAX(0,'Debt strategy'!$C$5-SUM(E72,K72,Q72,W72,AC72)-SUM(IF(F72&lt;R72,C72+D72-E72,0),IF(L72&lt;R72,I72+J72-K72,0),IF(X72&lt;R72,U72+V72-W72,0),IF(AD72&lt;R72,AA72+AB72-AC72,0)))))</x:f>
        <x:v>0</x:v>
      </x:c>
      <x:c r="T72" s="6" t="n">
        <x:f>ROUND(MAX(0,O72+P72-Q72-S72),2)</x:f>
        <x:v>0</x:v>
      </x:c>
      <x:c r="U72" s="6" t="n">
        <x:f>Z71</x:f>
        <x:v>0</x:v>
      </x:c>
      <x:c r="V72" s="6" t="n">
        <x:f>ROUND(U72*'Debt strategy'!$D$12/12,2)</x:f>
        <x:v>0</x:v>
      </x:c>
      <x:c r="W72" s="6" t="n">
        <x:f>MIN(U72+V72,'Debt strategy'!$E$12)</x:f>
        <x:v>0</x:v>
      </x:c>
      <x:c r="X72" s="27" t="n">
        <x:f>IF(U72+V72-W72&lt;=0,99,1+SUM(IF(AND(C72+D72-E72&gt;0,OR(C72+D72-E72&lt;U72+V72-W72,AND(C72+D72-E72=U72+V72-W72,0&lt;3))),1,0),IF(AND(I72+J72-K72&gt;0,OR(I72+J72-K72&lt;U72+V72-W72,AND(I72+J72-K72=U72+V72-W72,1&lt;3))),1,0),IF(AND(O72+P72-Q72&gt;0,OR(O72+P72-Q72&lt;U72+V72-W72,AND(O72+P72-Q72=U72+V72-W72,2&lt;3))),1,0),IF(AND(AA72+AB72-AC72&gt;0,OR(AA72+AB72-AC72&lt;U72+V72-W72,AND(AA72+AB72-AC72=U72+V72-W72,4&lt;3))),1,0)))</x:f>
        <x:v>99</x:v>
      </x:c>
      <x:c r="Y72" s="6" t="n">
        <x:f>IF('Debt strategy'!$C$16&gt;0,0,MIN(U72+V72-W72,MAX(0,'Debt strategy'!$C$5-SUM(E72,K72,Q72,W72,AC72)-SUM(IF(F72&lt;X72,C72+D72-E72,0),IF(L72&lt;X72,I72+J72-K72,0),IF(R72&lt;X72,O72+P72-Q72,0),IF(AD72&lt;X72,AA72+AB72-AC72,0)))))</x:f>
        <x:v>0</x:v>
      </x:c>
      <x:c r="Z72" s="6" t="n">
        <x:f>ROUND(MAX(0,U72+V72-W72-Y72),2)</x:f>
        <x:v>0</x:v>
      </x:c>
      <x:c r="AA72" s="6" t="n">
        <x:f>AF71</x:f>
        <x:v>0</x:v>
      </x:c>
      <x:c r="AB72" s="6" t="n">
        <x:f>ROUND(AA72*'Debt strategy'!$D$13/12,2)</x:f>
        <x:v>0</x:v>
      </x:c>
      <x:c r="AC72" s="6" t="n">
        <x:f>MIN(AA72+AB72,'Debt strategy'!$E$13)</x:f>
        <x:v>0</x:v>
      </x:c>
      <x:c r="AD72" s="27" t="n">
        <x:f>IF(AA72+AB72-AC72&lt;=0,99,1+SUM(IF(AND(C72+D72-E72&gt;0,OR(C72+D72-E72&lt;AA72+AB72-AC72,AND(C72+D72-E72=AA72+AB72-AC72,0&lt;4))),1,0),IF(AND(I72+J72-K72&gt;0,OR(I72+J72-K72&lt;AA72+AB72-AC72,AND(I72+J72-K72=AA72+AB72-AC72,1&lt;4))),1,0),IF(AND(O72+P72-Q72&gt;0,OR(O72+P72-Q72&lt;AA72+AB72-AC72,AND(O72+P72-Q72=AA72+AB72-AC72,2&lt;4))),1,0),IF(AND(U72+V72-W72&gt;0,OR(U72+V72-W72&lt;AA72+AB72-AC72,AND(U72+V72-W72=AA72+AB72-AC72,3&lt;4))),1,0)))</x:f>
        <x:v>99</x:v>
      </x:c>
      <x:c r="AE72" s="6" t="n">
        <x:f>IF('Debt strategy'!$C$16&gt;0,0,MIN(AA72+AB72-AC72,MAX(0,'Debt strategy'!$C$5-SUM(E72,K72,Q72,W72,AC72)-SUM(IF(F72&lt;AD72,C72+D72-E72,0),IF(L72&lt;AD72,I72+J72-K72,0),IF(R72&lt;AD72,O72+P72-Q72,0),IF(X72&lt;AD72,U72+V72-W72,0)))))</x:f>
        <x:v>0</x:v>
      </x:c>
      <x:c r="AF72" s="6" t="n">
        <x:f>ROUND(MAX(0,AA72+AB72-AC72-AE72),2)</x:f>
        <x:v>0</x:v>
      </x:c>
      <x:c r="AG72" s="6" t="n">
        <x:f>SUM(H72,N72,T72,Z72,AF72)</x:f>
        <x:v>0</x:v>
      </x:c>
      <x:c r="AH72" s="6" t="n">
        <x:f>SUM(D72,J72,P72,V72,AB72)+AH71</x:f>
        <x:v>1353.9499999999996</x:v>
      </x:c>
      <x:c r="AI72" s="2"/>
    </x:row>
    <x:row r="73" ht="23" customHeight="1">
      <x:c r="B73" s="2" t="n">
        <x:f>65</x:f>
        <x:v>65</x:v>
      </x:c>
      <x:c r="C73" s="6" t="n">
        <x:f>H72</x:f>
        <x:v>0</x:v>
      </x:c>
      <x:c r="D73" s="6" t="n">
        <x:f>ROUND(C73*'Debt strategy'!$D$9/12,2)</x:f>
        <x:v>0</x:v>
      </x:c>
      <x:c r="E73" s="6" t="n">
        <x:f>MIN(C73+D73,'Debt strategy'!$E$9)</x:f>
        <x:v>0</x:v>
      </x:c>
      <x:c r="F73" s="27" t="n">
        <x:f>IF(C73+D73-E73&lt;=0,99,1+SUM(IF(AND(I73+J73-K73&gt;0,OR(I73+J73-K73&lt;C73+D73-E73,AND(I73+J73-K73=C73+D73-E73,1&lt;0))),1,0),IF(AND(O73+P73-Q73&gt;0,OR(O73+P73-Q73&lt;C73+D73-E73,AND(O73+P73-Q73=C73+D73-E73,2&lt;0))),1,0),IF(AND(U73+V73-W73&gt;0,OR(U73+V73-W73&lt;C73+D73-E73,AND(U73+V73-W73=C73+D73-E73,3&lt;0))),1,0),IF(AND(AA73+AB73-AC73&gt;0,OR(AA73+AB73-AC73&lt;C73+D73-E73,AND(AA73+AB73-AC73=C73+D73-E73,4&lt;0))),1,0)))</x:f>
        <x:v>99</x:v>
      </x:c>
      <x:c r="G73" s="6" t="n">
        <x:f>IF('Debt strategy'!$C$16&gt;0,0,MIN(C73+D73-E73,MAX(0,'Debt strategy'!$C$5-SUM(E73,K73,Q73,W73,AC73)-SUM(IF(L73&lt;F73,I73+J73-K73,0),IF(R73&lt;F73,O73+P73-Q73,0),IF(X73&lt;F73,U73+V73-W73,0),IF(AD73&lt;F73,AA73+AB73-AC73,0)))))</x:f>
        <x:v>0</x:v>
      </x:c>
      <x:c r="H73" s="6" t="n">
        <x:f>ROUND(MAX(0,C73+D73-E73-G73),2)</x:f>
        <x:v>0</x:v>
      </x:c>
      <x:c r="I73" s="6" t="n">
        <x:f>N72</x:f>
        <x:v>0</x:v>
      </x:c>
      <x:c r="J73" s="6" t="n">
        <x:f>ROUND(I73*'Debt strategy'!$D$10/12,2)</x:f>
        <x:v>0</x:v>
      </x:c>
      <x:c r="K73" s="6" t="n">
        <x:f>MIN(I73+J73,'Debt strategy'!$E$10)</x:f>
        <x:v>0</x:v>
      </x:c>
      <x:c r="L73" s="27" t="n">
        <x:f>IF(I73+J73-K73&lt;=0,99,1+SUM(IF(AND(C73+D73-E73&gt;0,OR(C73+D73-E73&lt;I73+J73-K73,AND(C73+D73-E73=I73+J73-K73,0&lt;1))),1,0),IF(AND(O73+P73-Q73&gt;0,OR(O73+P73-Q73&lt;I73+J73-K73,AND(O73+P73-Q73=I73+J73-K73,2&lt;1))),1,0),IF(AND(U73+V73-W73&gt;0,OR(U73+V73-W73&lt;I73+J73-K73,AND(U73+V73-W73=I73+J73-K73,3&lt;1))),1,0),IF(AND(AA73+AB73-AC73&gt;0,OR(AA73+AB73-AC73&lt;I73+J73-K73,AND(AA73+AB73-AC73=I73+J73-K73,4&lt;1))),1,0)))</x:f>
        <x:v>99</x:v>
      </x:c>
      <x:c r="M73" s="6" t="n">
        <x:f>IF('Debt strategy'!$C$16&gt;0,0,MIN(I73+J73-K73,MAX(0,'Debt strategy'!$C$5-SUM(E73,K73,Q73,W73,AC73)-SUM(IF(F73&lt;L73,C73+D73-E73,0),IF(R73&lt;L73,O73+P73-Q73,0),IF(X73&lt;L73,U73+V73-W73,0),IF(AD73&lt;L73,AA73+AB73-AC73,0)))))</x:f>
        <x:v>0</x:v>
      </x:c>
      <x:c r="N73" s="6" t="n">
        <x:f>ROUND(MAX(0,I73+J73-K73-M73),2)</x:f>
        <x:v>0</x:v>
      </x:c>
      <x:c r="O73" s="6" t="n">
        <x:f>T72</x:f>
        <x:v>0</x:v>
      </x:c>
      <x:c r="P73" s="6" t="n">
        <x:f>ROUND(O73*'Debt strategy'!$D$11/12,2)</x:f>
        <x:v>0</x:v>
      </x:c>
      <x:c r="Q73" s="6" t="n">
        <x:f>MIN(O73+P73,'Debt strategy'!$E$11)</x:f>
        <x:v>0</x:v>
      </x:c>
      <x:c r="R73" s="27" t="n">
        <x:f>IF(O73+P73-Q73&lt;=0,99,1+SUM(IF(AND(C73+D73-E73&gt;0,OR(C73+D73-E73&lt;O73+P73-Q73,AND(C73+D73-E73=O73+P73-Q73,0&lt;2))),1,0),IF(AND(I73+J73-K73&gt;0,OR(I73+J73-K73&lt;O73+P73-Q73,AND(I73+J73-K73=O73+P73-Q73,1&lt;2))),1,0),IF(AND(U73+V73-W73&gt;0,OR(U73+V73-W73&lt;O73+P73-Q73,AND(U73+V73-W73=O73+P73-Q73,3&lt;2))),1,0),IF(AND(AA73+AB73-AC73&gt;0,OR(AA73+AB73-AC73&lt;O73+P73-Q73,AND(AA73+AB73-AC73=O73+P73-Q73,4&lt;2))),1,0)))</x:f>
        <x:v>99</x:v>
      </x:c>
      <x:c r="S73" s="6" t="n">
        <x:f>IF('Debt strategy'!$C$16&gt;0,0,MIN(O73+P73-Q73,MAX(0,'Debt strategy'!$C$5-SUM(E73,K73,Q73,W73,AC73)-SUM(IF(F73&lt;R73,C73+D73-E73,0),IF(L73&lt;R73,I73+J73-K73,0),IF(X73&lt;R73,U73+V73-W73,0),IF(AD73&lt;R73,AA73+AB73-AC73,0)))))</x:f>
        <x:v>0</x:v>
      </x:c>
      <x:c r="T73" s="6" t="n">
        <x:f>ROUND(MAX(0,O73+P73-Q73-S73),2)</x:f>
        <x:v>0</x:v>
      </x:c>
      <x:c r="U73" s="6" t="n">
        <x:f>Z72</x:f>
        <x:v>0</x:v>
      </x:c>
      <x:c r="V73" s="6" t="n">
        <x:f>ROUND(U73*'Debt strategy'!$D$12/12,2)</x:f>
        <x:v>0</x:v>
      </x:c>
      <x:c r="W73" s="6" t="n">
        <x:f>MIN(U73+V73,'Debt strategy'!$E$12)</x:f>
        <x:v>0</x:v>
      </x:c>
      <x:c r="X73" s="27" t="n">
        <x:f>IF(U73+V73-W73&lt;=0,99,1+SUM(IF(AND(C73+D73-E73&gt;0,OR(C73+D73-E73&lt;U73+V73-W73,AND(C73+D73-E73=U73+V73-W73,0&lt;3))),1,0),IF(AND(I73+J73-K73&gt;0,OR(I73+J73-K73&lt;U73+V73-W73,AND(I73+J73-K73=U73+V73-W73,1&lt;3))),1,0),IF(AND(O73+P73-Q73&gt;0,OR(O73+P73-Q73&lt;U73+V73-W73,AND(O73+P73-Q73=U73+V73-W73,2&lt;3))),1,0),IF(AND(AA73+AB73-AC73&gt;0,OR(AA73+AB73-AC73&lt;U73+V73-W73,AND(AA73+AB73-AC73=U73+V73-W73,4&lt;3))),1,0)))</x:f>
        <x:v>99</x:v>
      </x:c>
      <x:c r="Y73" s="6" t="n">
        <x:f>IF('Debt strategy'!$C$16&gt;0,0,MIN(U73+V73-W73,MAX(0,'Debt strategy'!$C$5-SUM(E73,K73,Q73,W73,AC73)-SUM(IF(F73&lt;X73,C73+D73-E73,0),IF(L73&lt;X73,I73+J73-K73,0),IF(R73&lt;X73,O73+P73-Q73,0),IF(AD73&lt;X73,AA73+AB73-AC73,0)))))</x:f>
        <x:v>0</x:v>
      </x:c>
      <x:c r="Z73" s="6" t="n">
        <x:f>ROUND(MAX(0,U73+V73-W73-Y73),2)</x:f>
        <x:v>0</x:v>
      </x:c>
      <x:c r="AA73" s="6" t="n">
        <x:f>AF72</x:f>
        <x:v>0</x:v>
      </x:c>
      <x:c r="AB73" s="6" t="n">
        <x:f>ROUND(AA73*'Debt strategy'!$D$13/12,2)</x:f>
        <x:v>0</x:v>
      </x:c>
      <x:c r="AC73" s="6" t="n">
        <x:f>MIN(AA73+AB73,'Debt strategy'!$E$13)</x:f>
        <x:v>0</x:v>
      </x:c>
      <x:c r="AD73" s="27" t="n">
        <x:f>IF(AA73+AB73-AC73&lt;=0,99,1+SUM(IF(AND(C73+D73-E73&gt;0,OR(C73+D73-E73&lt;AA73+AB73-AC73,AND(C73+D73-E73=AA73+AB73-AC73,0&lt;4))),1,0),IF(AND(I73+J73-K73&gt;0,OR(I73+J73-K73&lt;AA73+AB73-AC73,AND(I73+J73-K73=AA73+AB73-AC73,1&lt;4))),1,0),IF(AND(O73+P73-Q73&gt;0,OR(O73+P73-Q73&lt;AA73+AB73-AC73,AND(O73+P73-Q73=AA73+AB73-AC73,2&lt;4))),1,0),IF(AND(U73+V73-W73&gt;0,OR(U73+V73-W73&lt;AA73+AB73-AC73,AND(U73+V73-W73=AA73+AB73-AC73,3&lt;4))),1,0)))</x:f>
        <x:v>99</x:v>
      </x:c>
      <x:c r="AE73" s="6" t="n">
        <x:f>IF('Debt strategy'!$C$16&gt;0,0,MIN(AA73+AB73-AC73,MAX(0,'Debt strategy'!$C$5-SUM(E73,K73,Q73,W73,AC73)-SUM(IF(F73&lt;AD73,C73+D73-E73,0),IF(L73&lt;AD73,I73+J73-K73,0),IF(R73&lt;AD73,O73+P73-Q73,0),IF(X73&lt;AD73,U73+V73-W73,0)))))</x:f>
        <x:v>0</x:v>
      </x:c>
      <x:c r="AF73" s="6" t="n">
        <x:f>ROUND(MAX(0,AA73+AB73-AC73-AE73),2)</x:f>
        <x:v>0</x:v>
      </x:c>
      <x:c r="AG73" s="6" t="n">
        <x:f>SUM(H73,N73,T73,Z73,AF73)</x:f>
        <x:v>0</x:v>
      </x:c>
      <x:c r="AH73" s="6" t="n">
        <x:f>SUM(D73,J73,P73,V73,AB73)+AH72</x:f>
        <x:v>1353.9499999999996</x:v>
      </x:c>
      <x:c r="AI73" s="2"/>
    </x:row>
    <x:row r="74" ht="23" customHeight="1">
      <x:c r="B74" s="2" t="n">
        <x:f>66</x:f>
        <x:v>66</x:v>
      </x:c>
      <x:c r="C74" s="6" t="n">
        <x:f>H73</x:f>
        <x:v>0</x:v>
      </x:c>
      <x:c r="D74" s="6" t="n">
        <x:f>ROUND(C74*'Debt strategy'!$D$9/12,2)</x:f>
        <x:v>0</x:v>
      </x:c>
      <x:c r="E74" s="6" t="n">
        <x:f>MIN(C74+D74,'Debt strategy'!$E$9)</x:f>
        <x:v>0</x:v>
      </x:c>
      <x:c r="F74" s="27" t="n">
        <x:f>IF(C74+D74-E74&lt;=0,99,1+SUM(IF(AND(I74+J74-K74&gt;0,OR(I74+J74-K74&lt;C74+D74-E74,AND(I74+J74-K74=C74+D74-E74,1&lt;0))),1,0),IF(AND(O74+P74-Q74&gt;0,OR(O74+P74-Q74&lt;C74+D74-E74,AND(O74+P74-Q74=C74+D74-E74,2&lt;0))),1,0),IF(AND(U74+V74-W74&gt;0,OR(U74+V74-W74&lt;C74+D74-E74,AND(U74+V74-W74=C74+D74-E74,3&lt;0))),1,0),IF(AND(AA74+AB74-AC74&gt;0,OR(AA74+AB74-AC74&lt;C74+D74-E74,AND(AA74+AB74-AC74=C74+D74-E74,4&lt;0))),1,0)))</x:f>
        <x:v>99</x:v>
      </x:c>
      <x:c r="G74" s="6" t="n">
        <x:f>IF('Debt strategy'!$C$16&gt;0,0,MIN(C74+D74-E74,MAX(0,'Debt strategy'!$C$5-SUM(E74,K74,Q74,W74,AC74)-SUM(IF(L74&lt;F74,I74+J74-K74,0),IF(R74&lt;F74,O74+P74-Q74,0),IF(X74&lt;F74,U74+V74-W74,0),IF(AD74&lt;F74,AA74+AB74-AC74,0)))))</x:f>
        <x:v>0</x:v>
      </x:c>
      <x:c r="H74" s="6" t="n">
        <x:f>ROUND(MAX(0,C74+D74-E74-G74),2)</x:f>
        <x:v>0</x:v>
      </x:c>
      <x:c r="I74" s="6" t="n">
        <x:f>N73</x:f>
        <x:v>0</x:v>
      </x:c>
      <x:c r="J74" s="6" t="n">
        <x:f>ROUND(I74*'Debt strategy'!$D$10/12,2)</x:f>
        <x:v>0</x:v>
      </x:c>
      <x:c r="K74" s="6" t="n">
        <x:f>MIN(I74+J74,'Debt strategy'!$E$10)</x:f>
        <x:v>0</x:v>
      </x:c>
      <x:c r="L74" s="27" t="n">
        <x:f>IF(I74+J74-K74&lt;=0,99,1+SUM(IF(AND(C74+D74-E74&gt;0,OR(C74+D74-E74&lt;I74+J74-K74,AND(C74+D74-E74=I74+J74-K74,0&lt;1))),1,0),IF(AND(O74+P74-Q74&gt;0,OR(O74+P74-Q74&lt;I74+J74-K74,AND(O74+P74-Q74=I74+J74-K74,2&lt;1))),1,0),IF(AND(U74+V74-W74&gt;0,OR(U74+V74-W74&lt;I74+J74-K74,AND(U74+V74-W74=I74+J74-K74,3&lt;1))),1,0),IF(AND(AA74+AB74-AC74&gt;0,OR(AA74+AB74-AC74&lt;I74+J74-K74,AND(AA74+AB74-AC74=I74+J74-K74,4&lt;1))),1,0)))</x:f>
        <x:v>99</x:v>
      </x:c>
      <x:c r="M74" s="6" t="n">
        <x:f>IF('Debt strategy'!$C$16&gt;0,0,MIN(I74+J74-K74,MAX(0,'Debt strategy'!$C$5-SUM(E74,K74,Q74,W74,AC74)-SUM(IF(F74&lt;L74,C74+D74-E74,0),IF(R74&lt;L74,O74+P74-Q74,0),IF(X74&lt;L74,U74+V74-W74,0),IF(AD74&lt;L74,AA74+AB74-AC74,0)))))</x:f>
        <x:v>0</x:v>
      </x:c>
      <x:c r="N74" s="6" t="n">
        <x:f>ROUND(MAX(0,I74+J74-K74-M74),2)</x:f>
        <x:v>0</x:v>
      </x:c>
      <x:c r="O74" s="6" t="n">
        <x:f>T73</x:f>
        <x:v>0</x:v>
      </x:c>
      <x:c r="P74" s="6" t="n">
        <x:f>ROUND(O74*'Debt strategy'!$D$11/12,2)</x:f>
        <x:v>0</x:v>
      </x:c>
      <x:c r="Q74" s="6" t="n">
        <x:f>MIN(O74+P74,'Debt strategy'!$E$11)</x:f>
        <x:v>0</x:v>
      </x:c>
      <x:c r="R74" s="27" t="n">
        <x:f>IF(O74+P74-Q74&lt;=0,99,1+SUM(IF(AND(C74+D74-E74&gt;0,OR(C74+D74-E74&lt;O74+P74-Q74,AND(C74+D74-E74=O74+P74-Q74,0&lt;2))),1,0),IF(AND(I74+J74-K74&gt;0,OR(I74+J74-K74&lt;O74+P74-Q74,AND(I74+J74-K74=O74+P74-Q74,1&lt;2))),1,0),IF(AND(U74+V74-W74&gt;0,OR(U74+V74-W74&lt;O74+P74-Q74,AND(U74+V74-W74=O74+P74-Q74,3&lt;2))),1,0),IF(AND(AA74+AB74-AC74&gt;0,OR(AA74+AB74-AC74&lt;O74+P74-Q74,AND(AA74+AB74-AC74=O74+P74-Q74,4&lt;2))),1,0)))</x:f>
        <x:v>99</x:v>
      </x:c>
      <x:c r="S74" s="6" t="n">
        <x:f>IF('Debt strategy'!$C$16&gt;0,0,MIN(O74+P74-Q74,MAX(0,'Debt strategy'!$C$5-SUM(E74,K74,Q74,W74,AC74)-SUM(IF(F74&lt;R74,C74+D74-E74,0),IF(L74&lt;R74,I74+J74-K74,0),IF(X74&lt;R74,U74+V74-W74,0),IF(AD74&lt;R74,AA74+AB74-AC74,0)))))</x:f>
        <x:v>0</x:v>
      </x:c>
      <x:c r="T74" s="6" t="n">
        <x:f>ROUND(MAX(0,O74+P74-Q74-S74),2)</x:f>
        <x:v>0</x:v>
      </x:c>
      <x:c r="U74" s="6" t="n">
        <x:f>Z73</x:f>
        <x:v>0</x:v>
      </x:c>
      <x:c r="V74" s="6" t="n">
        <x:f>ROUND(U74*'Debt strategy'!$D$12/12,2)</x:f>
        <x:v>0</x:v>
      </x:c>
      <x:c r="W74" s="6" t="n">
        <x:f>MIN(U74+V74,'Debt strategy'!$E$12)</x:f>
        <x:v>0</x:v>
      </x:c>
      <x:c r="X74" s="27" t="n">
        <x:f>IF(U74+V74-W74&lt;=0,99,1+SUM(IF(AND(C74+D74-E74&gt;0,OR(C74+D74-E74&lt;U74+V74-W74,AND(C74+D74-E74=U74+V74-W74,0&lt;3))),1,0),IF(AND(I74+J74-K74&gt;0,OR(I74+J74-K74&lt;U74+V74-W74,AND(I74+J74-K74=U74+V74-W74,1&lt;3))),1,0),IF(AND(O74+P74-Q74&gt;0,OR(O74+P74-Q74&lt;U74+V74-W74,AND(O74+P74-Q74=U74+V74-W74,2&lt;3))),1,0),IF(AND(AA74+AB74-AC74&gt;0,OR(AA74+AB74-AC74&lt;U74+V74-W74,AND(AA74+AB74-AC74=U74+V74-W74,4&lt;3))),1,0)))</x:f>
        <x:v>99</x:v>
      </x:c>
      <x:c r="Y74" s="6" t="n">
        <x:f>IF('Debt strategy'!$C$16&gt;0,0,MIN(U74+V74-W74,MAX(0,'Debt strategy'!$C$5-SUM(E74,K74,Q74,W74,AC74)-SUM(IF(F74&lt;X74,C74+D74-E74,0),IF(L74&lt;X74,I74+J74-K74,0),IF(R74&lt;X74,O74+P74-Q74,0),IF(AD74&lt;X74,AA74+AB74-AC74,0)))))</x:f>
        <x:v>0</x:v>
      </x:c>
      <x:c r="Z74" s="6" t="n">
        <x:f>ROUND(MAX(0,U74+V74-W74-Y74),2)</x:f>
        <x:v>0</x:v>
      </x:c>
      <x:c r="AA74" s="6" t="n">
        <x:f>AF73</x:f>
        <x:v>0</x:v>
      </x:c>
      <x:c r="AB74" s="6" t="n">
        <x:f>ROUND(AA74*'Debt strategy'!$D$13/12,2)</x:f>
        <x:v>0</x:v>
      </x:c>
      <x:c r="AC74" s="6" t="n">
        <x:f>MIN(AA74+AB74,'Debt strategy'!$E$13)</x:f>
        <x:v>0</x:v>
      </x:c>
      <x:c r="AD74" s="27" t="n">
        <x:f>IF(AA74+AB74-AC74&lt;=0,99,1+SUM(IF(AND(C74+D74-E74&gt;0,OR(C74+D74-E74&lt;AA74+AB74-AC74,AND(C74+D74-E74=AA74+AB74-AC74,0&lt;4))),1,0),IF(AND(I74+J74-K74&gt;0,OR(I74+J74-K74&lt;AA74+AB74-AC74,AND(I74+J74-K74=AA74+AB74-AC74,1&lt;4))),1,0),IF(AND(O74+P74-Q74&gt;0,OR(O74+P74-Q74&lt;AA74+AB74-AC74,AND(O74+P74-Q74=AA74+AB74-AC74,2&lt;4))),1,0),IF(AND(U74+V74-W74&gt;0,OR(U74+V74-W74&lt;AA74+AB74-AC74,AND(U74+V74-W74=AA74+AB74-AC74,3&lt;4))),1,0)))</x:f>
        <x:v>99</x:v>
      </x:c>
      <x:c r="AE74" s="6" t="n">
        <x:f>IF('Debt strategy'!$C$16&gt;0,0,MIN(AA74+AB74-AC74,MAX(0,'Debt strategy'!$C$5-SUM(E74,K74,Q74,W74,AC74)-SUM(IF(F74&lt;AD74,C74+D74-E74,0),IF(L74&lt;AD74,I74+J74-K74,0),IF(R74&lt;AD74,O74+P74-Q74,0),IF(X74&lt;AD74,U74+V74-W74,0)))))</x:f>
        <x:v>0</x:v>
      </x:c>
      <x:c r="AF74" s="6" t="n">
        <x:f>ROUND(MAX(0,AA74+AB74-AC74-AE74),2)</x:f>
        <x:v>0</x:v>
      </x:c>
      <x:c r="AG74" s="6" t="n">
        <x:f>SUM(H74,N74,T74,Z74,AF74)</x:f>
        <x:v>0</x:v>
      </x:c>
      <x:c r="AH74" s="6" t="n">
        <x:f>SUM(D74,J74,P74,V74,AB74)+AH73</x:f>
        <x:v>1353.9499999999996</x:v>
      </x:c>
      <x:c r="AI74" s="2"/>
    </x:row>
    <x:row r="75" ht="23" customHeight="1">
      <x:c r="B75" s="2" t="n">
        <x:f>67</x:f>
        <x:v>67</x:v>
      </x:c>
      <x:c r="C75" s="6" t="n">
        <x:f>H74</x:f>
        <x:v>0</x:v>
      </x:c>
      <x:c r="D75" s="6" t="n">
        <x:f>ROUND(C75*'Debt strategy'!$D$9/12,2)</x:f>
        <x:v>0</x:v>
      </x:c>
      <x:c r="E75" s="6" t="n">
        <x:f>MIN(C75+D75,'Debt strategy'!$E$9)</x:f>
        <x:v>0</x:v>
      </x:c>
      <x:c r="F75" s="27" t="n">
        <x:f>IF(C75+D75-E75&lt;=0,99,1+SUM(IF(AND(I75+J75-K75&gt;0,OR(I75+J75-K75&lt;C75+D75-E75,AND(I75+J75-K75=C75+D75-E75,1&lt;0))),1,0),IF(AND(O75+P75-Q75&gt;0,OR(O75+P75-Q75&lt;C75+D75-E75,AND(O75+P75-Q75=C75+D75-E75,2&lt;0))),1,0),IF(AND(U75+V75-W75&gt;0,OR(U75+V75-W75&lt;C75+D75-E75,AND(U75+V75-W75=C75+D75-E75,3&lt;0))),1,0),IF(AND(AA75+AB75-AC75&gt;0,OR(AA75+AB75-AC75&lt;C75+D75-E75,AND(AA75+AB75-AC75=C75+D75-E75,4&lt;0))),1,0)))</x:f>
        <x:v>99</x:v>
      </x:c>
      <x:c r="G75" s="6" t="n">
        <x:f>IF('Debt strategy'!$C$16&gt;0,0,MIN(C75+D75-E75,MAX(0,'Debt strategy'!$C$5-SUM(E75,K75,Q75,W75,AC75)-SUM(IF(L75&lt;F75,I75+J75-K75,0),IF(R75&lt;F75,O75+P75-Q75,0),IF(X75&lt;F75,U75+V75-W75,0),IF(AD75&lt;F75,AA75+AB75-AC75,0)))))</x:f>
        <x:v>0</x:v>
      </x:c>
      <x:c r="H75" s="6" t="n">
        <x:f>ROUND(MAX(0,C75+D75-E75-G75),2)</x:f>
        <x:v>0</x:v>
      </x:c>
      <x:c r="I75" s="6" t="n">
        <x:f>N74</x:f>
        <x:v>0</x:v>
      </x:c>
      <x:c r="J75" s="6" t="n">
        <x:f>ROUND(I75*'Debt strategy'!$D$10/12,2)</x:f>
        <x:v>0</x:v>
      </x:c>
      <x:c r="K75" s="6" t="n">
        <x:f>MIN(I75+J75,'Debt strategy'!$E$10)</x:f>
        <x:v>0</x:v>
      </x:c>
      <x:c r="L75" s="27" t="n">
        <x:f>IF(I75+J75-K75&lt;=0,99,1+SUM(IF(AND(C75+D75-E75&gt;0,OR(C75+D75-E75&lt;I75+J75-K75,AND(C75+D75-E75=I75+J75-K75,0&lt;1))),1,0),IF(AND(O75+P75-Q75&gt;0,OR(O75+P75-Q75&lt;I75+J75-K75,AND(O75+P75-Q75=I75+J75-K75,2&lt;1))),1,0),IF(AND(U75+V75-W75&gt;0,OR(U75+V75-W75&lt;I75+J75-K75,AND(U75+V75-W75=I75+J75-K75,3&lt;1))),1,0),IF(AND(AA75+AB75-AC75&gt;0,OR(AA75+AB75-AC75&lt;I75+J75-K75,AND(AA75+AB75-AC75=I75+J75-K75,4&lt;1))),1,0)))</x:f>
        <x:v>99</x:v>
      </x:c>
      <x:c r="M75" s="6" t="n">
        <x:f>IF('Debt strategy'!$C$16&gt;0,0,MIN(I75+J75-K75,MAX(0,'Debt strategy'!$C$5-SUM(E75,K75,Q75,W75,AC75)-SUM(IF(F75&lt;L75,C75+D75-E75,0),IF(R75&lt;L75,O75+P75-Q75,0),IF(X75&lt;L75,U75+V75-W75,0),IF(AD75&lt;L75,AA75+AB75-AC75,0)))))</x:f>
        <x:v>0</x:v>
      </x:c>
      <x:c r="N75" s="6" t="n">
        <x:f>ROUND(MAX(0,I75+J75-K75-M75),2)</x:f>
        <x:v>0</x:v>
      </x:c>
      <x:c r="O75" s="6" t="n">
        <x:f>T74</x:f>
        <x:v>0</x:v>
      </x:c>
      <x:c r="P75" s="6" t="n">
        <x:f>ROUND(O75*'Debt strategy'!$D$11/12,2)</x:f>
        <x:v>0</x:v>
      </x:c>
      <x:c r="Q75" s="6" t="n">
        <x:f>MIN(O75+P75,'Debt strategy'!$E$11)</x:f>
        <x:v>0</x:v>
      </x:c>
      <x:c r="R75" s="27" t="n">
        <x:f>IF(O75+P75-Q75&lt;=0,99,1+SUM(IF(AND(C75+D75-E75&gt;0,OR(C75+D75-E75&lt;O75+P75-Q75,AND(C75+D75-E75=O75+P75-Q75,0&lt;2))),1,0),IF(AND(I75+J75-K75&gt;0,OR(I75+J75-K75&lt;O75+P75-Q75,AND(I75+J75-K75=O75+P75-Q75,1&lt;2))),1,0),IF(AND(U75+V75-W75&gt;0,OR(U75+V75-W75&lt;O75+P75-Q75,AND(U75+V75-W75=O75+P75-Q75,3&lt;2))),1,0),IF(AND(AA75+AB75-AC75&gt;0,OR(AA75+AB75-AC75&lt;O75+P75-Q75,AND(AA75+AB75-AC75=O75+P75-Q75,4&lt;2))),1,0)))</x:f>
        <x:v>99</x:v>
      </x:c>
      <x:c r="S75" s="6" t="n">
        <x:f>IF('Debt strategy'!$C$16&gt;0,0,MIN(O75+P75-Q75,MAX(0,'Debt strategy'!$C$5-SUM(E75,K75,Q75,W75,AC75)-SUM(IF(F75&lt;R75,C75+D75-E75,0),IF(L75&lt;R75,I75+J75-K75,0),IF(X75&lt;R75,U75+V75-W75,0),IF(AD75&lt;R75,AA75+AB75-AC75,0)))))</x:f>
        <x:v>0</x:v>
      </x:c>
      <x:c r="T75" s="6" t="n">
        <x:f>ROUND(MAX(0,O75+P75-Q75-S75),2)</x:f>
        <x:v>0</x:v>
      </x:c>
      <x:c r="U75" s="6" t="n">
        <x:f>Z74</x:f>
        <x:v>0</x:v>
      </x:c>
      <x:c r="V75" s="6" t="n">
        <x:f>ROUND(U75*'Debt strategy'!$D$12/12,2)</x:f>
        <x:v>0</x:v>
      </x:c>
      <x:c r="W75" s="6" t="n">
        <x:f>MIN(U75+V75,'Debt strategy'!$E$12)</x:f>
        <x:v>0</x:v>
      </x:c>
      <x:c r="X75" s="27" t="n">
        <x:f>IF(U75+V75-W75&lt;=0,99,1+SUM(IF(AND(C75+D75-E75&gt;0,OR(C75+D75-E75&lt;U75+V75-W75,AND(C75+D75-E75=U75+V75-W75,0&lt;3))),1,0),IF(AND(I75+J75-K75&gt;0,OR(I75+J75-K75&lt;U75+V75-W75,AND(I75+J75-K75=U75+V75-W75,1&lt;3))),1,0),IF(AND(O75+P75-Q75&gt;0,OR(O75+P75-Q75&lt;U75+V75-W75,AND(O75+P75-Q75=U75+V75-W75,2&lt;3))),1,0),IF(AND(AA75+AB75-AC75&gt;0,OR(AA75+AB75-AC75&lt;U75+V75-W75,AND(AA75+AB75-AC75=U75+V75-W75,4&lt;3))),1,0)))</x:f>
        <x:v>99</x:v>
      </x:c>
      <x:c r="Y75" s="6" t="n">
        <x:f>IF('Debt strategy'!$C$16&gt;0,0,MIN(U75+V75-W75,MAX(0,'Debt strategy'!$C$5-SUM(E75,K75,Q75,W75,AC75)-SUM(IF(F75&lt;X75,C75+D75-E75,0),IF(L75&lt;X75,I75+J75-K75,0),IF(R75&lt;X75,O75+P75-Q75,0),IF(AD75&lt;X75,AA75+AB75-AC75,0)))))</x:f>
        <x:v>0</x:v>
      </x:c>
      <x:c r="Z75" s="6" t="n">
        <x:f>ROUND(MAX(0,U75+V75-W75-Y75),2)</x:f>
        <x:v>0</x:v>
      </x:c>
      <x:c r="AA75" s="6" t="n">
        <x:f>AF74</x:f>
        <x:v>0</x:v>
      </x:c>
      <x:c r="AB75" s="6" t="n">
        <x:f>ROUND(AA75*'Debt strategy'!$D$13/12,2)</x:f>
        <x:v>0</x:v>
      </x:c>
      <x:c r="AC75" s="6" t="n">
        <x:f>MIN(AA75+AB75,'Debt strategy'!$E$13)</x:f>
        <x:v>0</x:v>
      </x:c>
      <x:c r="AD75" s="27" t="n">
        <x:f>IF(AA75+AB75-AC75&lt;=0,99,1+SUM(IF(AND(C75+D75-E75&gt;0,OR(C75+D75-E75&lt;AA75+AB75-AC75,AND(C75+D75-E75=AA75+AB75-AC75,0&lt;4))),1,0),IF(AND(I75+J75-K75&gt;0,OR(I75+J75-K75&lt;AA75+AB75-AC75,AND(I75+J75-K75=AA75+AB75-AC75,1&lt;4))),1,0),IF(AND(O75+P75-Q75&gt;0,OR(O75+P75-Q75&lt;AA75+AB75-AC75,AND(O75+P75-Q75=AA75+AB75-AC75,2&lt;4))),1,0),IF(AND(U75+V75-W75&gt;0,OR(U75+V75-W75&lt;AA75+AB75-AC75,AND(U75+V75-W75=AA75+AB75-AC75,3&lt;4))),1,0)))</x:f>
        <x:v>99</x:v>
      </x:c>
      <x:c r="AE75" s="6" t="n">
        <x:f>IF('Debt strategy'!$C$16&gt;0,0,MIN(AA75+AB75-AC75,MAX(0,'Debt strategy'!$C$5-SUM(E75,K75,Q75,W75,AC75)-SUM(IF(F75&lt;AD75,C75+D75-E75,0),IF(L75&lt;AD75,I75+J75-K75,0),IF(R75&lt;AD75,O75+P75-Q75,0),IF(X75&lt;AD75,U75+V75-W75,0)))))</x:f>
        <x:v>0</x:v>
      </x:c>
      <x:c r="AF75" s="6" t="n">
        <x:f>ROUND(MAX(0,AA75+AB75-AC75-AE75),2)</x:f>
        <x:v>0</x:v>
      </x:c>
      <x:c r="AG75" s="6" t="n">
        <x:f>SUM(H75,N75,T75,Z75,AF75)</x:f>
        <x:v>0</x:v>
      </x:c>
      <x:c r="AH75" s="6" t="n">
        <x:f>SUM(D75,J75,P75,V75,AB75)+AH74</x:f>
        <x:v>1353.9499999999996</x:v>
      </x:c>
      <x:c r="AI75" s="2"/>
    </x:row>
    <x:row r="76" ht="23" customHeight="1">
      <x:c r="B76" s="2" t="n">
        <x:f>68</x:f>
        <x:v>68</x:v>
      </x:c>
      <x:c r="C76" s="6" t="n">
        <x:f>H75</x:f>
        <x:v>0</x:v>
      </x:c>
      <x:c r="D76" s="6" t="n">
        <x:f>ROUND(C76*'Debt strategy'!$D$9/12,2)</x:f>
        <x:v>0</x:v>
      </x:c>
      <x:c r="E76" s="6" t="n">
        <x:f>MIN(C76+D76,'Debt strategy'!$E$9)</x:f>
        <x:v>0</x:v>
      </x:c>
      <x:c r="F76" s="27" t="n">
        <x:f>IF(C76+D76-E76&lt;=0,99,1+SUM(IF(AND(I76+J76-K76&gt;0,OR(I76+J76-K76&lt;C76+D76-E76,AND(I76+J76-K76=C76+D76-E76,1&lt;0))),1,0),IF(AND(O76+P76-Q76&gt;0,OR(O76+P76-Q76&lt;C76+D76-E76,AND(O76+P76-Q76=C76+D76-E76,2&lt;0))),1,0),IF(AND(U76+V76-W76&gt;0,OR(U76+V76-W76&lt;C76+D76-E76,AND(U76+V76-W76=C76+D76-E76,3&lt;0))),1,0),IF(AND(AA76+AB76-AC76&gt;0,OR(AA76+AB76-AC76&lt;C76+D76-E76,AND(AA76+AB76-AC76=C76+D76-E76,4&lt;0))),1,0)))</x:f>
        <x:v>99</x:v>
      </x:c>
      <x:c r="G76" s="6" t="n">
        <x:f>IF('Debt strategy'!$C$16&gt;0,0,MIN(C76+D76-E76,MAX(0,'Debt strategy'!$C$5-SUM(E76,K76,Q76,W76,AC76)-SUM(IF(L76&lt;F76,I76+J76-K76,0),IF(R76&lt;F76,O76+P76-Q76,0),IF(X76&lt;F76,U76+V76-W76,0),IF(AD76&lt;F76,AA76+AB76-AC76,0)))))</x:f>
        <x:v>0</x:v>
      </x:c>
      <x:c r="H76" s="6" t="n">
        <x:f>ROUND(MAX(0,C76+D76-E76-G76),2)</x:f>
        <x:v>0</x:v>
      </x:c>
      <x:c r="I76" s="6" t="n">
        <x:f>N75</x:f>
        <x:v>0</x:v>
      </x:c>
      <x:c r="J76" s="6" t="n">
        <x:f>ROUND(I76*'Debt strategy'!$D$10/12,2)</x:f>
        <x:v>0</x:v>
      </x:c>
      <x:c r="K76" s="6" t="n">
        <x:f>MIN(I76+J76,'Debt strategy'!$E$10)</x:f>
        <x:v>0</x:v>
      </x:c>
      <x:c r="L76" s="27" t="n">
        <x:f>IF(I76+J76-K76&lt;=0,99,1+SUM(IF(AND(C76+D76-E76&gt;0,OR(C76+D76-E76&lt;I76+J76-K76,AND(C76+D76-E76=I76+J76-K76,0&lt;1))),1,0),IF(AND(O76+P76-Q76&gt;0,OR(O76+P76-Q76&lt;I76+J76-K76,AND(O76+P76-Q76=I76+J76-K76,2&lt;1))),1,0),IF(AND(U76+V76-W76&gt;0,OR(U76+V76-W76&lt;I76+J76-K76,AND(U76+V76-W76=I76+J76-K76,3&lt;1))),1,0),IF(AND(AA76+AB76-AC76&gt;0,OR(AA76+AB76-AC76&lt;I76+J76-K76,AND(AA76+AB76-AC76=I76+J76-K76,4&lt;1))),1,0)))</x:f>
        <x:v>99</x:v>
      </x:c>
      <x:c r="M76" s="6" t="n">
        <x:f>IF('Debt strategy'!$C$16&gt;0,0,MIN(I76+J76-K76,MAX(0,'Debt strategy'!$C$5-SUM(E76,K76,Q76,W76,AC76)-SUM(IF(F76&lt;L76,C76+D76-E76,0),IF(R76&lt;L76,O76+P76-Q76,0),IF(X76&lt;L76,U76+V76-W76,0),IF(AD76&lt;L76,AA76+AB76-AC76,0)))))</x:f>
        <x:v>0</x:v>
      </x:c>
      <x:c r="N76" s="6" t="n">
        <x:f>ROUND(MAX(0,I76+J76-K76-M76),2)</x:f>
        <x:v>0</x:v>
      </x:c>
      <x:c r="O76" s="6" t="n">
        <x:f>T75</x:f>
        <x:v>0</x:v>
      </x:c>
      <x:c r="P76" s="6" t="n">
        <x:f>ROUND(O76*'Debt strategy'!$D$11/12,2)</x:f>
        <x:v>0</x:v>
      </x:c>
      <x:c r="Q76" s="6" t="n">
        <x:f>MIN(O76+P76,'Debt strategy'!$E$11)</x:f>
        <x:v>0</x:v>
      </x:c>
      <x:c r="R76" s="27" t="n">
        <x:f>IF(O76+P76-Q76&lt;=0,99,1+SUM(IF(AND(C76+D76-E76&gt;0,OR(C76+D76-E76&lt;O76+P76-Q76,AND(C76+D76-E76=O76+P76-Q76,0&lt;2))),1,0),IF(AND(I76+J76-K76&gt;0,OR(I76+J76-K76&lt;O76+P76-Q76,AND(I76+J76-K76=O76+P76-Q76,1&lt;2))),1,0),IF(AND(U76+V76-W76&gt;0,OR(U76+V76-W76&lt;O76+P76-Q76,AND(U76+V76-W76=O76+P76-Q76,3&lt;2))),1,0),IF(AND(AA76+AB76-AC76&gt;0,OR(AA76+AB76-AC76&lt;O76+P76-Q76,AND(AA76+AB76-AC76=O76+P76-Q76,4&lt;2))),1,0)))</x:f>
        <x:v>99</x:v>
      </x:c>
      <x:c r="S76" s="6" t="n">
        <x:f>IF('Debt strategy'!$C$16&gt;0,0,MIN(O76+P76-Q76,MAX(0,'Debt strategy'!$C$5-SUM(E76,K76,Q76,W76,AC76)-SUM(IF(F76&lt;R76,C76+D76-E76,0),IF(L76&lt;R76,I76+J76-K76,0),IF(X76&lt;R76,U76+V76-W76,0),IF(AD76&lt;R76,AA76+AB76-AC76,0)))))</x:f>
        <x:v>0</x:v>
      </x:c>
      <x:c r="T76" s="6" t="n">
        <x:f>ROUND(MAX(0,O76+P76-Q76-S76),2)</x:f>
        <x:v>0</x:v>
      </x:c>
      <x:c r="U76" s="6" t="n">
        <x:f>Z75</x:f>
        <x:v>0</x:v>
      </x:c>
      <x:c r="V76" s="6" t="n">
        <x:f>ROUND(U76*'Debt strategy'!$D$12/12,2)</x:f>
        <x:v>0</x:v>
      </x:c>
      <x:c r="W76" s="6" t="n">
        <x:f>MIN(U76+V76,'Debt strategy'!$E$12)</x:f>
        <x:v>0</x:v>
      </x:c>
      <x:c r="X76" s="27" t="n">
        <x:f>IF(U76+V76-W76&lt;=0,99,1+SUM(IF(AND(C76+D76-E76&gt;0,OR(C76+D76-E76&lt;U76+V76-W76,AND(C76+D76-E76=U76+V76-W76,0&lt;3))),1,0),IF(AND(I76+J76-K76&gt;0,OR(I76+J76-K76&lt;U76+V76-W76,AND(I76+J76-K76=U76+V76-W76,1&lt;3))),1,0),IF(AND(O76+P76-Q76&gt;0,OR(O76+P76-Q76&lt;U76+V76-W76,AND(O76+P76-Q76=U76+V76-W76,2&lt;3))),1,0),IF(AND(AA76+AB76-AC76&gt;0,OR(AA76+AB76-AC76&lt;U76+V76-W76,AND(AA76+AB76-AC76=U76+V76-W76,4&lt;3))),1,0)))</x:f>
        <x:v>99</x:v>
      </x:c>
      <x:c r="Y76" s="6" t="n">
        <x:f>IF('Debt strategy'!$C$16&gt;0,0,MIN(U76+V76-W76,MAX(0,'Debt strategy'!$C$5-SUM(E76,K76,Q76,W76,AC76)-SUM(IF(F76&lt;X76,C76+D76-E76,0),IF(L76&lt;X76,I76+J76-K76,0),IF(R76&lt;X76,O76+P76-Q76,0),IF(AD76&lt;X76,AA76+AB76-AC76,0)))))</x:f>
        <x:v>0</x:v>
      </x:c>
      <x:c r="Z76" s="6" t="n">
        <x:f>ROUND(MAX(0,U76+V76-W76-Y76),2)</x:f>
        <x:v>0</x:v>
      </x:c>
      <x:c r="AA76" s="6" t="n">
        <x:f>AF75</x:f>
        <x:v>0</x:v>
      </x:c>
      <x:c r="AB76" s="6" t="n">
        <x:f>ROUND(AA76*'Debt strategy'!$D$13/12,2)</x:f>
        <x:v>0</x:v>
      </x:c>
      <x:c r="AC76" s="6" t="n">
        <x:f>MIN(AA76+AB76,'Debt strategy'!$E$13)</x:f>
        <x:v>0</x:v>
      </x:c>
      <x:c r="AD76" s="27" t="n">
        <x:f>IF(AA76+AB76-AC76&lt;=0,99,1+SUM(IF(AND(C76+D76-E76&gt;0,OR(C76+D76-E76&lt;AA76+AB76-AC76,AND(C76+D76-E76=AA76+AB76-AC76,0&lt;4))),1,0),IF(AND(I76+J76-K76&gt;0,OR(I76+J76-K76&lt;AA76+AB76-AC76,AND(I76+J76-K76=AA76+AB76-AC76,1&lt;4))),1,0),IF(AND(O76+P76-Q76&gt;0,OR(O76+P76-Q76&lt;AA76+AB76-AC76,AND(O76+P76-Q76=AA76+AB76-AC76,2&lt;4))),1,0),IF(AND(U76+V76-W76&gt;0,OR(U76+V76-W76&lt;AA76+AB76-AC76,AND(U76+V76-W76=AA76+AB76-AC76,3&lt;4))),1,0)))</x:f>
        <x:v>99</x:v>
      </x:c>
      <x:c r="AE76" s="6" t="n">
        <x:f>IF('Debt strategy'!$C$16&gt;0,0,MIN(AA76+AB76-AC76,MAX(0,'Debt strategy'!$C$5-SUM(E76,K76,Q76,W76,AC76)-SUM(IF(F76&lt;AD76,C76+D76-E76,0),IF(L76&lt;AD76,I76+J76-K76,0),IF(R76&lt;AD76,O76+P76-Q76,0),IF(X76&lt;AD76,U76+V76-W76,0)))))</x:f>
        <x:v>0</x:v>
      </x:c>
      <x:c r="AF76" s="6" t="n">
        <x:f>ROUND(MAX(0,AA76+AB76-AC76-AE76),2)</x:f>
        <x:v>0</x:v>
      </x:c>
      <x:c r="AG76" s="6" t="n">
        <x:f>SUM(H76,N76,T76,Z76,AF76)</x:f>
        <x:v>0</x:v>
      </x:c>
      <x:c r="AH76" s="6" t="n">
        <x:f>SUM(D76,J76,P76,V76,AB76)+AH75</x:f>
        <x:v>1353.9499999999996</x:v>
      </x:c>
      <x:c r="AI76" s="2"/>
    </x:row>
    <x:row r="77" ht="23" customHeight="1">
      <x:c r="B77" s="2" t="n">
        <x:f>69</x:f>
        <x:v>69</x:v>
      </x:c>
      <x:c r="C77" s="6" t="n">
        <x:f>H76</x:f>
        <x:v>0</x:v>
      </x:c>
      <x:c r="D77" s="6" t="n">
        <x:f>ROUND(C77*'Debt strategy'!$D$9/12,2)</x:f>
        <x:v>0</x:v>
      </x:c>
      <x:c r="E77" s="6" t="n">
        <x:f>MIN(C77+D77,'Debt strategy'!$E$9)</x:f>
        <x:v>0</x:v>
      </x:c>
      <x:c r="F77" s="27" t="n">
        <x:f>IF(C77+D77-E77&lt;=0,99,1+SUM(IF(AND(I77+J77-K77&gt;0,OR(I77+J77-K77&lt;C77+D77-E77,AND(I77+J77-K77=C77+D77-E77,1&lt;0))),1,0),IF(AND(O77+P77-Q77&gt;0,OR(O77+P77-Q77&lt;C77+D77-E77,AND(O77+P77-Q77=C77+D77-E77,2&lt;0))),1,0),IF(AND(U77+V77-W77&gt;0,OR(U77+V77-W77&lt;C77+D77-E77,AND(U77+V77-W77=C77+D77-E77,3&lt;0))),1,0),IF(AND(AA77+AB77-AC77&gt;0,OR(AA77+AB77-AC77&lt;C77+D77-E77,AND(AA77+AB77-AC77=C77+D77-E77,4&lt;0))),1,0)))</x:f>
        <x:v>99</x:v>
      </x:c>
      <x:c r="G77" s="6" t="n">
        <x:f>IF('Debt strategy'!$C$16&gt;0,0,MIN(C77+D77-E77,MAX(0,'Debt strategy'!$C$5-SUM(E77,K77,Q77,W77,AC77)-SUM(IF(L77&lt;F77,I77+J77-K77,0),IF(R77&lt;F77,O77+P77-Q77,0),IF(X77&lt;F77,U77+V77-W77,0),IF(AD77&lt;F77,AA77+AB77-AC77,0)))))</x:f>
        <x:v>0</x:v>
      </x:c>
      <x:c r="H77" s="6" t="n">
        <x:f>ROUND(MAX(0,C77+D77-E77-G77),2)</x:f>
        <x:v>0</x:v>
      </x:c>
      <x:c r="I77" s="6" t="n">
        <x:f>N76</x:f>
        <x:v>0</x:v>
      </x:c>
      <x:c r="J77" s="6" t="n">
        <x:f>ROUND(I77*'Debt strategy'!$D$10/12,2)</x:f>
        <x:v>0</x:v>
      </x:c>
      <x:c r="K77" s="6" t="n">
        <x:f>MIN(I77+J77,'Debt strategy'!$E$10)</x:f>
        <x:v>0</x:v>
      </x:c>
      <x:c r="L77" s="27" t="n">
        <x:f>IF(I77+J77-K77&lt;=0,99,1+SUM(IF(AND(C77+D77-E77&gt;0,OR(C77+D77-E77&lt;I77+J77-K77,AND(C77+D77-E77=I77+J77-K77,0&lt;1))),1,0),IF(AND(O77+P77-Q77&gt;0,OR(O77+P77-Q77&lt;I77+J77-K77,AND(O77+P77-Q77=I77+J77-K77,2&lt;1))),1,0),IF(AND(U77+V77-W77&gt;0,OR(U77+V77-W77&lt;I77+J77-K77,AND(U77+V77-W77=I77+J77-K77,3&lt;1))),1,0),IF(AND(AA77+AB77-AC77&gt;0,OR(AA77+AB77-AC77&lt;I77+J77-K77,AND(AA77+AB77-AC77=I77+J77-K77,4&lt;1))),1,0)))</x:f>
        <x:v>99</x:v>
      </x:c>
      <x:c r="M77" s="6" t="n">
        <x:f>IF('Debt strategy'!$C$16&gt;0,0,MIN(I77+J77-K77,MAX(0,'Debt strategy'!$C$5-SUM(E77,K77,Q77,W77,AC77)-SUM(IF(F77&lt;L77,C77+D77-E77,0),IF(R77&lt;L77,O77+P77-Q77,0),IF(X77&lt;L77,U77+V77-W77,0),IF(AD77&lt;L77,AA77+AB77-AC77,0)))))</x:f>
        <x:v>0</x:v>
      </x:c>
      <x:c r="N77" s="6" t="n">
        <x:f>ROUND(MAX(0,I77+J77-K77-M77),2)</x:f>
        <x:v>0</x:v>
      </x:c>
      <x:c r="O77" s="6" t="n">
        <x:f>T76</x:f>
        <x:v>0</x:v>
      </x:c>
      <x:c r="P77" s="6" t="n">
        <x:f>ROUND(O77*'Debt strategy'!$D$11/12,2)</x:f>
        <x:v>0</x:v>
      </x:c>
      <x:c r="Q77" s="6" t="n">
        <x:f>MIN(O77+P77,'Debt strategy'!$E$11)</x:f>
        <x:v>0</x:v>
      </x:c>
      <x:c r="R77" s="27" t="n">
        <x:f>IF(O77+P77-Q77&lt;=0,99,1+SUM(IF(AND(C77+D77-E77&gt;0,OR(C77+D77-E77&lt;O77+P77-Q77,AND(C77+D77-E77=O77+P77-Q77,0&lt;2))),1,0),IF(AND(I77+J77-K77&gt;0,OR(I77+J77-K77&lt;O77+P77-Q77,AND(I77+J77-K77=O77+P77-Q77,1&lt;2))),1,0),IF(AND(U77+V77-W77&gt;0,OR(U77+V77-W77&lt;O77+P77-Q77,AND(U77+V77-W77=O77+P77-Q77,3&lt;2))),1,0),IF(AND(AA77+AB77-AC77&gt;0,OR(AA77+AB77-AC77&lt;O77+P77-Q77,AND(AA77+AB77-AC77=O77+P77-Q77,4&lt;2))),1,0)))</x:f>
        <x:v>99</x:v>
      </x:c>
      <x:c r="S77" s="6" t="n">
        <x:f>IF('Debt strategy'!$C$16&gt;0,0,MIN(O77+P77-Q77,MAX(0,'Debt strategy'!$C$5-SUM(E77,K77,Q77,W77,AC77)-SUM(IF(F77&lt;R77,C77+D77-E77,0),IF(L77&lt;R77,I77+J77-K77,0),IF(X77&lt;R77,U77+V77-W77,0),IF(AD77&lt;R77,AA77+AB77-AC77,0)))))</x:f>
        <x:v>0</x:v>
      </x:c>
      <x:c r="T77" s="6" t="n">
        <x:f>ROUND(MAX(0,O77+P77-Q77-S77),2)</x:f>
        <x:v>0</x:v>
      </x:c>
      <x:c r="U77" s="6" t="n">
        <x:f>Z76</x:f>
        <x:v>0</x:v>
      </x:c>
      <x:c r="V77" s="6" t="n">
        <x:f>ROUND(U77*'Debt strategy'!$D$12/12,2)</x:f>
        <x:v>0</x:v>
      </x:c>
      <x:c r="W77" s="6" t="n">
        <x:f>MIN(U77+V77,'Debt strategy'!$E$12)</x:f>
        <x:v>0</x:v>
      </x:c>
      <x:c r="X77" s="27" t="n">
        <x:f>IF(U77+V77-W77&lt;=0,99,1+SUM(IF(AND(C77+D77-E77&gt;0,OR(C77+D77-E77&lt;U77+V77-W77,AND(C77+D77-E77=U77+V77-W77,0&lt;3))),1,0),IF(AND(I77+J77-K77&gt;0,OR(I77+J77-K77&lt;U77+V77-W77,AND(I77+J77-K77=U77+V77-W77,1&lt;3))),1,0),IF(AND(O77+P77-Q77&gt;0,OR(O77+P77-Q77&lt;U77+V77-W77,AND(O77+P77-Q77=U77+V77-W77,2&lt;3))),1,0),IF(AND(AA77+AB77-AC77&gt;0,OR(AA77+AB77-AC77&lt;U77+V77-W77,AND(AA77+AB77-AC77=U77+V77-W77,4&lt;3))),1,0)))</x:f>
        <x:v>99</x:v>
      </x:c>
      <x:c r="Y77" s="6" t="n">
        <x:f>IF('Debt strategy'!$C$16&gt;0,0,MIN(U77+V77-W77,MAX(0,'Debt strategy'!$C$5-SUM(E77,K77,Q77,W77,AC77)-SUM(IF(F77&lt;X77,C77+D77-E77,0),IF(L77&lt;X77,I77+J77-K77,0),IF(R77&lt;X77,O77+P77-Q77,0),IF(AD77&lt;X77,AA77+AB77-AC77,0)))))</x:f>
        <x:v>0</x:v>
      </x:c>
      <x:c r="Z77" s="6" t="n">
        <x:f>ROUND(MAX(0,U77+V77-W77-Y77),2)</x:f>
        <x:v>0</x:v>
      </x:c>
      <x:c r="AA77" s="6" t="n">
        <x:f>AF76</x:f>
        <x:v>0</x:v>
      </x:c>
      <x:c r="AB77" s="6" t="n">
        <x:f>ROUND(AA77*'Debt strategy'!$D$13/12,2)</x:f>
        <x:v>0</x:v>
      </x:c>
      <x:c r="AC77" s="6" t="n">
        <x:f>MIN(AA77+AB77,'Debt strategy'!$E$13)</x:f>
        <x:v>0</x:v>
      </x:c>
      <x:c r="AD77" s="27" t="n">
        <x:f>IF(AA77+AB77-AC77&lt;=0,99,1+SUM(IF(AND(C77+D77-E77&gt;0,OR(C77+D77-E77&lt;AA77+AB77-AC77,AND(C77+D77-E77=AA77+AB77-AC77,0&lt;4))),1,0),IF(AND(I77+J77-K77&gt;0,OR(I77+J77-K77&lt;AA77+AB77-AC77,AND(I77+J77-K77=AA77+AB77-AC77,1&lt;4))),1,0),IF(AND(O77+P77-Q77&gt;0,OR(O77+P77-Q77&lt;AA77+AB77-AC77,AND(O77+P77-Q77=AA77+AB77-AC77,2&lt;4))),1,0),IF(AND(U77+V77-W77&gt;0,OR(U77+V77-W77&lt;AA77+AB77-AC77,AND(U77+V77-W77=AA77+AB77-AC77,3&lt;4))),1,0)))</x:f>
        <x:v>99</x:v>
      </x:c>
      <x:c r="AE77" s="6" t="n">
        <x:f>IF('Debt strategy'!$C$16&gt;0,0,MIN(AA77+AB77-AC77,MAX(0,'Debt strategy'!$C$5-SUM(E77,K77,Q77,W77,AC77)-SUM(IF(F77&lt;AD77,C77+D77-E77,0),IF(L77&lt;AD77,I77+J77-K77,0),IF(R77&lt;AD77,O77+P77-Q77,0),IF(X77&lt;AD77,U77+V77-W77,0)))))</x:f>
        <x:v>0</x:v>
      </x:c>
      <x:c r="AF77" s="6" t="n">
        <x:f>ROUND(MAX(0,AA77+AB77-AC77-AE77),2)</x:f>
        <x:v>0</x:v>
      </x:c>
      <x:c r="AG77" s="6" t="n">
        <x:f>SUM(H77,N77,T77,Z77,AF77)</x:f>
        <x:v>0</x:v>
      </x:c>
      <x:c r="AH77" s="6" t="n">
        <x:f>SUM(D77,J77,P77,V77,AB77)+AH76</x:f>
        <x:v>1353.9499999999996</x:v>
      </x:c>
      <x:c r="AI77" s="2"/>
    </x:row>
    <x:row r="78" ht="23" customHeight="1">
      <x:c r="B78" s="2" t="n">
        <x:f>70</x:f>
        <x:v>70</x:v>
      </x:c>
      <x:c r="C78" s="6" t="n">
        <x:f>H77</x:f>
        <x:v>0</x:v>
      </x:c>
      <x:c r="D78" s="6" t="n">
        <x:f>ROUND(C78*'Debt strategy'!$D$9/12,2)</x:f>
        <x:v>0</x:v>
      </x:c>
      <x:c r="E78" s="6" t="n">
        <x:f>MIN(C78+D78,'Debt strategy'!$E$9)</x:f>
        <x:v>0</x:v>
      </x:c>
      <x:c r="F78" s="27" t="n">
        <x:f>IF(C78+D78-E78&lt;=0,99,1+SUM(IF(AND(I78+J78-K78&gt;0,OR(I78+J78-K78&lt;C78+D78-E78,AND(I78+J78-K78=C78+D78-E78,1&lt;0))),1,0),IF(AND(O78+P78-Q78&gt;0,OR(O78+P78-Q78&lt;C78+D78-E78,AND(O78+P78-Q78=C78+D78-E78,2&lt;0))),1,0),IF(AND(U78+V78-W78&gt;0,OR(U78+V78-W78&lt;C78+D78-E78,AND(U78+V78-W78=C78+D78-E78,3&lt;0))),1,0),IF(AND(AA78+AB78-AC78&gt;0,OR(AA78+AB78-AC78&lt;C78+D78-E78,AND(AA78+AB78-AC78=C78+D78-E78,4&lt;0))),1,0)))</x:f>
        <x:v>99</x:v>
      </x:c>
      <x:c r="G78" s="6" t="n">
        <x:f>IF('Debt strategy'!$C$16&gt;0,0,MIN(C78+D78-E78,MAX(0,'Debt strategy'!$C$5-SUM(E78,K78,Q78,W78,AC78)-SUM(IF(L78&lt;F78,I78+J78-K78,0),IF(R78&lt;F78,O78+P78-Q78,0),IF(X78&lt;F78,U78+V78-W78,0),IF(AD78&lt;F78,AA78+AB78-AC78,0)))))</x:f>
        <x:v>0</x:v>
      </x:c>
      <x:c r="H78" s="6" t="n">
        <x:f>ROUND(MAX(0,C78+D78-E78-G78),2)</x:f>
        <x:v>0</x:v>
      </x:c>
      <x:c r="I78" s="6" t="n">
        <x:f>N77</x:f>
        <x:v>0</x:v>
      </x:c>
      <x:c r="J78" s="6" t="n">
        <x:f>ROUND(I78*'Debt strategy'!$D$10/12,2)</x:f>
        <x:v>0</x:v>
      </x:c>
      <x:c r="K78" s="6" t="n">
        <x:f>MIN(I78+J78,'Debt strategy'!$E$10)</x:f>
        <x:v>0</x:v>
      </x:c>
      <x:c r="L78" s="27" t="n">
        <x:f>IF(I78+J78-K78&lt;=0,99,1+SUM(IF(AND(C78+D78-E78&gt;0,OR(C78+D78-E78&lt;I78+J78-K78,AND(C78+D78-E78=I78+J78-K78,0&lt;1))),1,0),IF(AND(O78+P78-Q78&gt;0,OR(O78+P78-Q78&lt;I78+J78-K78,AND(O78+P78-Q78=I78+J78-K78,2&lt;1))),1,0),IF(AND(U78+V78-W78&gt;0,OR(U78+V78-W78&lt;I78+J78-K78,AND(U78+V78-W78=I78+J78-K78,3&lt;1))),1,0),IF(AND(AA78+AB78-AC78&gt;0,OR(AA78+AB78-AC78&lt;I78+J78-K78,AND(AA78+AB78-AC78=I78+J78-K78,4&lt;1))),1,0)))</x:f>
        <x:v>99</x:v>
      </x:c>
      <x:c r="M78" s="6" t="n">
        <x:f>IF('Debt strategy'!$C$16&gt;0,0,MIN(I78+J78-K78,MAX(0,'Debt strategy'!$C$5-SUM(E78,K78,Q78,W78,AC78)-SUM(IF(F78&lt;L78,C78+D78-E78,0),IF(R78&lt;L78,O78+P78-Q78,0),IF(X78&lt;L78,U78+V78-W78,0),IF(AD78&lt;L78,AA78+AB78-AC78,0)))))</x:f>
        <x:v>0</x:v>
      </x:c>
      <x:c r="N78" s="6" t="n">
        <x:f>ROUND(MAX(0,I78+J78-K78-M78),2)</x:f>
        <x:v>0</x:v>
      </x:c>
      <x:c r="O78" s="6" t="n">
        <x:f>T77</x:f>
        <x:v>0</x:v>
      </x:c>
      <x:c r="P78" s="6" t="n">
        <x:f>ROUND(O78*'Debt strategy'!$D$11/12,2)</x:f>
        <x:v>0</x:v>
      </x:c>
      <x:c r="Q78" s="6" t="n">
        <x:f>MIN(O78+P78,'Debt strategy'!$E$11)</x:f>
        <x:v>0</x:v>
      </x:c>
      <x:c r="R78" s="27" t="n">
        <x:f>IF(O78+P78-Q78&lt;=0,99,1+SUM(IF(AND(C78+D78-E78&gt;0,OR(C78+D78-E78&lt;O78+P78-Q78,AND(C78+D78-E78=O78+P78-Q78,0&lt;2))),1,0),IF(AND(I78+J78-K78&gt;0,OR(I78+J78-K78&lt;O78+P78-Q78,AND(I78+J78-K78=O78+P78-Q78,1&lt;2))),1,0),IF(AND(U78+V78-W78&gt;0,OR(U78+V78-W78&lt;O78+P78-Q78,AND(U78+V78-W78=O78+P78-Q78,3&lt;2))),1,0),IF(AND(AA78+AB78-AC78&gt;0,OR(AA78+AB78-AC78&lt;O78+P78-Q78,AND(AA78+AB78-AC78=O78+P78-Q78,4&lt;2))),1,0)))</x:f>
        <x:v>99</x:v>
      </x:c>
      <x:c r="S78" s="6" t="n">
        <x:f>IF('Debt strategy'!$C$16&gt;0,0,MIN(O78+P78-Q78,MAX(0,'Debt strategy'!$C$5-SUM(E78,K78,Q78,W78,AC78)-SUM(IF(F78&lt;R78,C78+D78-E78,0),IF(L78&lt;R78,I78+J78-K78,0),IF(X78&lt;R78,U78+V78-W78,0),IF(AD78&lt;R78,AA78+AB78-AC78,0)))))</x:f>
        <x:v>0</x:v>
      </x:c>
      <x:c r="T78" s="6" t="n">
        <x:f>ROUND(MAX(0,O78+P78-Q78-S78),2)</x:f>
        <x:v>0</x:v>
      </x:c>
      <x:c r="U78" s="6" t="n">
        <x:f>Z77</x:f>
        <x:v>0</x:v>
      </x:c>
      <x:c r="V78" s="6" t="n">
        <x:f>ROUND(U78*'Debt strategy'!$D$12/12,2)</x:f>
        <x:v>0</x:v>
      </x:c>
      <x:c r="W78" s="6" t="n">
        <x:f>MIN(U78+V78,'Debt strategy'!$E$12)</x:f>
        <x:v>0</x:v>
      </x:c>
      <x:c r="X78" s="27" t="n">
        <x:f>IF(U78+V78-W78&lt;=0,99,1+SUM(IF(AND(C78+D78-E78&gt;0,OR(C78+D78-E78&lt;U78+V78-W78,AND(C78+D78-E78=U78+V78-W78,0&lt;3))),1,0),IF(AND(I78+J78-K78&gt;0,OR(I78+J78-K78&lt;U78+V78-W78,AND(I78+J78-K78=U78+V78-W78,1&lt;3))),1,0),IF(AND(O78+P78-Q78&gt;0,OR(O78+P78-Q78&lt;U78+V78-W78,AND(O78+P78-Q78=U78+V78-W78,2&lt;3))),1,0),IF(AND(AA78+AB78-AC78&gt;0,OR(AA78+AB78-AC78&lt;U78+V78-W78,AND(AA78+AB78-AC78=U78+V78-W78,4&lt;3))),1,0)))</x:f>
        <x:v>99</x:v>
      </x:c>
      <x:c r="Y78" s="6" t="n">
        <x:f>IF('Debt strategy'!$C$16&gt;0,0,MIN(U78+V78-W78,MAX(0,'Debt strategy'!$C$5-SUM(E78,K78,Q78,W78,AC78)-SUM(IF(F78&lt;X78,C78+D78-E78,0),IF(L78&lt;X78,I78+J78-K78,0),IF(R78&lt;X78,O78+P78-Q78,0),IF(AD78&lt;X78,AA78+AB78-AC78,0)))))</x:f>
        <x:v>0</x:v>
      </x:c>
      <x:c r="Z78" s="6" t="n">
        <x:f>ROUND(MAX(0,U78+V78-W78-Y78),2)</x:f>
        <x:v>0</x:v>
      </x:c>
      <x:c r="AA78" s="6" t="n">
        <x:f>AF77</x:f>
        <x:v>0</x:v>
      </x:c>
      <x:c r="AB78" s="6" t="n">
        <x:f>ROUND(AA78*'Debt strategy'!$D$13/12,2)</x:f>
        <x:v>0</x:v>
      </x:c>
      <x:c r="AC78" s="6" t="n">
        <x:f>MIN(AA78+AB78,'Debt strategy'!$E$13)</x:f>
        <x:v>0</x:v>
      </x:c>
      <x:c r="AD78" s="27" t="n">
        <x:f>IF(AA78+AB78-AC78&lt;=0,99,1+SUM(IF(AND(C78+D78-E78&gt;0,OR(C78+D78-E78&lt;AA78+AB78-AC78,AND(C78+D78-E78=AA78+AB78-AC78,0&lt;4))),1,0),IF(AND(I78+J78-K78&gt;0,OR(I78+J78-K78&lt;AA78+AB78-AC78,AND(I78+J78-K78=AA78+AB78-AC78,1&lt;4))),1,0),IF(AND(O78+P78-Q78&gt;0,OR(O78+P78-Q78&lt;AA78+AB78-AC78,AND(O78+P78-Q78=AA78+AB78-AC78,2&lt;4))),1,0),IF(AND(U78+V78-W78&gt;0,OR(U78+V78-W78&lt;AA78+AB78-AC78,AND(U78+V78-W78=AA78+AB78-AC78,3&lt;4))),1,0)))</x:f>
        <x:v>99</x:v>
      </x:c>
      <x:c r="AE78" s="6" t="n">
        <x:f>IF('Debt strategy'!$C$16&gt;0,0,MIN(AA78+AB78-AC78,MAX(0,'Debt strategy'!$C$5-SUM(E78,K78,Q78,W78,AC78)-SUM(IF(F78&lt;AD78,C78+D78-E78,0),IF(L78&lt;AD78,I78+J78-K78,0),IF(R78&lt;AD78,O78+P78-Q78,0),IF(X78&lt;AD78,U78+V78-W78,0)))))</x:f>
        <x:v>0</x:v>
      </x:c>
      <x:c r="AF78" s="6" t="n">
        <x:f>ROUND(MAX(0,AA78+AB78-AC78-AE78),2)</x:f>
        <x:v>0</x:v>
      </x:c>
      <x:c r="AG78" s="6" t="n">
        <x:f>SUM(H78,N78,T78,Z78,AF78)</x:f>
        <x:v>0</x:v>
      </x:c>
      <x:c r="AH78" s="6" t="n">
        <x:f>SUM(D78,J78,P78,V78,AB78)+AH77</x:f>
        <x:v>1353.9499999999996</x:v>
      </x:c>
      <x:c r="AI78" s="2"/>
    </x:row>
    <x:row r="79" ht="23" customHeight="1">
      <x:c r="B79" s="2" t="n">
        <x:f>71</x:f>
        <x:v>71</x:v>
      </x:c>
      <x:c r="C79" s="6" t="n">
        <x:f>H78</x:f>
        <x:v>0</x:v>
      </x:c>
      <x:c r="D79" s="6" t="n">
        <x:f>ROUND(C79*'Debt strategy'!$D$9/12,2)</x:f>
        <x:v>0</x:v>
      </x:c>
      <x:c r="E79" s="6" t="n">
        <x:f>MIN(C79+D79,'Debt strategy'!$E$9)</x:f>
        <x:v>0</x:v>
      </x:c>
      <x:c r="F79" s="27" t="n">
        <x:f>IF(C79+D79-E79&lt;=0,99,1+SUM(IF(AND(I79+J79-K79&gt;0,OR(I79+J79-K79&lt;C79+D79-E79,AND(I79+J79-K79=C79+D79-E79,1&lt;0))),1,0),IF(AND(O79+P79-Q79&gt;0,OR(O79+P79-Q79&lt;C79+D79-E79,AND(O79+P79-Q79=C79+D79-E79,2&lt;0))),1,0),IF(AND(U79+V79-W79&gt;0,OR(U79+V79-W79&lt;C79+D79-E79,AND(U79+V79-W79=C79+D79-E79,3&lt;0))),1,0),IF(AND(AA79+AB79-AC79&gt;0,OR(AA79+AB79-AC79&lt;C79+D79-E79,AND(AA79+AB79-AC79=C79+D79-E79,4&lt;0))),1,0)))</x:f>
        <x:v>99</x:v>
      </x:c>
      <x:c r="G79" s="6" t="n">
        <x:f>IF('Debt strategy'!$C$16&gt;0,0,MIN(C79+D79-E79,MAX(0,'Debt strategy'!$C$5-SUM(E79,K79,Q79,W79,AC79)-SUM(IF(L79&lt;F79,I79+J79-K79,0),IF(R79&lt;F79,O79+P79-Q79,0),IF(X79&lt;F79,U79+V79-W79,0),IF(AD79&lt;F79,AA79+AB79-AC79,0)))))</x:f>
        <x:v>0</x:v>
      </x:c>
      <x:c r="H79" s="6" t="n">
        <x:f>ROUND(MAX(0,C79+D79-E79-G79),2)</x:f>
        <x:v>0</x:v>
      </x:c>
      <x:c r="I79" s="6" t="n">
        <x:f>N78</x:f>
        <x:v>0</x:v>
      </x:c>
      <x:c r="J79" s="6" t="n">
        <x:f>ROUND(I79*'Debt strategy'!$D$10/12,2)</x:f>
        <x:v>0</x:v>
      </x:c>
      <x:c r="K79" s="6" t="n">
        <x:f>MIN(I79+J79,'Debt strategy'!$E$10)</x:f>
        <x:v>0</x:v>
      </x:c>
      <x:c r="L79" s="27" t="n">
        <x:f>IF(I79+J79-K79&lt;=0,99,1+SUM(IF(AND(C79+D79-E79&gt;0,OR(C79+D79-E79&lt;I79+J79-K79,AND(C79+D79-E79=I79+J79-K79,0&lt;1))),1,0),IF(AND(O79+P79-Q79&gt;0,OR(O79+P79-Q79&lt;I79+J79-K79,AND(O79+P79-Q79=I79+J79-K79,2&lt;1))),1,0),IF(AND(U79+V79-W79&gt;0,OR(U79+V79-W79&lt;I79+J79-K79,AND(U79+V79-W79=I79+J79-K79,3&lt;1))),1,0),IF(AND(AA79+AB79-AC79&gt;0,OR(AA79+AB79-AC79&lt;I79+J79-K79,AND(AA79+AB79-AC79=I79+J79-K79,4&lt;1))),1,0)))</x:f>
        <x:v>99</x:v>
      </x:c>
      <x:c r="M79" s="6" t="n">
        <x:f>IF('Debt strategy'!$C$16&gt;0,0,MIN(I79+J79-K79,MAX(0,'Debt strategy'!$C$5-SUM(E79,K79,Q79,W79,AC79)-SUM(IF(F79&lt;L79,C79+D79-E79,0),IF(R79&lt;L79,O79+P79-Q79,0),IF(X79&lt;L79,U79+V79-W79,0),IF(AD79&lt;L79,AA79+AB79-AC79,0)))))</x:f>
        <x:v>0</x:v>
      </x:c>
      <x:c r="N79" s="6" t="n">
        <x:f>ROUND(MAX(0,I79+J79-K79-M79),2)</x:f>
        <x:v>0</x:v>
      </x:c>
      <x:c r="O79" s="6" t="n">
        <x:f>T78</x:f>
        <x:v>0</x:v>
      </x:c>
      <x:c r="P79" s="6" t="n">
        <x:f>ROUND(O79*'Debt strategy'!$D$11/12,2)</x:f>
        <x:v>0</x:v>
      </x:c>
      <x:c r="Q79" s="6" t="n">
        <x:f>MIN(O79+P79,'Debt strategy'!$E$11)</x:f>
        <x:v>0</x:v>
      </x:c>
      <x:c r="R79" s="27" t="n">
        <x:f>IF(O79+P79-Q79&lt;=0,99,1+SUM(IF(AND(C79+D79-E79&gt;0,OR(C79+D79-E79&lt;O79+P79-Q79,AND(C79+D79-E79=O79+P79-Q79,0&lt;2))),1,0),IF(AND(I79+J79-K79&gt;0,OR(I79+J79-K79&lt;O79+P79-Q79,AND(I79+J79-K79=O79+P79-Q79,1&lt;2))),1,0),IF(AND(U79+V79-W79&gt;0,OR(U79+V79-W79&lt;O79+P79-Q79,AND(U79+V79-W79=O79+P79-Q79,3&lt;2))),1,0),IF(AND(AA79+AB79-AC79&gt;0,OR(AA79+AB79-AC79&lt;O79+P79-Q79,AND(AA79+AB79-AC79=O79+P79-Q79,4&lt;2))),1,0)))</x:f>
        <x:v>99</x:v>
      </x:c>
      <x:c r="S79" s="6" t="n">
        <x:f>IF('Debt strategy'!$C$16&gt;0,0,MIN(O79+P79-Q79,MAX(0,'Debt strategy'!$C$5-SUM(E79,K79,Q79,W79,AC79)-SUM(IF(F79&lt;R79,C79+D79-E79,0),IF(L79&lt;R79,I79+J79-K79,0),IF(X79&lt;R79,U79+V79-W79,0),IF(AD79&lt;R79,AA79+AB79-AC79,0)))))</x:f>
        <x:v>0</x:v>
      </x:c>
      <x:c r="T79" s="6" t="n">
        <x:f>ROUND(MAX(0,O79+P79-Q79-S79),2)</x:f>
        <x:v>0</x:v>
      </x:c>
      <x:c r="U79" s="6" t="n">
        <x:f>Z78</x:f>
        <x:v>0</x:v>
      </x:c>
      <x:c r="V79" s="6" t="n">
        <x:f>ROUND(U79*'Debt strategy'!$D$12/12,2)</x:f>
        <x:v>0</x:v>
      </x:c>
      <x:c r="W79" s="6" t="n">
        <x:f>MIN(U79+V79,'Debt strategy'!$E$12)</x:f>
        <x:v>0</x:v>
      </x:c>
      <x:c r="X79" s="27" t="n">
        <x:f>IF(U79+V79-W79&lt;=0,99,1+SUM(IF(AND(C79+D79-E79&gt;0,OR(C79+D79-E79&lt;U79+V79-W79,AND(C79+D79-E79=U79+V79-W79,0&lt;3))),1,0),IF(AND(I79+J79-K79&gt;0,OR(I79+J79-K79&lt;U79+V79-W79,AND(I79+J79-K79=U79+V79-W79,1&lt;3))),1,0),IF(AND(O79+P79-Q79&gt;0,OR(O79+P79-Q79&lt;U79+V79-W79,AND(O79+P79-Q79=U79+V79-W79,2&lt;3))),1,0),IF(AND(AA79+AB79-AC79&gt;0,OR(AA79+AB79-AC79&lt;U79+V79-W79,AND(AA79+AB79-AC79=U79+V79-W79,4&lt;3))),1,0)))</x:f>
        <x:v>99</x:v>
      </x:c>
      <x:c r="Y79" s="6" t="n">
        <x:f>IF('Debt strategy'!$C$16&gt;0,0,MIN(U79+V79-W79,MAX(0,'Debt strategy'!$C$5-SUM(E79,K79,Q79,W79,AC79)-SUM(IF(F79&lt;X79,C79+D79-E79,0),IF(L79&lt;X79,I79+J79-K79,0),IF(R79&lt;X79,O79+P79-Q79,0),IF(AD79&lt;X79,AA79+AB79-AC79,0)))))</x:f>
        <x:v>0</x:v>
      </x:c>
      <x:c r="Z79" s="6" t="n">
        <x:f>ROUND(MAX(0,U79+V79-W79-Y79),2)</x:f>
        <x:v>0</x:v>
      </x:c>
      <x:c r="AA79" s="6" t="n">
        <x:f>AF78</x:f>
        <x:v>0</x:v>
      </x:c>
      <x:c r="AB79" s="6" t="n">
        <x:f>ROUND(AA79*'Debt strategy'!$D$13/12,2)</x:f>
        <x:v>0</x:v>
      </x:c>
      <x:c r="AC79" s="6" t="n">
        <x:f>MIN(AA79+AB79,'Debt strategy'!$E$13)</x:f>
        <x:v>0</x:v>
      </x:c>
      <x:c r="AD79" s="27" t="n">
        <x:f>IF(AA79+AB79-AC79&lt;=0,99,1+SUM(IF(AND(C79+D79-E79&gt;0,OR(C79+D79-E79&lt;AA79+AB79-AC79,AND(C79+D79-E79=AA79+AB79-AC79,0&lt;4))),1,0),IF(AND(I79+J79-K79&gt;0,OR(I79+J79-K79&lt;AA79+AB79-AC79,AND(I79+J79-K79=AA79+AB79-AC79,1&lt;4))),1,0),IF(AND(O79+P79-Q79&gt;0,OR(O79+P79-Q79&lt;AA79+AB79-AC79,AND(O79+P79-Q79=AA79+AB79-AC79,2&lt;4))),1,0),IF(AND(U79+V79-W79&gt;0,OR(U79+V79-W79&lt;AA79+AB79-AC79,AND(U79+V79-W79=AA79+AB79-AC79,3&lt;4))),1,0)))</x:f>
        <x:v>99</x:v>
      </x:c>
      <x:c r="AE79" s="6" t="n">
        <x:f>IF('Debt strategy'!$C$16&gt;0,0,MIN(AA79+AB79-AC79,MAX(0,'Debt strategy'!$C$5-SUM(E79,K79,Q79,W79,AC79)-SUM(IF(F79&lt;AD79,C79+D79-E79,0),IF(L79&lt;AD79,I79+J79-K79,0),IF(R79&lt;AD79,O79+P79-Q79,0),IF(X79&lt;AD79,U79+V79-W79,0)))))</x:f>
        <x:v>0</x:v>
      </x:c>
      <x:c r="AF79" s="6" t="n">
        <x:f>ROUND(MAX(0,AA79+AB79-AC79-AE79),2)</x:f>
        <x:v>0</x:v>
      </x:c>
      <x:c r="AG79" s="6" t="n">
        <x:f>SUM(H79,N79,T79,Z79,AF79)</x:f>
        <x:v>0</x:v>
      </x:c>
      <x:c r="AH79" s="6" t="n">
        <x:f>SUM(D79,J79,P79,V79,AB79)+AH78</x:f>
        <x:v>1353.9499999999996</x:v>
      </x:c>
      <x:c r="AI79" s="2"/>
    </x:row>
    <x:row r="80" ht="23" customHeight="1">
      <x:c r="B80" s="2" t="n">
        <x:f>72</x:f>
        <x:v>72</x:v>
      </x:c>
      <x:c r="C80" s="6" t="n">
        <x:f>H79</x:f>
        <x:v>0</x:v>
      </x:c>
      <x:c r="D80" s="6" t="n">
        <x:f>ROUND(C80*'Debt strategy'!$D$9/12,2)</x:f>
        <x:v>0</x:v>
      </x:c>
      <x:c r="E80" s="6" t="n">
        <x:f>MIN(C80+D80,'Debt strategy'!$E$9)</x:f>
        <x:v>0</x:v>
      </x:c>
      <x:c r="F80" s="27" t="n">
        <x:f>IF(C80+D80-E80&lt;=0,99,1+SUM(IF(AND(I80+J80-K80&gt;0,OR(I80+J80-K80&lt;C80+D80-E80,AND(I80+J80-K80=C80+D80-E80,1&lt;0))),1,0),IF(AND(O80+P80-Q80&gt;0,OR(O80+P80-Q80&lt;C80+D80-E80,AND(O80+P80-Q80=C80+D80-E80,2&lt;0))),1,0),IF(AND(U80+V80-W80&gt;0,OR(U80+V80-W80&lt;C80+D80-E80,AND(U80+V80-W80=C80+D80-E80,3&lt;0))),1,0),IF(AND(AA80+AB80-AC80&gt;0,OR(AA80+AB80-AC80&lt;C80+D80-E80,AND(AA80+AB80-AC80=C80+D80-E80,4&lt;0))),1,0)))</x:f>
        <x:v>99</x:v>
      </x:c>
      <x:c r="G80" s="6" t="n">
        <x:f>IF('Debt strategy'!$C$16&gt;0,0,MIN(C80+D80-E80,MAX(0,'Debt strategy'!$C$5-SUM(E80,K80,Q80,W80,AC80)-SUM(IF(L80&lt;F80,I80+J80-K80,0),IF(R80&lt;F80,O80+P80-Q80,0),IF(X80&lt;F80,U80+V80-W80,0),IF(AD80&lt;F80,AA80+AB80-AC80,0)))))</x:f>
        <x:v>0</x:v>
      </x:c>
      <x:c r="H80" s="6" t="n">
        <x:f>ROUND(MAX(0,C80+D80-E80-G80),2)</x:f>
        <x:v>0</x:v>
      </x:c>
      <x:c r="I80" s="6" t="n">
        <x:f>N79</x:f>
        <x:v>0</x:v>
      </x:c>
      <x:c r="J80" s="6" t="n">
        <x:f>ROUND(I80*'Debt strategy'!$D$10/12,2)</x:f>
        <x:v>0</x:v>
      </x:c>
      <x:c r="K80" s="6" t="n">
        <x:f>MIN(I80+J80,'Debt strategy'!$E$10)</x:f>
        <x:v>0</x:v>
      </x:c>
      <x:c r="L80" s="27" t="n">
        <x:f>IF(I80+J80-K80&lt;=0,99,1+SUM(IF(AND(C80+D80-E80&gt;0,OR(C80+D80-E80&lt;I80+J80-K80,AND(C80+D80-E80=I80+J80-K80,0&lt;1))),1,0),IF(AND(O80+P80-Q80&gt;0,OR(O80+P80-Q80&lt;I80+J80-K80,AND(O80+P80-Q80=I80+J80-K80,2&lt;1))),1,0),IF(AND(U80+V80-W80&gt;0,OR(U80+V80-W80&lt;I80+J80-K80,AND(U80+V80-W80=I80+J80-K80,3&lt;1))),1,0),IF(AND(AA80+AB80-AC80&gt;0,OR(AA80+AB80-AC80&lt;I80+J80-K80,AND(AA80+AB80-AC80=I80+J80-K80,4&lt;1))),1,0)))</x:f>
        <x:v>99</x:v>
      </x:c>
      <x:c r="M80" s="6" t="n">
        <x:f>IF('Debt strategy'!$C$16&gt;0,0,MIN(I80+J80-K80,MAX(0,'Debt strategy'!$C$5-SUM(E80,K80,Q80,W80,AC80)-SUM(IF(F80&lt;L80,C80+D80-E80,0),IF(R80&lt;L80,O80+P80-Q80,0),IF(X80&lt;L80,U80+V80-W80,0),IF(AD80&lt;L80,AA80+AB80-AC80,0)))))</x:f>
        <x:v>0</x:v>
      </x:c>
      <x:c r="N80" s="6" t="n">
        <x:f>ROUND(MAX(0,I80+J80-K80-M80),2)</x:f>
        <x:v>0</x:v>
      </x:c>
      <x:c r="O80" s="6" t="n">
        <x:f>T79</x:f>
        <x:v>0</x:v>
      </x:c>
      <x:c r="P80" s="6" t="n">
        <x:f>ROUND(O80*'Debt strategy'!$D$11/12,2)</x:f>
        <x:v>0</x:v>
      </x:c>
      <x:c r="Q80" s="6" t="n">
        <x:f>MIN(O80+P80,'Debt strategy'!$E$11)</x:f>
        <x:v>0</x:v>
      </x:c>
      <x:c r="R80" s="27" t="n">
        <x:f>IF(O80+P80-Q80&lt;=0,99,1+SUM(IF(AND(C80+D80-E80&gt;0,OR(C80+D80-E80&lt;O80+P80-Q80,AND(C80+D80-E80=O80+P80-Q80,0&lt;2))),1,0),IF(AND(I80+J80-K80&gt;0,OR(I80+J80-K80&lt;O80+P80-Q80,AND(I80+J80-K80=O80+P80-Q80,1&lt;2))),1,0),IF(AND(U80+V80-W80&gt;0,OR(U80+V80-W80&lt;O80+P80-Q80,AND(U80+V80-W80=O80+P80-Q80,3&lt;2))),1,0),IF(AND(AA80+AB80-AC80&gt;0,OR(AA80+AB80-AC80&lt;O80+P80-Q80,AND(AA80+AB80-AC80=O80+P80-Q80,4&lt;2))),1,0)))</x:f>
        <x:v>99</x:v>
      </x:c>
      <x:c r="S80" s="6" t="n">
        <x:f>IF('Debt strategy'!$C$16&gt;0,0,MIN(O80+P80-Q80,MAX(0,'Debt strategy'!$C$5-SUM(E80,K80,Q80,W80,AC80)-SUM(IF(F80&lt;R80,C80+D80-E80,0),IF(L80&lt;R80,I80+J80-K80,0),IF(X80&lt;R80,U80+V80-W80,0),IF(AD80&lt;R80,AA80+AB80-AC80,0)))))</x:f>
        <x:v>0</x:v>
      </x:c>
      <x:c r="T80" s="6" t="n">
        <x:f>ROUND(MAX(0,O80+P80-Q80-S80),2)</x:f>
        <x:v>0</x:v>
      </x:c>
      <x:c r="U80" s="6" t="n">
        <x:f>Z79</x:f>
        <x:v>0</x:v>
      </x:c>
      <x:c r="V80" s="6" t="n">
        <x:f>ROUND(U80*'Debt strategy'!$D$12/12,2)</x:f>
        <x:v>0</x:v>
      </x:c>
      <x:c r="W80" s="6" t="n">
        <x:f>MIN(U80+V80,'Debt strategy'!$E$12)</x:f>
        <x:v>0</x:v>
      </x:c>
      <x:c r="X80" s="27" t="n">
        <x:f>IF(U80+V80-W80&lt;=0,99,1+SUM(IF(AND(C80+D80-E80&gt;0,OR(C80+D80-E80&lt;U80+V80-W80,AND(C80+D80-E80=U80+V80-W80,0&lt;3))),1,0),IF(AND(I80+J80-K80&gt;0,OR(I80+J80-K80&lt;U80+V80-W80,AND(I80+J80-K80=U80+V80-W80,1&lt;3))),1,0),IF(AND(O80+P80-Q80&gt;0,OR(O80+P80-Q80&lt;U80+V80-W80,AND(O80+P80-Q80=U80+V80-W80,2&lt;3))),1,0),IF(AND(AA80+AB80-AC80&gt;0,OR(AA80+AB80-AC80&lt;U80+V80-W80,AND(AA80+AB80-AC80=U80+V80-W80,4&lt;3))),1,0)))</x:f>
        <x:v>99</x:v>
      </x:c>
      <x:c r="Y80" s="6" t="n">
        <x:f>IF('Debt strategy'!$C$16&gt;0,0,MIN(U80+V80-W80,MAX(0,'Debt strategy'!$C$5-SUM(E80,K80,Q80,W80,AC80)-SUM(IF(F80&lt;X80,C80+D80-E80,0),IF(L80&lt;X80,I80+J80-K80,0),IF(R80&lt;X80,O80+P80-Q80,0),IF(AD80&lt;X80,AA80+AB80-AC80,0)))))</x:f>
        <x:v>0</x:v>
      </x:c>
      <x:c r="Z80" s="6" t="n">
        <x:f>ROUND(MAX(0,U80+V80-W80-Y80),2)</x:f>
        <x:v>0</x:v>
      </x:c>
      <x:c r="AA80" s="6" t="n">
        <x:f>AF79</x:f>
        <x:v>0</x:v>
      </x:c>
      <x:c r="AB80" s="6" t="n">
        <x:f>ROUND(AA80*'Debt strategy'!$D$13/12,2)</x:f>
        <x:v>0</x:v>
      </x:c>
      <x:c r="AC80" s="6" t="n">
        <x:f>MIN(AA80+AB80,'Debt strategy'!$E$13)</x:f>
        <x:v>0</x:v>
      </x:c>
      <x:c r="AD80" s="27" t="n">
        <x:f>IF(AA80+AB80-AC80&lt;=0,99,1+SUM(IF(AND(C80+D80-E80&gt;0,OR(C80+D80-E80&lt;AA80+AB80-AC80,AND(C80+D80-E80=AA80+AB80-AC80,0&lt;4))),1,0),IF(AND(I80+J80-K80&gt;0,OR(I80+J80-K80&lt;AA80+AB80-AC80,AND(I80+J80-K80=AA80+AB80-AC80,1&lt;4))),1,0),IF(AND(O80+P80-Q80&gt;0,OR(O80+P80-Q80&lt;AA80+AB80-AC80,AND(O80+P80-Q80=AA80+AB80-AC80,2&lt;4))),1,0),IF(AND(U80+V80-W80&gt;0,OR(U80+V80-W80&lt;AA80+AB80-AC80,AND(U80+V80-W80=AA80+AB80-AC80,3&lt;4))),1,0)))</x:f>
        <x:v>99</x:v>
      </x:c>
      <x:c r="AE80" s="6" t="n">
        <x:f>IF('Debt strategy'!$C$16&gt;0,0,MIN(AA80+AB80-AC80,MAX(0,'Debt strategy'!$C$5-SUM(E80,K80,Q80,W80,AC80)-SUM(IF(F80&lt;AD80,C80+D80-E80,0),IF(L80&lt;AD80,I80+J80-K80,0),IF(R80&lt;AD80,O80+P80-Q80,0),IF(X80&lt;AD80,U80+V80-W80,0)))))</x:f>
        <x:v>0</x:v>
      </x:c>
      <x:c r="AF80" s="6" t="n">
        <x:f>ROUND(MAX(0,AA80+AB80-AC80-AE80),2)</x:f>
        <x:v>0</x:v>
      </x:c>
      <x:c r="AG80" s="6" t="n">
        <x:f>SUM(H80,N80,T80,Z80,AF80)</x:f>
        <x:v>0</x:v>
      </x:c>
      <x:c r="AH80" s="6" t="n">
        <x:f>SUM(D80,J80,P80,V80,AB80)+AH79</x:f>
        <x:v>1353.9499999999996</x:v>
      </x:c>
      <x:c r="AI80" s="2"/>
    </x:row>
    <x:row r="81" ht="23" customHeight="1">
      <x:c r="B81" s="2" t="n">
        <x:f>73</x:f>
        <x:v>73</x:v>
      </x:c>
      <x:c r="C81" s="6" t="n">
        <x:f>H80</x:f>
        <x:v>0</x:v>
      </x:c>
      <x:c r="D81" s="6" t="n">
        <x:f>ROUND(C81*'Debt strategy'!$D$9/12,2)</x:f>
        <x:v>0</x:v>
      </x:c>
      <x:c r="E81" s="6" t="n">
        <x:f>MIN(C81+D81,'Debt strategy'!$E$9)</x:f>
        <x:v>0</x:v>
      </x:c>
      <x:c r="F81" s="27" t="n">
        <x:f>IF(C81+D81-E81&lt;=0,99,1+SUM(IF(AND(I81+J81-K81&gt;0,OR(I81+J81-K81&lt;C81+D81-E81,AND(I81+J81-K81=C81+D81-E81,1&lt;0))),1,0),IF(AND(O81+P81-Q81&gt;0,OR(O81+P81-Q81&lt;C81+D81-E81,AND(O81+P81-Q81=C81+D81-E81,2&lt;0))),1,0),IF(AND(U81+V81-W81&gt;0,OR(U81+V81-W81&lt;C81+D81-E81,AND(U81+V81-W81=C81+D81-E81,3&lt;0))),1,0),IF(AND(AA81+AB81-AC81&gt;0,OR(AA81+AB81-AC81&lt;C81+D81-E81,AND(AA81+AB81-AC81=C81+D81-E81,4&lt;0))),1,0)))</x:f>
        <x:v>99</x:v>
      </x:c>
      <x:c r="G81" s="6" t="n">
        <x:f>IF('Debt strategy'!$C$16&gt;0,0,MIN(C81+D81-E81,MAX(0,'Debt strategy'!$C$5-SUM(E81,K81,Q81,W81,AC81)-SUM(IF(L81&lt;F81,I81+J81-K81,0),IF(R81&lt;F81,O81+P81-Q81,0),IF(X81&lt;F81,U81+V81-W81,0),IF(AD81&lt;F81,AA81+AB81-AC81,0)))))</x:f>
        <x:v>0</x:v>
      </x:c>
      <x:c r="H81" s="6" t="n">
        <x:f>ROUND(MAX(0,C81+D81-E81-G81),2)</x:f>
        <x:v>0</x:v>
      </x:c>
      <x:c r="I81" s="6" t="n">
        <x:f>N80</x:f>
        <x:v>0</x:v>
      </x:c>
      <x:c r="J81" s="6" t="n">
        <x:f>ROUND(I81*'Debt strategy'!$D$10/12,2)</x:f>
        <x:v>0</x:v>
      </x:c>
      <x:c r="K81" s="6" t="n">
        <x:f>MIN(I81+J81,'Debt strategy'!$E$10)</x:f>
        <x:v>0</x:v>
      </x:c>
      <x:c r="L81" s="27" t="n">
        <x:f>IF(I81+J81-K81&lt;=0,99,1+SUM(IF(AND(C81+D81-E81&gt;0,OR(C81+D81-E81&lt;I81+J81-K81,AND(C81+D81-E81=I81+J81-K81,0&lt;1))),1,0),IF(AND(O81+P81-Q81&gt;0,OR(O81+P81-Q81&lt;I81+J81-K81,AND(O81+P81-Q81=I81+J81-K81,2&lt;1))),1,0),IF(AND(U81+V81-W81&gt;0,OR(U81+V81-W81&lt;I81+J81-K81,AND(U81+V81-W81=I81+J81-K81,3&lt;1))),1,0),IF(AND(AA81+AB81-AC81&gt;0,OR(AA81+AB81-AC81&lt;I81+J81-K81,AND(AA81+AB81-AC81=I81+J81-K81,4&lt;1))),1,0)))</x:f>
        <x:v>99</x:v>
      </x:c>
      <x:c r="M81" s="6" t="n">
        <x:f>IF('Debt strategy'!$C$16&gt;0,0,MIN(I81+J81-K81,MAX(0,'Debt strategy'!$C$5-SUM(E81,K81,Q81,W81,AC81)-SUM(IF(F81&lt;L81,C81+D81-E81,0),IF(R81&lt;L81,O81+P81-Q81,0),IF(X81&lt;L81,U81+V81-W81,0),IF(AD81&lt;L81,AA81+AB81-AC81,0)))))</x:f>
        <x:v>0</x:v>
      </x:c>
      <x:c r="N81" s="6" t="n">
        <x:f>ROUND(MAX(0,I81+J81-K81-M81),2)</x:f>
        <x:v>0</x:v>
      </x:c>
      <x:c r="O81" s="6" t="n">
        <x:f>T80</x:f>
        <x:v>0</x:v>
      </x:c>
      <x:c r="P81" s="6" t="n">
        <x:f>ROUND(O81*'Debt strategy'!$D$11/12,2)</x:f>
        <x:v>0</x:v>
      </x:c>
      <x:c r="Q81" s="6" t="n">
        <x:f>MIN(O81+P81,'Debt strategy'!$E$11)</x:f>
        <x:v>0</x:v>
      </x:c>
      <x:c r="R81" s="27" t="n">
        <x:f>IF(O81+P81-Q81&lt;=0,99,1+SUM(IF(AND(C81+D81-E81&gt;0,OR(C81+D81-E81&lt;O81+P81-Q81,AND(C81+D81-E81=O81+P81-Q81,0&lt;2))),1,0),IF(AND(I81+J81-K81&gt;0,OR(I81+J81-K81&lt;O81+P81-Q81,AND(I81+J81-K81=O81+P81-Q81,1&lt;2))),1,0),IF(AND(U81+V81-W81&gt;0,OR(U81+V81-W81&lt;O81+P81-Q81,AND(U81+V81-W81=O81+P81-Q81,3&lt;2))),1,0),IF(AND(AA81+AB81-AC81&gt;0,OR(AA81+AB81-AC81&lt;O81+P81-Q81,AND(AA81+AB81-AC81=O81+P81-Q81,4&lt;2))),1,0)))</x:f>
        <x:v>99</x:v>
      </x:c>
      <x:c r="S81" s="6" t="n">
        <x:f>IF('Debt strategy'!$C$16&gt;0,0,MIN(O81+P81-Q81,MAX(0,'Debt strategy'!$C$5-SUM(E81,K81,Q81,W81,AC81)-SUM(IF(F81&lt;R81,C81+D81-E81,0),IF(L81&lt;R81,I81+J81-K81,0),IF(X81&lt;R81,U81+V81-W81,0),IF(AD81&lt;R81,AA81+AB81-AC81,0)))))</x:f>
        <x:v>0</x:v>
      </x:c>
      <x:c r="T81" s="6" t="n">
        <x:f>ROUND(MAX(0,O81+P81-Q81-S81),2)</x:f>
        <x:v>0</x:v>
      </x:c>
      <x:c r="U81" s="6" t="n">
        <x:f>Z80</x:f>
        <x:v>0</x:v>
      </x:c>
      <x:c r="V81" s="6" t="n">
        <x:f>ROUND(U81*'Debt strategy'!$D$12/12,2)</x:f>
        <x:v>0</x:v>
      </x:c>
      <x:c r="W81" s="6" t="n">
        <x:f>MIN(U81+V81,'Debt strategy'!$E$12)</x:f>
        <x:v>0</x:v>
      </x:c>
      <x:c r="X81" s="27" t="n">
        <x:f>IF(U81+V81-W81&lt;=0,99,1+SUM(IF(AND(C81+D81-E81&gt;0,OR(C81+D81-E81&lt;U81+V81-W81,AND(C81+D81-E81=U81+V81-W81,0&lt;3))),1,0),IF(AND(I81+J81-K81&gt;0,OR(I81+J81-K81&lt;U81+V81-W81,AND(I81+J81-K81=U81+V81-W81,1&lt;3))),1,0),IF(AND(O81+P81-Q81&gt;0,OR(O81+P81-Q81&lt;U81+V81-W81,AND(O81+P81-Q81=U81+V81-W81,2&lt;3))),1,0),IF(AND(AA81+AB81-AC81&gt;0,OR(AA81+AB81-AC81&lt;U81+V81-W81,AND(AA81+AB81-AC81=U81+V81-W81,4&lt;3))),1,0)))</x:f>
        <x:v>99</x:v>
      </x:c>
      <x:c r="Y81" s="6" t="n">
        <x:f>IF('Debt strategy'!$C$16&gt;0,0,MIN(U81+V81-W81,MAX(0,'Debt strategy'!$C$5-SUM(E81,K81,Q81,W81,AC81)-SUM(IF(F81&lt;X81,C81+D81-E81,0),IF(L81&lt;X81,I81+J81-K81,0),IF(R81&lt;X81,O81+P81-Q81,0),IF(AD81&lt;X81,AA81+AB81-AC81,0)))))</x:f>
        <x:v>0</x:v>
      </x:c>
      <x:c r="Z81" s="6" t="n">
        <x:f>ROUND(MAX(0,U81+V81-W81-Y81),2)</x:f>
        <x:v>0</x:v>
      </x:c>
      <x:c r="AA81" s="6" t="n">
        <x:f>AF80</x:f>
        <x:v>0</x:v>
      </x:c>
      <x:c r="AB81" s="6" t="n">
        <x:f>ROUND(AA81*'Debt strategy'!$D$13/12,2)</x:f>
        <x:v>0</x:v>
      </x:c>
      <x:c r="AC81" s="6" t="n">
        <x:f>MIN(AA81+AB81,'Debt strategy'!$E$13)</x:f>
        <x:v>0</x:v>
      </x:c>
      <x:c r="AD81" s="27" t="n">
        <x:f>IF(AA81+AB81-AC81&lt;=0,99,1+SUM(IF(AND(C81+D81-E81&gt;0,OR(C81+D81-E81&lt;AA81+AB81-AC81,AND(C81+D81-E81=AA81+AB81-AC81,0&lt;4))),1,0),IF(AND(I81+J81-K81&gt;0,OR(I81+J81-K81&lt;AA81+AB81-AC81,AND(I81+J81-K81=AA81+AB81-AC81,1&lt;4))),1,0),IF(AND(O81+P81-Q81&gt;0,OR(O81+P81-Q81&lt;AA81+AB81-AC81,AND(O81+P81-Q81=AA81+AB81-AC81,2&lt;4))),1,0),IF(AND(U81+V81-W81&gt;0,OR(U81+V81-W81&lt;AA81+AB81-AC81,AND(U81+V81-W81=AA81+AB81-AC81,3&lt;4))),1,0)))</x:f>
        <x:v>99</x:v>
      </x:c>
      <x:c r="AE81" s="6" t="n">
        <x:f>IF('Debt strategy'!$C$16&gt;0,0,MIN(AA81+AB81-AC81,MAX(0,'Debt strategy'!$C$5-SUM(E81,K81,Q81,W81,AC81)-SUM(IF(F81&lt;AD81,C81+D81-E81,0),IF(L81&lt;AD81,I81+J81-K81,0),IF(R81&lt;AD81,O81+P81-Q81,0),IF(X81&lt;AD81,U81+V81-W81,0)))))</x:f>
        <x:v>0</x:v>
      </x:c>
      <x:c r="AF81" s="6" t="n">
        <x:f>ROUND(MAX(0,AA81+AB81-AC81-AE81),2)</x:f>
        <x:v>0</x:v>
      </x:c>
      <x:c r="AG81" s="6" t="n">
        <x:f>SUM(H81,N81,T81,Z81,AF81)</x:f>
        <x:v>0</x:v>
      </x:c>
      <x:c r="AH81" s="6" t="n">
        <x:f>SUM(D81,J81,P81,V81,AB81)+AH80</x:f>
        <x:v>1353.9499999999996</x:v>
      </x:c>
      <x:c r="AI81" s="2"/>
    </x:row>
    <x:row r="82" ht="23" customHeight="1">
      <x:c r="B82" s="2" t="n">
        <x:f>74</x:f>
        <x:v>74</x:v>
      </x:c>
      <x:c r="C82" s="6" t="n">
        <x:f>H81</x:f>
        <x:v>0</x:v>
      </x:c>
      <x:c r="D82" s="6" t="n">
        <x:f>ROUND(C82*'Debt strategy'!$D$9/12,2)</x:f>
        <x:v>0</x:v>
      </x:c>
      <x:c r="E82" s="6" t="n">
        <x:f>MIN(C82+D82,'Debt strategy'!$E$9)</x:f>
        <x:v>0</x:v>
      </x:c>
      <x:c r="F82" s="27" t="n">
        <x:f>IF(C82+D82-E82&lt;=0,99,1+SUM(IF(AND(I82+J82-K82&gt;0,OR(I82+J82-K82&lt;C82+D82-E82,AND(I82+J82-K82=C82+D82-E82,1&lt;0))),1,0),IF(AND(O82+P82-Q82&gt;0,OR(O82+P82-Q82&lt;C82+D82-E82,AND(O82+P82-Q82=C82+D82-E82,2&lt;0))),1,0),IF(AND(U82+V82-W82&gt;0,OR(U82+V82-W82&lt;C82+D82-E82,AND(U82+V82-W82=C82+D82-E82,3&lt;0))),1,0),IF(AND(AA82+AB82-AC82&gt;0,OR(AA82+AB82-AC82&lt;C82+D82-E82,AND(AA82+AB82-AC82=C82+D82-E82,4&lt;0))),1,0)))</x:f>
        <x:v>99</x:v>
      </x:c>
      <x:c r="G82" s="6" t="n">
        <x:f>IF('Debt strategy'!$C$16&gt;0,0,MIN(C82+D82-E82,MAX(0,'Debt strategy'!$C$5-SUM(E82,K82,Q82,W82,AC82)-SUM(IF(L82&lt;F82,I82+J82-K82,0),IF(R82&lt;F82,O82+P82-Q82,0),IF(X82&lt;F82,U82+V82-W82,0),IF(AD82&lt;F82,AA82+AB82-AC82,0)))))</x:f>
        <x:v>0</x:v>
      </x:c>
      <x:c r="H82" s="6" t="n">
        <x:f>ROUND(MAX(0,C82+D82-E82-G82),2)</x:f>
        <x:v>0</x:v>
      </x:c>
      <x:c r="I82" s="6" t="n">
        <x:f>N81</x:f>
        <x:v>0</x:v>
      </x:c>
      <x:c r="J82" s="6" t="n">
        <x:f>ROUND(I82*'Debt strategy'!$D$10/12,2)</x:f>
        <x:v>0</x:v>
      </x:c>
      <x:c r="K82" s="6" t="n">
        <x:f>MIN(I82+J82,'Debt strategy'!$E$10)</x:f>
        <x:v>0</x:v>
      </x:c>
      <x:c r="L82" s="27" t="n">
        <x:f>IF(I82+J82-K82&lt;=0,99,1+SUM(IF(AND(C82+D82-E82&gt;0,OR(C82+D82-E82&lt;I82+J82-K82,AND(C82+D82-E82=I82+J82-K82,0&lt;1))),1,0),IF(AND(O82+P82-Q82&gt;0,OR(O82+P82-Q82&lt;I82+J82-K82,AND(O82+P82-Q82=I82+J82-K82,2&lt;1))),1,0),IF(AND(U82+V82-W82&gt;0,OR(U82+V82-W82&lt;I82+J82-K82,AND(U82+V82-W82=I82+J82-K82,3&lt;1))),1,0),IF(AND(AA82+AB82-AC82&gt;0,OR(AA82+AB82-AC82&lt;I82+J82-K82,AND(AA82+AB82-AC82=I82+J82-K82,4&lt;1))),1,0)))</x:f>
        <x:v>99</x:v>
      </x:c>
      <x:c r="M82" s="6" t="n">
        <x:f>IF('Debt strategy'!$C$16&gt;0,0,MIN(I82+J82-K82,MAX(0,'Debt strategy'!$C$5-SUM(E82,K82,Q82,W82,AC82)-SUM(IF(F82&lt;L82,C82+D82-E82,0),IF(R82&lt;L82,O82+P82-Q82,0),IF(X82&lt;L82,U82+V82-W82,0),IF(AD82&lt;L82,AA82+AB82-AC82,0)))))</x:f>
        <x:v>0</x:v>
      </x:c>
      <x:c r="N82" s="6" t="n">
        <x:f>ROUND(MAX(0,I82+J82-K82-M82),2)</x:f>
        <x:v>0</x:v>
      </x:c>
      <x:c r="O82" s="6" t="n">
        <x:f>T81</x:f>
        <x:v>0</x:v>
      </x:c>
      <x:c r="P82" s="6" t="n">
        <x:f>ROUND(O82*'Debt strategy'!$D$11/12,2)</x:f>
        <x:v>0</x:v>
      </x:c>
      <x:c r="Q82" s="6" t="n">
        <x:f>MIN(O82+P82,'Debt strategy'!$E$11)</x:f>
        <x:v>0</x:v>
      </x:c>
      <x:c r="R82" s="27" t="n">
        <x:f>IF(O82+P82-Q82&lt;=0,99,1+SUM(IF(AND(C82+D82-E82&gt;0,OR(C82+D82-E82&lt;O82+P82-Q82,AND(C82+D82-E82=O82+P82-Q82,0&lt;2))),1,0),IF(AND(I82+J82-K82&gt;0,OR(I82+J82-K82&lt;O82+P82-Q82,AND(I82+J82-K82=O82+P82-Q82,1&lt;2))),1,0),IF(AND(U82+V82-W82&gt;0,OR(U82+V82-W82&lt;O82+P82-Q82,AND(U82+V82-W82=O82+P82-Q82,3&lt;2))),1,0),IF(AND(AA82+AB82-AC82&gt;0,OR(AA82+AB82-AC82&lt;O82+P82-Q82,AND(AA82+AB82-AC82=O82+P82-Q82,4&lt;2))),1,0)))</x:f>
        <x:v>99</x:v>
      </x:c>
      <x:c r="S82" s="6" t="n">
        <x:f>IF('Debt strategy'!$C$16&gt;0,0,MIN(O82+P82-Q82,MAX(0,'Debt strategy'!$C$5-SUM(E82,K82,Q82,W82,AC82)-SUM(IF(F82&lt;R82,C82+D82-E82,0),IF(L82&lt;R82,I82+J82-K82,0),IF(X82&lt;R82,U82+V82-W82,0),IF(AD82&lt;R82,AA82+AB82-AC82,0)))))</x:f>
        <x:v>0</x:v>
      </x:c>
      <x:c r="T82" s="6" t="n">
        <x:f>ROUND(MAX(0,O82+P82-Q82-S82),2)</x:f>
        <x:v>0</x:v>
      </x:c>
      <x:c r="U82" s="6" t="n">
        <x:f>Z81</x:f>
        <x:v>0</x:v>
      </x:c>
      <x:c r="V82" s="6" t="n">
        <x:f>ROUND(U82*'Debt strategy'!$D$12/12,2)</x:f>
        <x:v>0</x:v>
      </x:c>
      <x:c r="W82" s="6" t="n">
        <x:f>MIN(U82+V82,'Debt strategy'!$E$12)</x:f>
        <x:v>0</x:v>
      </x:c>
      <x:c r="X82" s="27" t="n">
        <x:f>IF(U82+V82-W82&lt;=0,99,1+SUM(IF(AND(C82+D82-E82&gt;0,OR(C82+D82-E82&lt;U82+V82-W82,AND(C82+D82-E82=U82+V82-W82,0&lt;3))),1,0),IF(AND(I82+J82-K82&gt;0,OR(I82+J82-K82&lt;U82+V82-W82,AND(I82+J82-K82=U82+V82-W82,1&lt;3))),1,0),IF(AND(O82+P82-Q82&gt;0,OR(O82+P82-Q82&lt;U82+V82-W82,AND(O82+P82-Q82=U82+V82-W82,2&lt;3))),1,0),IF(AND(AA82+AB82-AC82&gt;0,OR(AA82+AB82-AC82&lt;U82+V82-W82,AND(AA82+AB82-AC82=U82+V82-W82,4&lt;3))),1,0)))</x:f>
        <x:v>99</x:v>
      </x:c>
      <x:c r="Y82" s="6" t="n">
        <x:f>IF('Debt strategy'!$C$16&gt;0,0,MIN(U82+V82-W82,MAX(0,'Debt strategy'!$C$5-SUM(E82,K82,Q82,W82,AC82)-SUM(IF(F82&lt;X82,C82+D82-E82,0),IF(L82&lt;X82,I82+J82-K82,0),IF(R82&lt;X82,O82+P82-Q82,0),IF(AD82&lt;X82,AA82+AB82-AC82,0)))))</x:f>
        <x:v>0</x:v>
      </x:c>
      <x:c r="Z82" s="6" t="n">
        <x:f>ROUND(MAX(0,U82+V82-W82-Y82),2)</x:f>
        <x:v>0</x:v>
      </x:c>
      <x:c r="AA82" s="6" t="n">
        <x:f>AF81</x:f>
        <x:v>0</x:v>
      </x:c>
      <x:c r="AB82" s="6" t="n">
        <x:f>ROUND(AA82*'Debt strategy'!$D$13/12,2)</x:f>
        <x:v>0</x:v>
      </x:c>
      <x:c r="AC82" s="6" t="n">
        <x:f>MIN(AA82+AB82,'Debt strategy'!$E$13)</x:f>
        <x:v>0</x:v>
      </x:c>
      <x:c r="AD82" s="27" t="n">
        <x:f>IF(AA82+AB82-AC82&lt;=0,99,1+SUM(IF(AND(C82+D82-E82&gt;0,OR(C82+D82-E82&lt;AA82+AB82-AC82,AND(C82+D82-E82=AA82+AB82-AC82,0&lt;4))),1,0),IF(AND(I82+J82-K82&gt;0,OR(I82+J82-K82&lt;AA82+AB82-AC82,AND(I82+J82-K82=AA82+AB82-AC82,1&lt;4))),1,0),IF(AND(O82+P82-Q82&gt;0,OR(O82+P82-Q82&lt;AA82+AB82-AC82,AND(O82+P82-Q82=AA82+AB82-AC82,2&lt;4))),1,0),IF(AND(U82+V82-W82&gt;0,OR(U82+V82-W82&lt;AA82+AB82-AC82,AND(U82+V82-W82=AA82+AB82-AC82,3&lt;4))),1,0)))</x:f>
        <x:v>99</x:v>
      </x:c>
      <x:c r="AE82" s="6" t="n">
        <x:f>IF('Debt strategy'!$C$16&gt;0,0,MIN(AA82+AB82-AC82,MAX(0,'Debt strategy'!$C$5-SUM(E82,K82,Q82,W82,AC82)-SUM(IF(F82&lt;AD82,C82+D82-E82,0),IF(L82&lt;AD82,I82+J82-K82,0),IF(R82&lt;AD82,O82+P82-Q82,0),IF(X82&lt;AD82,U82+V82-W82,0)))))</x:f>
        <x:v>0</x:v>
      </x:c>
      <x:c r="AF82" s="6" t="n">
        <x:f>ROUND(MAX(0,AA82+AB82-AC82-AE82),2)</x:f>
        <x:v>0</x:v>
      </x:c>
      <x:c r="AG82" s="6" t="n">
        <x:f>SUM(H82,N82,T82,Z82,AF82)</x:f>
        <x:v>0</x:v>
      </x:c>
      <x:c r="AH82" s="6" t="n">
        <x:f>SUM(D82,J82,P82,V82,AB82)+AH81</x:f>
        <x:v>1353.9499999999996</x:v>
      </x:c>
      <x:c r="AI82" s="2"/>
    </x:row>
    <x:row r="83" ht="23" customHeight="1">
      <x:c r="B83" s="2" t="n">
        <x:f>75</x:f>
        <x:v>75</x:v>
      </x:c>
      <x:c r="C83" s="6" t="n">
        <x:f>H82</x:f>
        <x:v>0</x:v>
      </x:c>
      <x:c r="D83" s="6" t="n">
        <x:f>ROUND(C83*'Debt strategy'!$D$9/12,2)</x:f>
        <x:v>0</x:v>
      </x:c>
      <x:c r="E83" s="6" t="n">
        <x:f>MIN(C83+D83,'Debt strategy'!$E$9)</x:f>
        <x:v>0</x:v>
      </x:c>
      <x:c r="F83" s="27" t="n">
        <x:f>IF(C83+D83-E83&lt;=0,99,1+SUM(IF(AND(I83+J83-K83&gt;0,OR(I83+J83-K83&lt;C83+D83-E83,AND(I83+J83-K83=C83+D83-E83,1&lt;0))),1,0),IF(AND(O83+P83-Q83&gt;0,OR(O83+P83-Q83&lt;C83+D83-E83,AND(O83+P83-Q83=C83+D83-E83,2&lt;0))),1,0),IF(AND(U83+V83-W83&gt;0,OR(U83+V83-W83&lt;C83+D83-E83,AND(U83+V83-W83=C83+D83-E83,3&lt;0))),1,0),IF(AND(AA83+AB83-AC83&gt;0,OR(AA83+AB83-AC83&lt;C83+D83-E83,AND(AA83+AB83-AC83=C83+D83-E83,4&lt;0))),1,0)))</x:f>
        <x:v>99</x:v>
      </x:c>
      <x:c r="G83" s="6" t="n">
        <x:f>IF('Debt strategy'!$C$16&gt;0,0,MIN(C83+D83-E83,MAX(0,'Debt strategy'!$C$5-SUM(E83,K83,Q83,W83,AC83)-SUM(IF(L83&lt;F83,I83+J83-K83,0),IF(R83&lt;F83,O83+P83-Q83,0),IF(X83&lt;F83,U83+V83-W83,0),IF(AD83&lt;F83,AA83+AB83-AC83,0)))))</x:f>
        <x:v>0</x:v>
      </x:c>
      <x:c r="H83" s="6" t="n">
        <x:f>ROUND(MAX(0,C83+D83-E83-G83),2)</x:f>
        <x:v>0</x:v>
      </x:c>
      <x:c r="I83" s="6" t="n">
        <x:f>N82</x:f>
        <x:v>0</x:v>
      </x:c>
      <x:c r="J83" s="6" t="n">
        <x:f>ROUND(I83*'Debt strategy'!$D$10/12,2)</x:f>
        <x:v>0</x:v>
      </x:c>
      <x:c r="K83" s="6" t="n">
        <x:f>MIN(I83+J83,'Debt strategy'!$E$10)</x:f>
        <x:v>0</x:v>
      </x:c>
      <x:c r="L83" s="27" t="n">
        <x:f>IF(I83+J83-K83&lt;=0,99,1+SUM(IF(AND(C83+D83-E83&gt;0,OR(C83+D83-E83&lt;I83+J83-K83,AND(C83+D83-E83=I83+J83-K83,0&lt;1))),1,0),IF(AND(O83+P83-Q83&gt;0,OR(O83+P83-Q83&lt;I83+J83-K83,AND(O83+P83-Q83=I83+J83-K83,2&lt;1))),1,0),IF(AND(U83+V83-W83&gt;0,OR(U83+V83-W83&lt;I83+J83-K83,AND(U83+V83-W83=I83+J83-K83,3&lt;1))),1,0),IF(AND(AA83+AB83-AC83&gt;0,OR(AA83+AB83-AC83&lt;I83+J83-K83,AND(AA83+AB83-AC83=I83+J83-K83,4&lt;1))),1,0)))</x:f>
        <x:v>99</x:v>
      </x:c>
      <x:c r="M83" s="6" t="n">
        <x:f>IF('Debt strategy'!$C$16&gt;0,0,MIN(I83+J83-K83,MAX(0,'Debt strategy'!$C$5-SUM(E83,K83,Q83,W83,AC83)-SUM(IF(F83&lt;L83,C83+D83-E83,0),IF(R83&lt;L83,O83+P83-Q83,0),IF(X83&lt;L83,U83+V83-W83,0),IF(AD83&lt;L83,AA83+AB83-AC83,0)))))</x:f>
        <x:v>0</x:v>
      </x:c>
      <x:c r="N83" s="6" t="n">
        <x:f>ROUND(MAX(0,I83+J83-K83-M83),2)</x:f>
        <x:v>0</x:v>
      </x:c>
      <x:c r="O83" s="6" t="n">
        <x:f>T82</x:f>
        <x:v>0</x:v>
      </x:c>
      <x:c r="P83" s="6" t="n">
        <x:f>ROUND(O83*'Debt strategy'!$D$11/12,2)</x:f>
        <x:v>0</x:v>
      </x:c>
      <x:c r="Q83" s="6" t="n">
        <x:f>MIN(O83+P83,'Debt strategy'!$E$11)</x:f>
        <x:v>0</x:v>
      </x:c>
      <x:c r="R83" s="27" t="n">
        <x:f>IF(O83+P83-Q83&lt;=0,99,1+SUM(IF(AND(C83+D83-E83&gt;0,OR(C83+D83-E83&lt;O83+P83-Q83,AND(C83+D83-E83=O83+P83-Q83,0&lt;2))),1,0),IF(AND(I83+J83-K83&gt;0,OR(I83+J83-K83&lt;O83+P83-Q83,AND(I83+J83-K83=O83+P83-Q83,1&lt;2))),1,0),IF(AND(U83+V83-W83&gt;0,OR(U83+V83-W83&lt;O83+P83-Q83,AND(U83+V83-W83=O83+P83-Q83,3&lt;2))),1,0),IF(AND(AA83+AB83-AC83&gt;0,OR(AA83+AB83-AC83&lt;O83+P83-Q83,AND(AA83+AB83-AC83=O83+P83-Q83,4&lt;2))),1,0)))</x:f>
        <x:v>99</x:v>
      </x:c>
      <x:c r="S83" s="6" t="n">
        <x:f>IF('Debt strategy'!$C$16&gt;0,0,MIN(O83+P83-Q83,MAX(0,'Debt strategy'!$C$5-SUM(E83,K83,Q83,W83,AC83)-SUM(IF(F83&lt;R83,C83+D83-E83,0),IF(L83&lt;R83,I83+J83-K83,0),IF(X83&lt;R83,U83+V83-W83,0),IF(AD83&lt;R83,AA83+AB83-AC83,0)))))</x:f>
        <x:v>0</x:v>
      </x:c>
      <x:c r="T83" s="6" t="n">
        <x:f>ROUND(MAX(0,O83+P83-Q83-S83),2)</x:f>
        <x:v>0</x:v>
      </x:c>
      <x:c r="U83" s="6" t="n">
        <x:f>Z82</x:f>
        <x:v>0</x:v>
      </x:c>
      <x:c r="V83" s="6" t="n">
        <x:f>ROUND(U83*'Debt strategy'!$D$12/12,2)</x:f>
        <x:v>0</x:v>
      </x:c>
      <x:c r="W83" s="6" t="n">
        <x:f>MIN(U83+V83,'Debt strategy'!$E$12)</x:f>
        <x:v>0</x:v>
      </x:c>
      <x:c r="X83" s="27" t="n">
        <x:f>IF(U83+V83-W83&lt;=0,99,1+SUM(IF(AND(C83+D83-E83&gt;0,OR(C83+D83-E83&lt;U83+V83-W83,AND(C83+D83-E83=U83+V83-W83,0&lt;3))),1,0),IF(AND(I83+J83-K83&gt;0,OR(I83+J83-K83&lt;U83+V83-W83,AND(I83+J83-K83=U83+V83-W83,1&lt;3))),1,0),IF(AND(O83+P83-Q83&gt;0,OR(O83+P83-Q83&lt;U83+V83-W83,AND(O83+P83-Q83=U83+V83-W83,2&lt;3))),1,0),IF(AND(AA83+AB83-AC83&gt;0,OR(AA83+AB83-AC83&lt;U83+V83-W83,AND(AA83+AB83-AC83=U83+V83-W83,4&lt;3))),1,0)))</x:f>
        <x:v>99</x:v>
      </x:c>
      <x:c r="Y83" s="6" t="n">
        <x:f>IF('Debt strategy'!$C$16&gt;0,0,MIN(U83+V83-W83,MAX(0,'Debt strategy'!$C$5-SUM(E83,K83,Q83,W83,AC83)-SUM(IF(F83&lt;X83,C83+D83-E83,0),IF(L83&lt;X83,I83+J83-K83,0),IF(R83&lt;X83,O83+P83-Q83,0),IF(AD83&lt;X83,AA83+AB83-AC83,0)))))</x:f>
        <x:v>0</x:v>
      </x:c>
      <x:c r="Z83" s="6" t="n">
        <x:f>ROUND(MAX(0,U83+V83-W83-Y83),2)</x:f>
        <x:v>0</x:v>
      </x:c>
      <x:c r="AA83" s="6" t="n">
        <x:f>AF82</x:f>
        <x:v>0</x:v>
      </x:c>
      <x:c r="AB83" s="6" t="n">
        <x:f>ROUND(AA83*'Debt strategy'!$D$13/12,2)</x:f>
        <x:v>0</x:v>
      </x:c>
      <x:c r="AC83" s="6" t="n">
        <x:f>MIN(AA83+AB83,'Debt strategy'!$E$13)</x:f>
        <x:v>0</x:v>
      </x:c>
      <x:c r="AD83" s="27" t="n">
        <x:f>IF(AA83+AB83-AC83&lt;=0,99,1+SUM(IF(AND(C83+D83-E83&gt;0,OR(C83+D83-E83&lt;AA83+AB83-AC83,AND(C83+D83-E83=AA83+AB83-AC83,0&lt;4))),1,0),IF(AND(I83+J83-K83&gt;0,OR(I83+J83-K83&lt;AA83+AB83-AC83,AND(I83+J83-K83=AA83+AB83-AC83,1&lt;4))),1,0),IF(AND(O83+P83-Q83&gt;0,OR(O83+P83-Q83&lt;AA83+AB83-AC83,AND(O83+P83-Q83=AA83+AB83-AC83,2&lt;4))),1,0),IF(AND(U83+V83-W83&gt;0,OR(U83+V83-W83&lt;AA83+AB83-AC83,AND(U83+V83-W83=AA83+AB83-AC83,3&lt;4))),1,0)))</x:f>
        <x:v>99</x:v>
      </x:c>
      <x:c r="AE83" s="6" t="n">
        <x:f>IF('Debt strategy'!$C$16&gt;0,0,MIN(AA83+AB83-AC83,MAX(0,'Debt strategy'!$C$5-SUM(E83,K83,Q83,W83,AC83)-SUM(IF(F83&lt;AD83,C83+D83-E83,0),IF(L83&lt;AD83,I83+J83-K83,0),IF(R83&lt;AD83,O83+P83-Q83,0),IF(X83&lt;AD83,U83+V83-W83,0)))))</x:f>
        <x:v>0</x:v>
      </x:c>
      <x:c r="AF83" s="6" t="n">
        <x:f>ROUND(MAX(0,AA83+AB83-AC83-AE83),2)</x:f>
        <x:v>0</x:v>
      </x:c>
      <x:c r="AG83" s="6" t="n">
        <x:f>SUM(H83,N83,T83,Z83,AF83)</x:f>
        <x:v>0</x:v>
      </x:c>
      <x:c r="AH83" s="6" t="n">
        <x:f>SUM(D83,J83,P83,V83,AB83)+AH82</x:f>
        <x:v>1353.9499999999996</x:v>
      </x:c>
      <x:c r="AI83" s="2"/>
    </x:row>
    <x:row r="84" ht="23" customHeight="1">
      <x:c r="B84" s="2" t="n">
        <x:f>76</x:f>
        <x:v>76</x:v>
      </x:c>
      <x:c r="C84" s="6" t="n">
        <x:f>H83</x:f>
        <x:v>0</x:v>
      </x:c>
      <x:c r="D84" s="6" t="n">
        <x:f>ROUND(C84*'Debt strategy'!$D$9/12,2)</x:f>
        <x:v>0</x:v>
      </x:c>
      <x:c r="E84" s="6" t="n">
        <x:f>MIN(C84+D84,'Debt strategy'!$E$9)</x:f>
        <x:v>0</x:v>
      </x:c>
      <x:c r="F84" s="27" t="n">
        <x:f>IF(C84+D84-E84&lt;=0,99,1+SUM(IF(AND(I84+J84-K84&gt;0,OR(I84+J84-K84&lt;C84+D84-E84,AND(I84+J84-K84=C84+D84-E84,1&lt;0))),1,0),IF(AND(O84+P84-Q84&gt;0,OR(O84+P84-Q84&lt;C84+D84-E84,AND(O84+P84-Q84=C84+D84-E84,2&lt;0))),1,0),IF(AND(U84+V84-W84&gt;0,OR(U84+V84-W84&lt;C84+D84-E84,AND(U84+V84-W84=C84+D84-E84,3&lt;0))),1,0),IF(AND(AA84+AB84-AC84&gt;0,OR(AA84+AB84-AC84&lt;C84+D84-E84,AND(AA84+AB84-AC84=C84+D84-E84,4&lt;0))),1,0)))</x:f>
        <x:v>99</x:v>
      </x:c>
      <x:c r="G84" s="6" t="n">
        <x:f>IF('Debt strategy'!$C$16&gt;0,0,MIN(C84+D84-E84,MAX(0,'Debt strategy'!$C$5-SUM(E84,K84,Q84,W84,AC84)-SUM(IF(L84&lt;F84,I84+J84-K84,0),IF(R84&lt;F84,O84+P84-Q84,0),IF(X84&lt;F84,U84+V84-W84,0),IF(AD84&lt;F84,AA84+AB84-AC84,0)))))</x:f>
        <x:v>0</x:v>
      </x:c>
      <x:c r="H84" s="6" t="n">
        <x:f>ROUND(MAX(0,C84+D84-E84-G84),2)</x:f>
        <x:v>0</x:v>
      </x:c>
      <x:c r="I84" s="6" t="n">
        <x:f>N83</x:f>
        <x:v>0</x:v>
      </x:c>
      <x:c r="J84" s="6" t="n">
        <x:f>ROUND(I84*'Debt strategy'!$D$10/12,2)</x:f>
        <x:v>0</x:v>
      </x:c>
      <x:c r="K84" s="6" t="n">
        <x:f>MIN(I84+J84,'Debt strategy'!$E$10)</x:f>
        <x:v>0</x:v>
      </x:c>
      <x:c r="L84" s="27" t="n">
        <x:f>IF(I84+J84-K84&lt;=0,99,1+SUM(IF(AND(C84+D84-E84&gt;0,OR(C84+D84-E84&lt;I84+J84-K84,AND(C84+D84-E84=I84+J84-K84,0&lt;1))),1,0),IF(AND(O84+P84-Q84&gt;0,OR(O84+P84-Q84&lt;I84+J84-K84,AND(O84+P84-Q84=I84+J84-K84,2&lt;1))),1,0),IF(AND(U84+V84-W84&gt;0,OR(U84+V84-W84&lt;I84+J84-K84,AND(U84+V84-W84=I84+J84-K84,3&lt;1))),1,0),IF(AND(AA84+AB84-AC84&gt;0,OR(AA84+AB84-AC84&lt;I84+J84-K84,AND(AA84+AB84-AC84=I84+J84-K84,4&lt;1))),1,0)))</x:f>
        <x:v>99</x:v>
      </x:c>
      <x:c r="M84" s="6" t="n">
        <x:f>IF('Debt strategy'!$C$16&gt;0,0,MIN(I84+J84-K84,MAX(0,'Debt strategy'!$C$5-SUM(E84,K84,Q84,W84,AC84)-SUM(IF(F84&lt;L84,C84+D84-E84,0),IF(R84&lt;L84,O84+P84-Q84,0),IF(X84&lt;L84,U84+V84-W84,0),IF(AD84&lt;L84,AA84+AB84-AC84,0)))))</x:f>
        <x:v>0</x:v>
      </x:c>
      <x:c r="N84" s="6" t="n">
        <x:f>ROUND(MAX(0,I84+J84-K84-M84),2)</x:f>
        <x:v>0</x:v>
      </x:c>
      <x:c r="O84" s="6" t="n">
        <x:f>T83</x:f>
        <x:v>0</x:v>
      </x:c>
      <x:c r="P84" s="6" t="n">
        <x:f>ROUND(O84*'Debt strategy'!$D$11/12,2)</x:f>
        <x:v>0</x:v>
      </x:c>
      <x:c r="Q84" s="6" t="n">
        <x:f>MIN(O84+P84,'Debt strategy'!$E$11)</x:f>
        <x:v>0</x:v>
      </x:c>
      <x:c r="R84" s="27" t="n">
        <x:f>IF(O84+P84-Q84&lt;=0,99,1+SUM(IF(AND(C84+D84-E84&gt;0,OR(C84+D84-E84&lt;O84+P84-Q84,AND(C84+D84-E84=O84+P84-Q84,0&lt;2))),1,0),IF(AND(I84+J84-K84&gt;0,OR(I84+J84-K84&lt;O84+P84-Q84,AND(I84+J84-K84=O84+P84-Q84,1&lt;2))),1,0),IF(AND(U84+V84-W84&gt;0,OR(U84+V84-W84&lt;O84+P84-Q84,AND(U84+V84-W84=O84+P84-Q84,3&lt;2))),1,0),IF(AND(AA84+AB84-AC84&gt;0,OR(AA84+AB84-AC84&lt;O84+P84-Q84,AND(AA84+AB84-AC84=O84+P84-Q84,4&lt;2))),1,0)))</x:f>
        <x:v>99</x:v>
      </x:c>
      <x:c r="S84" s="6" t="n">
        <x:f>IF('Debt strategy'!$C$16&gt;0,0,MIN(O84+P84-Q84,MAX(0,'Debt strategy'!$C$5-SUM(E84,K84,Q84,W84,AC84)-SUM(IF(F84&lt;R84,C84+D84-E84,0),IF(L84&lt;R84,I84+J84-K84,0),IF(X84&lt;R84,U84+V84-W84,0),IF(AD84&lt;R84,AA84+AB84-AC84,0)))))</x:f>
        <x:v>0</x:v>
      </x:c>
      <x:c r="T84" s="6" t="n">
        <x:f>ROUND(MAX(0,O84+P84-Q84-S84),2)</x:f>
        <x:v>0</x:v>
      </x:c>
      <x:c r="U84" s="6" t="n">
        <x:f>Z83</x:f>
        <x:v>0</x:v>
      </x:c>
      <x:c r="V84" s="6" t="n">
        <x:f>ROUND(U84*'Debt strategy'!$D$12/12,2)</x:f>
        <x:v>0</x:v>
      </x:c>
      <x:c r="W84" s="6" t="n">
        <x:f>MIN(U84+V84,'Debt strategy'!$E$12)</x:f>
        <x:v>0</x:v>
      </x:c>
      <x:c r="X84" s="27" t="n">
        <x:f>IF(U84+V84-W84&lt;=0,99,1+SUM(IF(AND(C84+D84-E84&gt;0,OR(C84+D84-E84&lt;U84+V84-W84,AND(C84+D84-E84=U84+V84-W84,0&lt;3))),1,0),IF(AND(I84+J84-K84&gt;0,OR(I84+J84-K84&lt;U84+V84-W84,AND(I84+J84-K84=U84+V84-W84,1&lt;3))),1,0),IF(AND(O84+P84-Q84&gt;0,OR(O84+P84-Q84&lt;U84+V84-W84,AND(O84+P84-Q84=U84+V84-W84,2&lt;3))),1,0),IF(AND(AA84+AB84-AC84&gt;0,OR(AA84+AB84-AC84&lt;U84+V84-W84,AND(AA84+AB84-AC84=U84+V84-W84,4&lt;3))),1,0)))</x:f>
        <x:v>99</x:v>
      </x:c>
      <x:c r="Y84" s="6" t="n">
        <x:f>IF('Debt strategy'!$C$16&gt;0,0,MIN(U84+V84-W84,MAX(0,'Debt strategy'!$C$5-SUM(E84,K84,Q84,W84,AC84)-SUM(IF(F84&lt;X84,C84+D84-E84,0),IF(L84&lt;X84,I84+J84-K84,0),IF(R84&lt;X84,O84+P84-Q84,0),IF(AD84&lt;X84,AA84+AB84-AC84,0)))))</x:f>
        <x:v>0</x:v>
      </x:c>
      <x:c r="Z84" s="6" t="n">
        <x:f>ROUND(MAX(0,U84+V84-W84-Y84),2)</x:f>
        <x:v>0</x:v>
      </x:c>
      <x:c r="AA84" s="6" t="n">
        <x:f>AF83</x:f>
        <x:v>0</x:v>
      </x:c>
      <x:c r="AB84" s="6" t="n">
        <x:f>ROUND(AA84*'Debt strategy'!$D$13/12,2)</x:f>
        <x:v>0</x:v>
      </x:c>
      <x:c r="AC84" s="6" t="n">
        <x:f>MIN(AA84+AB84,'Debt strategy'!$E$13)</x:f>
        <x:v>0</x:v>
      </x:c>
      <x:c r="AD84" s="27" t="n">
        <x:f>IF(AA84+AB84-AC84&lt;=0,99,1+SUM(IF(AND(C84+D84-E84&gt;0,OR(C84+D84-E84&lt;AA84+AB84-AC84,AND(C84+D84-E84=AA84+AB84-AC84,0&lt;4))),1,0),IF(AND(I84+J84-K84&gt;0,OR(I84+J84-K84&lt;AA84+AB84-AC84,AND(I84+J84-K84=AA84+AB84-AC84,1&lt;4))),1,0),IF(AND(O84+P84-Q84&gt;0,OR(O84+P84-Q84&lt;AA84+AB84-AC84,AND(O84+P84-Q84=AA84+AB84-AC84,2&lt;4))),1,0),IF(AND(U84+V84-W84&gt;0,OR(U84+V84-W84&lt;AA84+AB84-AC84,AND(U84+V84-W84=AA84+AB84-AC84,3&lt;4))),1,0)))</x:f>
        <x:v>99</x:v>
      </x:c>
      <x:c r="AE84" s="6" t="n">
        <x:f>IF('Debt strategy'!$C$16&gt;0,0,MIN(AA84+AB84-AC84,MAX(0,'Debt strategy'!$C$5-SUM(E84,K84,Q84,W84,AC84)-SUM(IF(F84&lt;AD84,C84+D84-E84,0),IF(L84&lt;AD84,I84+J84-K84,0),IF(R84&lt;AD84,O84+P84-Q84,0),IF(X84&lt;AD84,U84+V84-W84,0)))))</x:f>
        <x:v>0</x:v>
      </x:c>
      <x:c r="AF84" s="6" t="n">
        <x:f>ROUND(MAX(0,AA84+AB84-AC84-AE84),2)</x:f>
        <x:v>0</x:v>
      </x:c>
      <x:c r="AG84" s="6" t="n">
        <x:f>SUM(H84,N84,T84,Z84,AF84)</x:f>
        <x:v>0</x:v>
      </x:c>
      <x:c r="AH84" s="6" t="n">
        <x:f>SUM(D84,J84,P84,V84,AB84)+AH83</x:f>
        <x:v>1353.9499999999996</x:v>
      </x:c>
      <x:c r="AI84" s="2"/>
    </x:row>
    <x:row r="85" ht="23" customHeight="1">
      <x:c r="B85" s="2" t="n">
        <x:f>77</x:f>
        <x:v>77</x:v>
      </x:c>
      <x:c r="C85" s="6" t="n">
        <x:f>H84</x:f>
        <x:v>0</x:v>
      </x:c>
      <x:c r="D85" s="6" t="n">
        <x:f>ROUND(C85*'Debt strategy'!$D$9/12,2)</x:f>
        <x:v>0</x:v>
      </x:c>
      <x:c r="E85" s="6" t="n">
        <x:f>MIN(C85+D85,'Debt strategy'!$E$9)</x:f>
        <x:v>0</x:v>
      </x:c>
      <x:c r="F85" s="27" t="n">
        <x:f>IF(C85+D85-E85&lt;=0,99,1+SUM(IF(AND(I85+J85-K85&gt;0,OR(I85+J85-K85&lt;C85+D85-E85,AND(I85+J85-K85=C85+D85-E85,1&lt;0))),1,0),IF(AND(O85+P85-Q85&gt;0,OR(O85+P85-Q85&lt;C85+D85-E85,AND(O85+P85-Q85=C85+D85-E85,2&lt;0))),1,0),IF(AND(U85+V85-W85&gt;0,OR(U85+V85-W85&lt;C85+D85-E85,AND(U85+V85-W85=C85+D85-E85,3&lt;0))),1,0),IF(AND(AA85+AB85-AC85&gt;0,OR(AA85+AB85-AC85&lt;C85+D85-E85,AND(AA85+AB85-AC85=C85+D85-E85,4&lt;0))),1,0)))</x:f>
        <x:v>99</x:v>
      </x:c>
      <x:c r="G85" s="6" t="n">
        <x:f>IF('Debt strategy'!$C$16&gt;0,0,MIN(C85+D85-E85,MAX(0,'Debt strategy'!$C$5-SUM(E85,K85,Q85,W85,AC85)-SUM(IF(L85&lt;F85,I85+J85-K85,0),IF(R85&lt;F85,O85+P85-Q85,0),IF(X85&lt;F85,U85+V85-W85,0),IF(AD85&lt;F85,AA85+AB85-AC85,0)))))</x:f>
        <x:v>0</x:v>
      </x:c>
      <x:c r="H85" s="6" t="n">
        <x:f>ROUND(MAX(0,C85+D85-E85-G85),2)</x:f>
        <x:v>0</x:v>
      </x:c>
      <x:c r="I85" s="6" t="n">
        <x:f>N84</x:f>
        <x:v>0</x:v>
      </x:c>
      <x:c r="J85" s="6" t="n">
        <x:f>ROUND(I85*'Debt strategy'!$D$10/12,2)</x:f>
        <x:v>0</x:v>
      </x:c>
      <x:c r="K85" s="6" t="n">
        <x:f>MIN(I85+J85,'Debt strategy'!$E$10)</x:f>
        <x:v>0</x:v>
      </x:c>
      <x:c r="L85" s="27" t="n">
        <x:f>IF(I85+J85-K85&lt;=0,99,1+SUM(IF(AND(C85+D85-E85&gt;0,OR(C85+D85-E85&lt;I85+J85-K85,AND(C85+D85-E85=I85+J85-K85,0&lt;1))),1,0),IF(AND(O85+P85-Q85&gt;0,OR(O85+P85-Q85&lt;I85+J85-K85,AND(O85+P85-Q85=I85+J85-K85,2&lt;1))),1,0),IF(AND(U85+V85-W85&gt;0,OR(U85+V85-W85&lt;I85+J85-K85,AND(U85+V85-W85=I85+J85-K85,3&lt;1))),1,0),IF(AND(AA85+AB85-AC85&gt;0,OR(AA85+AB85-AC85&lt;I85+J85-K85,AND(AA85+AB85-AC85=I85+J85-K85,4&lt;1))),1,0)))</x:f>
        <x:v>99</x:v>
      </x:c>
      <x:c r="M85" s="6" t="n">
        <x:f>IF('Debt strategy'!$C$16&gt;0,0,MIN(I85+J85-K85,MAX(0,'Debt strategy'!$C$5-SUM(E85,K85,Q85,W85,AC85)-SUM(IF(F85&lt;L85,C85+D85-E85,0),IF(R85&lt;L85,O85+P85-Q85,0),IF(X85&lt;L85,U85+V85-W85,0),IF(AD85&lt;L85,AA85+AB85-AC85,0)))))</x:f>
        <x:v>0</x:v>
      </x:c>
      <x:c r="N85" s="6" t="n">
        <x:f>ROUND(MAX(0,I85+J85-K85-M85),2)</x:f>
        <x:v>0</x:v>
      </x:c>
      <x:c r="O85" s="6" t="n">
        <x:f>T84</x:f>
        <x:v>0</x:v>
      </x:c>
      <x:c r="P85" s="6" t="n">
        <x:f>ROUND(O85*'Debt strategy'!$D$11/12,2)</x:f>
        <x:v>0</x:v>
      </x:c>
      <x:c r="Q85" s="6" t="n">
        <x:f>MIN(O85+P85,'Debt strategy'!$E$11)</x:f>
        <x:v>0</x:v>
      </x:c>
      <x:c r="R85" s="27" t="n">
        <x:f>IF(O85+P85-Q85&lt;=0,99,1+SUM(IF(AND(C85+D85-E85&gt;0,OR(C85+D85-E85&lt;O85+P85-Q85,AND(C85+D85-E85=O85+P85-Q85,0&lt;2))),1,0),IF(AND(I85+J85-K85&gt;0,OR(I85+J85-K85&lt;O85+P85-Q85,AND(I85+J85-K85=O85+P85-Q85,1&lt;2))),1,0),IF(AND(U85+V85-W85&gt;0,OR(U85+V85-W85&lt;O85+P85-Q85,AND(U85+V85-W85=O85+P85-Q85,3&lt;2))),1,0),IF(AND(AA85+AB85-AC85&gt;0,OR(AA85+AB85-AC85&lt;O85+P85-Q85,AND(AA85+AB85-AC85=O85+P85-Q85,4&lt;2))),1,0)))</x:f>
        <x:v>99</x:v>
      </x:c>
      <x:c r="S85" s="6" t="n">
        <x:f>IF('Debt strategy'!$C$16&gt;0,0,MIN(O85+P85-Q85,MAX(0,'Debt strategy'!$C$5-SUM(E85,K85,Q85,W85,AC85)-SUM(IF(F85&lt;R85,C85+D85-E85,0),IF(L85&lt;R85,I85+J85-K85,0),IF(X85&lt;R85,U85+V85-W85,0),IF(AD85&lt;R85,AA85+AB85-AC85,0)))))</x:f>
        <x:v>0</x:v>
      </x:c>
      <x:c r="T85" s="6" t="n">
        <x:f>ROUND(MAX(0,O85+P85-Q85-S85),2)</x:f>
        <x:v>0</x:v>
      </x:c>
      <x:c r="U85" s="6" t="n">
        <x:f>Z84</x:f>
        <x:v>0</x:v>
      </x:c>
      <x:c r="V85" s="6" t="n">
        <x:f>ROUND(U85*'Debt strategy'!$D$12/12,2)</x:f>
        <x:v>0</x:v>
      </x:c>
      <x:c r="W85" s="6" t="n">
        <x:f>MIN(U85+V85,'Debt strategy'!$E$12)</x:f>
        <x:v>0</x:v>
      </x:c>
      <x:c r="X85" s="27" t="n">
        <x:f>IF(U85+V85-W85&lt;=0,99,1+SUM(IF(AND(C85+D85-E85&gt;0,OR(C85+D85-E85&lt;U85+V85-W85,AND(C85+D85-E85=U85+V85-W85,0&lt;3))),1,0),IF(AND(I85+J85-K85&gt;0,OR(I85+J85-K85&lt;U85+V85-W85,AND(I85+J85-K85=U85+V85-W85,1&lt;3))),1,0),IF(AND(O85+P85-Q85&gt;0,OR(O85+P85-Q85&lt;U85+V85-W85,AND(O85+P85-Q85=U85+V85-W85,2&lt;3))),1,0),IF(AND(AA85+AB85-AC85&gt;0,OR(AA85+AB85-AC85&lt;U85+V85-W85,AND(AA85+AB85-AC85=U85+V85-W85,4&lt;3))),1,0)))</x:f>
        <x:v>99</x:v>
      </x:c>
      <x:c r="Y85" s="6" t="n">
        <x:f>IF('Debt strategy'!$C$16&gt;0,0,MIN(U85+V85-W85,MAX(0,'Debt strategy'!$C$5-SUM(E85,K85,Q85,W85,AC85)-SUM(IF(F85&lt;X85,C85+D85-E85,0),IF(L85&lt;X85,I85+J85-K85,0),IF(R85&lt;X85,O85+P85-Q85,0),IF(AD85&lt;X85,AA85+AB85-AC85,0)))))</x:f>
        <x:v>0</x:v>
      </x:c>
      <x:c r="Z85" s="6" t="n">
        <x:f>ROUND(MAX(0,U85+V85-W85-Y85),2)</x:f>
        <x:v>0</x:v>
      </x:c>
      <x:c r="AA85" s="6" t="n">
        <x:f>AF84</x:f>
        <x:v>0</x:v>
      </x:c>
      <x:c r="AB85" s="6" t="n">
        <x:f>ROUND(AA85*'Debt strategy'!$D$13/12,2)</x:f>
        <x:v>0</x:v>
      </x:c>
      <x:c r="AC85" s="6" t="n">
        <x:f>MIN(AA85+AB85,'Debt strategy'!$E$13)</x:f>
        <x:v>0</x:v>
      </x:c>
      <x:c r="AD85" s="27" t="n">
        <x:f>IF(AA85+AB85-AC85&lt;=0,99,1+SUM(IF(AND(C85+D85-E85&gt;0,OR(C85+D85-E85&lt;AA85+AB85-AC85,AND(C85+D85-E85=AA85+AB85-AC85,0&lt;4))),1,0),IF(AND(I85+J85-K85&gt;0,OR(I85+J85-K85&lt;AA85+AB85-AC85,AND(I85+J85-K85=AA85+AB85-AC85,1&lt;4))),1,0),IF(AND(O85+P85-Q85&gt;0,OR(O85+P85-Q85&lt;AA85+AB85-AC85,AND(O85+P85-Q85=AA85+AB85-AC85,2&lt;4))),1,0),IF(AND(U85+V85-W85&gt;0,OR(U85+V85-W85&lt;AA85+AB85-AC85,AND(U85+V85-W85=AA85+AB85-AC85,3&lt;4))),1,0)))</x:f>
        <x:v>99</x:v>
      </x:c>
      <x:c r="AE85" s="6" t="n">
        <x:f>IF('Debt strategy'!$C$16&gt;0,0,MIN(AA85+AB85-AC85,MAX(0,'Debt strategy'!$C$5-SUM(E85,K85,Q85,W85,AC85)-SUM(IF(F85&lt;AD85,C85+D85-E85,0),IF(L85&lt;AD85,I85+J85-K85,0),IF(R85&lt;AD85,O85+P85-Q85,0),IF(X85&lt;AD85,U85+V85-W85,0)))))</x:f>
        <x:v>0</x:v>
      </x:c>
      <x:c r="AF85" s="6" t="n">
        <x:f>ROUND(MAX(0,AA85+AB85-AC85-AE85),2)</x:f>
        <x:v>0</x:v>
      </x:c>
      <x:c r="AG85" s="6" t="n">
        <x:f>SUM(H85,N85,T85,Z85,AF85)</x:f>
        <x:v>0</x:v>
      </x:c>
      <x:c r="AH85" s="6" t="n">
        <x:f>SUM(D85,J85,P85,V85,AB85)+AH84</x:f>
        <x:v>1353.9499999999996</x:v>
      </x:c>
      <x:c r="AI85" s="2"/>
    </x:row>
    <x:row r="86" ht="23" customHeight="1">
      <x:c r="B86" s="2" t="n">
        <x:f>78</x:f>
        <x:v>78</x:v>
      </x:c>
      <x:c r="C86" s="6" t="n">
        <x:f>H85</x:f>
        <x:v>0</x:v>
      </x:c>
      <x:c r="D86" s="6" t="n">
        <x:f>ROUND(C86*'Debt strategy'!$D$9/12,2)</x:f>
        <x:v>0</x:v>
      </x:c>
      <x:c r="E86" s="6" t="n">
        <x:f>MIN(C86+D86,'Debt strategy'!$E$9)</x:f>
        <x:v>0</x:v>
      </x:c>
      <x:c r="F86" s="27" t="n">
        <x:f>IF(C86+D86-E86&lt;=0,99,1+SUM(IF(AND(I86+J86-K86&gt;0,OR(I86+J86-K86&lt;C86+D86-E86,AND(I86+J86-K86=C86+D86-E86,1&lt;0))),1,0),IF(AND(O86+P86-Q86&gt;0,OR(O86+P86-Q86&lt;C86+D86-E86,AND(O86+P86-Q86=C86+D86-E86,2&lt;0))),1,0),IF(AND(U86+V86-W86&gt;0,OR(U86+V86-W86&lt;C86+D86-E86,AND(U86+V86-W86=C86+D86-E86,3&lt;0))),1,0),IF(AND(AA86+AB86-AC86&gt;0,OR(AA86+AB86-AC86&lt;C86+D86-E86,AND(AA86+AB86-AC86=C86+D86-E86,4&lt;0))),1,0)))</x:f>
        <x:v>99</x:v>
      </x:c>
      <x:c r="G86" s="6" t="n">
        <x:f>IF('Debt strategy'!$C$16&gt;0,0,MIN(C86+D86-E86,MAX(0,'Debt strategy'!$C$5-SUM(E86,K86,Q86,W86,AC86)-SUM(IF(L86&lt;F86,I86+J86-K86,0),IF(R86&lt;F86,O86+P86-Q86,0),IF(X86&lt;F86,U86+V86-W86,0),IF(AD86&lt;F86,AA86+AB86-AC86,0)))))</x:f>
        <x:v>0</x:v>
      </x:c>
      <x:c r="H86" s="6" t="n">
        <x:f>ROUND(MAX(0,C86+D86-E86-G86),2)</x:f>
        <x:v>0</x:v>
      </x:c>
      <x:c r="I86" s="6" t="n">
        <x:f>N85</x:f>
        <x:v>0</x:v>
      </x:c>
      <x:c r="J86" s="6" t="n">
        <x:f>ROUND(I86*'Debt strategy'!$D$10/12,2)</x:f>
        <x:v>0</x:v>
      </x:c>
      <x:c r="K86" s="6" t="n">
        <x:f>MIN(I86+J86,'Debt strategy'!$E$10)</x:f>
        <x:v>0</x:v>
      </x:c>
      <x:c r="L86" s="27" t="n">
        <x:f>IF(I86+J86-K86&lt;=0,99,1+SUM(IF(AND(C86+D86-E86&gt;0,OR(C86+D86-E86&lt;I86+J86-K86,AND(C86+D86-E86=I86+J86-K86,0&lt;1))),1,0),IF(AND(O86+P86-Q86&gt;0,OR(O86+P86-Q86&lt;I86+J86-K86,AND(O86+P86-Q86=I86+J86-K86,2&lt;1))),1,0),IF(AND(U86+V86-W86&gt;0,OR(U86+V86-W86&lt;I86+J86-K86,AND(U86+V86-W86=I86+J86-K86,3&lt;1))),1,0),IF(AND(AA86+AB86-AC86&gt;0,OR(AA86+AB86-AC86&lt;I86+J86-K86,AND(AA86+AB86-AC86=I86+J86-K86,4&lt;1))),1,0)))</x:f>
        <x:v>99</x:v>
      </x:c>
      <x:c r="M86" s="6" t="n">
        <x:f>IF('Debt strategy'!$C$16&gt;0,0,MIN(I86+J86-K86,MAX(0,'Debt strategy'!$C$5-SUM(E86,K86,Q86,W86,AC86)-SUM(IF(F86&lt;L86,C86+D86-E86,0),IF(R86&lt;L86,O86+P86-Q86,0),IF(X86&lt;L86,U86+V86-W86,0),IF(AD86&lt;L86,AA86+AB86-AC86,0)))))</x:f>
        <x:v>0</x:v>
      </x:c>
      <x:c r="N86" s="6" t="n">
        <x:f>ROUND(MAX(0,I86+J86-K86-M86),2)</x:f>
        <x:v>0</x:v>
      </x:c>
      <x:c r="O86" s="6" t="n">
        <x:f>T85</x:f>
        <x:v>0</x:v>
      </x:c>
      <x:c r="P86" s="6" t="n">
        <x:f>ROUND(O86*'Debt strategy'!$D$11/12,2)</x:f>
        <x:v>0</x:v>
      </x:c>
      <x:c r="Q86" s="6" t="n">
        <x:f>MIN(O86+P86,'Debt strategy'!$E$11)</x:f>
        <x:v>0</x:v>
      </x:c>
      <x:c r="R86" s="27" t="n">
        <x:f>IF(O86+P86-Q86&lt;=0,99,1+SUM(IF(AND(C86+D86-E86&gt;0,OR(C86+D86-E86&lt;O86+P86-Q86,AND(C86+D86-E86=O86+P86-Q86,0&lt;2))),1,0),IF(AND(I86+J86-K86&gt;0,OR(I86+J86-K86&lt;O86+P86-Q86,AND(I86+J86-K86=O86+P86-Q86,1&lt;2))),1,0),IF(AND(U86+V86-W86&gt;0,OR(U86+V86-W86&lt;O86+P86-Q86,AND(U86+V86-W86=O86+P86-Q86,3&lt;2))),1,0),IF(AND(AA86+AB86-AC86&gt;0,OR(AA86+AB86-AC86&lt;O86+P86-Q86,AND(AA86+AB86-AC86=O86+P86-Q86,4&lt;2))),1,0)))</x:f>
        <x:v>99</x:v>
      </x:c>
      <x:c r="S86" s="6" t="n">
        <x:f>IF('Debt strategy'!$C$16&gt;0,0,MIN(O86+P86-Q86,MAX(0,'Debt strategy'!$C$5-SUM(E86,K86,Q86,W86,AC86)-SUM(IF(F86&lt;R86,C86+D86-E86,0),IF(L86&lt;R86,I86+J86-K86,0),IF(X86&lt;R86,U86+V86-W86,0),IF(AD86&lt;R86,AA86+AB86-AC86,0)))))</x:f>
        <x:v>0</x:v>
      </x:c>
      <x:c r="T86" s="6" t="n">
        <x:f>ROUND(MAX(0,O86+P86-Q86-S86),2)</x:f>
        <x:v>0</x:v>
      </x:c>
      <x:c r="U86" s="6" t="n">
        <x:f>Z85</x:f>
        <x:v>0</x:v>
      </x:c>
      <x:c r="V86" s="6" t="n">
        <x:f>ROUND(U86*'Debt strategy'!$D$12/12,2)</x:f>
        <x:v>0</x:v>
      </x:c>
      <x:c r="W86" s="6" t="n">
        <x:f>MIN(U86+V86,'Debt strategy'!$E$12)</x:f>
        <x:v>0</x:v>
      </x:c>
      <x:c r="X86" s="27" t="n">
        <x:f>IF(U86+V86-W86&lt;=0,99,1+SUM(IF(AND(C86+D86-E86&gt;0,OR(C86+D86-E86&lt;U86+V86-W86,AND(C86+D86-E86=U86+V86-W86,0&lt;3))),1,0),IF(AND(I86+J86-K86&gt;0,OR(I86+J86-K86&lt;U86+V86-W86,AND(I86+J86-K86=U86+V86-W86,1&lt;3))),1,0),IF(AND(O86+P86-Q86&gt;0,OR(O86+P86-Q86&lt;U86+V86-W86,AND(O86+P86-Q86=U86+V86-W86,2&lt;3))),1,0),IF(AND(AA86+AB86-AC86&gt;0,OR(AA86+AB86-AC86&lt;U86+V86-W86,AND(AA86+AB86-AC86=U86+V86-W86,4&lt;3))),1,0)))</x:f>
        <x:v>99</x:v>
      </x:c>
      <x:c r="Y86" s="6" t="n">
        <x:f>IF('Debt strategy'!$C$16&gt;0,0,MIN(U86+V86-W86,MAX(0,'Debt strategy'!$C$5-SUM(E86,K86,Q86,W86,AC86)-SUM(IF(F86&lt;X86,C86+D86-E86,0),IF(L86&lt;X86,I86+J86-K86,0),IF(R86&lt;X86,O86+P86-Q86,0),IF(AD86&lt;X86,AA86+AB86-AC86,0)))))</x:f>
        <x:v>0</x:v>
      </x:c>
      <x:c r="Z86" s="6" t="n">
        <x:f>ROUND(MAX(0,U86+V86-W86-Y86),2)</x:f>
        <x:v>0</x:v>
      </x:c>
      <x:c r="AA86" s="6" t="n">
        <x:f>AF85</x:f>
        <x:v>0</x:v>
      </x:c>
      <x:c r="AB86" s="6" t="n">
        <x:f>ROUND(AA86*'Debt strategy'!$D$13/12,2)</x:f>
        <x:v>0</x:v>
      </x:c>
      <x:c r="AC86" s="6" t="n">
        <x:f>MIN(AA86+AB86,'Debt strategy'!$E$13)</x:f>
        <x:v>0</x:v>
      </x:c>
      <x:c r="AD86" s="27" t="n">
        <x:f>IF(AA86+AB86-AC86&lt;=0,99,1+SUM(IF(AND(C86+D86-E86&gt;0,OR(C86+D86-E86&lt;AA86+AB86-AC86,AND(C86+D86-E86=AA86+AB86-AC86,0&lt;4))),1,0),IF(AND(I86+J86-K86&gt;0,OR(I86+J86-K86&lt;AA86+AB86-AC86,AND(I86+J86-K86=AA86+AB86-AC86,1&lt;4))),1,0),IF(AND(O86+P86-Q86&gt;0,OR(O86+P86-Q86&lt;AA86+AB86-AC86,AND(O86+P86-Q86=AA86+AB86-AC86,2&lt;4))),1,0),IF(AND(U86+V86-W86&gt;0,OR(U86+V86-W86&lt;AA86+AB86-AC86,AND(U86+V86-W86=AA86+AB86-AC86,3&lt;4))),1,0)))</x:f>
        <x:v>99</x:v>
      </x:c>
      <x:c r="AE86" s="6" t="n">
        <x:f>IF('Debt strategy'!$C$16&gt;0,0,MIN(AA86+AB86-AC86,MAX(0,'Debt strategy'!$C$5-SUM(E86,K86,Q86,W86,AC86)-SUM(IF(F86&lt;AD86,C86+D86-E86,0),IF(L86&lt;AD86,I86+J86-K86,0),IF(R86&lt;AD86,O86+P86-Q86,0),IF(X86&lt;AD86,U86+V86-W86,0)))))</x:f>
        <x:v>0</x:v>
      </x:c>
      <x:c r="AF86" s="6" t="n">
        <x:f>ROUND(MAX(0,AA86+AB86-AC86-AE86),2)</x:f>
        <x:v>0</x:v>
      </x:c>
      <x:c r="AG86" s="6" t="n">
        <x:f>SUM(H86,N86,T86,Z86,AF86)</x:f>
        <x:v>0</x:v>
      </x:c>
      <x:c r="AH86" s="6" t="n">
        <x:f>SUM(D86,J86,P86,V86,AB86)+AH85</x:f>
        <x:v>1353.9499999999996</x:v>
      </x:c>
      <x:c r="AI86" s="2"/>
    </x:row>
    <x:row r="87" ht="23" customHeight="1">
      <x:c r="B87" s="2" t="n">
        <x:f>79</x:f>
        <x:v>79</x:v>
      </x:c>
      <x:c r="C87" s="6" t="n">
        <x:f>H86</x:f>
        <x:v>0</x:v>
      </x:c>
      <x:c r="D87" s="6" t="n">
        <x:f>ROUND(C87*'Debt strategy'!$D$9/12,2)</x:f>
        <x:v>0</x:v>
      </x:c>
      <x:c r="E87" s="6" t="n">
        <x:f>MIN(C87+D87,'Debt strategy'!$E$9)</x:f>
        <x:v>0</x:v>
      </x:c>
      <x:c r="F87" s="27" t="n">
        <x:f>IF(C87+D87-E87&lt;=0,99,1+SUM(IF(AND(I87+J87-K87&gt;0,OR(I87+J87-K87&lt;C87+D87-E87,AND(I87+J87-K87=C87+D87-E87,1&lt;0))),1,0),IF(AND(O87+P87-Q87&gt;0,OR(O87+P87-Q87&lt;C87+D87-E87,AND(O87+P87-Q87=C87+D87-E87,2&lt;0))),1,0),IF(AND(U87+V87-W87&gt;0,OR(U87+V87-W87&lt;C87+D87-E87,AND(U87+V87-W87=C87+D87-E87,3&lt;0))),1,0),IF(AND(AA87+AB87-AC87&gt;0,OR(AA87+AB87-AC87&lt;C87+D87-E87,AND(AA87+AB87-AC87=C87+D87-E87,4&lt;0))),1,0)))</x:f>
        <x:v>99</x:v>
      </x:c>
      <x:c r="G87" s="6" t="n">
        <x:f>IF('Debt strategy'!$C$16&gt;0,0,MIN(C87+D87-E87,MAX(0,'Debt strategy'!$C$5-SUM(E87,K87,Q87,W87,AC87)-SUM(IF(L87&lt;F87,I87+J87-K87,0),IF(R87&lt;F87,O87+P87-Q87,0),IF(X87&lt;F87,U87+V87-W87,0),IF(AD87&lt;F87,AA87+AB87-AC87,0)))))</x:f>
        <x:v>0</x:v>
      </x:c>
      <x:c r="H87" s="6" t="n">
        <x:f>ROUND(MAX(0,C87+D87-E87-G87),2)</x:f>
        <x:v>0</x:v>
      </x:c>
      <x:c r="I87" s="6" t="n">
        <x:f>N86</x:f>
        <x:v>0</x:v>
      </x:c>
      <x:c r="J87" s="6" t="n">
        <x:f>ROUND(I87*'Debt strategy'!$D$10/12,2)</x:f>
        <x:v>0</x:v>
      </x:c>
      <x:c r="K87" s="6" t="n">
        <x:f>MIN(I87+J87,'Debt strategy'!$E$10)</x:f>
        <x:v>0</x:v>
      </x:c>
      <x:c r="L87" s="27" t="n">
        <x:f>IF(I87+J87-K87&lt;=0,99,1+SUM(IF(AND(C87+D87-E87&gt;0,OR(C87+D87-E87&lt;I87+J87-K87,AND(C87+D87-E87=I87+J87-K87,0&lt;1))),1,0),IF(AND(O87+P87-Q87&gt;0,OR(O87+P87-Q87&lt;I87+J87-K87,AND(O87+P87-Q87=I87+J87-K87,2&lt;1))),1,0),IF(AND(U87+V87-W87&gt;0,OR(U87+V87-W87&lt;I87+J87-K87,AND(U87+V87-W87=I87+J87-K87,3&lt;1))),1,0),IF(AND(AA87+AB87-AC87&gt;0,OR(AA87+AB87-AC87&lt;I87+J87-K87,AND(AA87+AB87-AC87=I87+J87-K87,4&lt;1))),1,0)))</x:f>
        <x:v>99</x:v>
      </x:c>
      <x:c r="M87" s="6" t="n">
        <x:f>IF('Debt strategy'!$C$16&gt;0,0,MIN(I87+J87-K87,MAX(0,'Debt strategy'!$C$5-SUM(E87,K87,Q87,W87,AC87)-SUM(IF(F87&lt;L87,C87+D87-E87,0),IF(R87&lt;L87,O87+P87-Q87,0),IF(X87&lt;L87,U87+V87-W87,0),IF(AD87&lt;L87,AA87+AB87-AC87,0)))))</x:f>
        <x:v>0</x:v>
      </x:c>
      <x:c r="N87" s="6" t="n">
        <x:f>ROUND(MAX(0,I87+J87-K87-M87),2)</x:f>
        <x:v>0</x:v>
      </x:c>
      <x:c r="O87" s="6" t="n">
        <x:f>T86</x:f>
        <x:v>0</x:v>
      </x:c>
      <x:c r="P87" s="6" t="n">
        <x:f>ROUND(O87*'Debt strategy'!$D$11/12,2)</x:f>
        <x:v>0</x:v>
      </x:c>
      <x:c r="Q87" s="6" t="n">
        <x:f>MIN(O87+P87,'Debt strategy'!$E$11)</x:f>
        <x:v>0</x:v>
      </x:c>
      <x:c r="R87" s="27" t="n">
        <x:f>IF(O87+P87-Q87&lt;=0,99,1+SUM(IF(AND(C87+D87-E87&gt;0,OR(C87+D87-E87&lt;O87+P87-Q87,AND(C87+D87-E87=O87+P87-Q87,0&lt;2))),1,0),IF(AND(I87+J87-K87&gt;0,OR(I87+J87-K87&lt;O87+P87-Q87,AND(I87+J87-K87=O87+P87-Q87,1&lt;2))),1,0),IF(AND(U87+V87-W87&gt;0,OR(U87+V87-W87&lt;O87+P87-Q87,AND(U87+V87-W87=O87+P87-Q87,3&lt;2))),1,0),IF(AND(AA87+AB87-AC87&gt;0,OR(AA87+AB87-AC87&lt;O87+P87-Q87,AND(AA87+AB87-AC87=O87+P87-Q87,4&lt;2))),1,0)))</x:f>
        <x:v>99</x:v>
      </x:c>
      <x:c r="S87" s="6" t="n">
        <x:f>IF('Debt strategy'!$C$16&gt;0,0,MIN(O87+P87-Q87,MAX(0,'Debt strategy'!$C$5-SUM(E87,K87,Q87,W87,AC87)-SUM(IF(F87&lt;R87,C87+D87-E87,0),IF(L87&lt;R87,I87+J87-K87,0),IF(X87&lt;R87,U87+V87-W87,0),IF(AD87&lt;R87,AA87+AB87-AC87,0)))))</x:f>
        <x:v>0</x:v>
      </x:c>
      <x:c r="T87" s="6" t="n">
        <x:f>ROUND(MAX(0,O87+P87-Q87-S87),2)</x:f>
        <x:v>0</x:v>
      </x:c>
      <x:c r="U87" s="6" t="n">
        <x:f>Z86</x:f>
        <x:v>0</x:v>
      </x:c>
      <x:c r="V87" s="6" t="n">
        <x:f>ROUND(U87*'Debt strategy'!$D$12/12,2)</x:f>
        <x:v>0</x:v>
      </x:c>
      <x:c r="W87" s="6" t="n">
        <x:f>MIN(U87+V87,'Debt strategy'!$E$12)</x:f>
        <x:v>0</x:v>
      </x:c>
      <x:c r="X87" s="27" t="n">
        <x:f>IF(U87+V87-W87&lt;=0,99,1+SUM(IF(AND(C87+D87-E87&gt;0,OR(C87+D87-E87&lt;U87+V87-W87,AND(C87+D87-E87=U87+V87-W87,0&lt;3))),1,0),IF(AND(I87+J87-K87&gt;0,OR(I87+J87-K87&lt;U87+V87-W87,AND(I87+J87-K87=U87+V87-W87,1&lt;3))),1,0),IF(AND(O87+P87-Q87&gt;0,OR(O87+P87-Q87&lt;U87+V87-W87,AND(O87+P87-Q87=U87+V87-W87,2&lt;3))),1,0),IF(AND(AA87+AB87-AC87&gt;0,OR(AA87+AB87-AC87&lt;U87+V87-W87,AND(AA87+AB87-AC87=U87+V87-W87,4&lt;3))),1,0)))</x:f>
        <x:v>99</x:v>
      </x:c>
      <x:c r="Y87" s="6" t="n">
        <x:f>IF('Debt strategy'!$C$16&gt;0,0,MIN(U87+V87-W87,MAX(0,'Debt strategy'!$C$5-SUM(E87,K87,Q87,W87,AC87)-SUM(IF(F87&lt;X87,C87+D87-E87,0),IF(L87&lt;X87,I87+J87-K87,0),IF(R87&lt;X87,O87+P87-Q87,0),IF(AD87&lt;X87,AA87+AB87-AC87,0)))))</x:f>
        <x:v>0</x:v>
      </x:c>
      <x:c r="Z87" s="6" t="n">
        <x:f>ROUND(MAX(0,U87+V87-W87-Y87),2)</x:f>
        <x:v>0</x:v>
      </x:c>
      <x:c r="AA87" s="6" t="n">
        <x:f>AF86</x:f>
        <x:v>0</x:v>
      </x:c>
      <x:c r="AB87" s="6" t="n">
        <x:f>ROUND(AA87*'Debt strategy'!$D$13/12,2)</x:f>
        <x:v>0</x:v>
      </x:c>
      <x:c r="AC87" s="6" t="n">
        <x:f>MIN(AA87+AB87,'Debt strategy'!$E$13)</x:f>
        <x:v>0</x:v>
      </x:c>
      <x:c r="AD87" s="27" t="n">
        <x:f>IF(AA87+AB87-AC87&lt;=0,99,1+SUM(IF(AND(C87+D87-E87&gt;0,OR(C87+D87-E87&lt;AA87+AB87-AC87,AND(C87+D87-E87=AA87+AB87-AC87,0&lt;4))),1,0),IF(AND(I87+J87-K87&gt;0,OR(I87+J87-K87&lt;AA87+AB87-AC87,AND(I87+J87-K87=AA87+AB87-AC87,1&lt;4))),1,0),IF(AND(O87+P87-Q87&gt;0,OR(O87+P87-Q87&lt;AA87+AB87-AC87,AND(O87+P87-Q87=AA87+AB87-AC87,2&lt;4))),1,0),IF(AND(U87+V87-W87&gt;0,OR(U87+V87-W87&lt;AA87+AB87-AC87,AND(U87+V87-W87=AA87+AB87-AC87,3&lt;4))),1,0)))</x:f>
        <x:v>99</x:v>
      </x:c>
      <x:c r="AE87" s="6" t="n">
        <x:f>IF('Debt strategy'!$C$16&gt;0,0,MIN(AA87+AB87-AC87,MAX(0,'Debt strategy'!$C$5-SUM(E87,K87,Q87,W87,AC87)-SUM(IF(F87&lt;AD87,C87+D87-E87,0),IF(L87&lt;AD87,I87+J87-K87,0),IF(R87&lt;AD87,O87+P87-Q87,0),IF(X87&lt;AD87,U87+V87-W87,0)))))</x:f>
        <x:v>0</x:v>
      </x:c>
      <x:c r="AF87" s="6" t="n">
        <x:f>ROUND(MAX(0,AA87+AB87-AC87-AE87),2)</x:f>
        <x:v>0</x:v>
      </x:c>
      <x:c r="AG87" s="6" t="n">
        <x:f>SUM(H87,N87,T87,Z87,AF87)</x:f>
        <x:v>0</x:v>
      </x:c>
      <x:c r="AH87" s="6" t="n">
        <x:f>SUM(D87,J87,P87,V87,AB87)+AH86</x:f>
        <x:v>1353.9499999999996</x:v>
      </x:c>
      <x:c r="AI87" s="2"/>
    </x:row>
    <x:row r="88" ht="23" customHeight="1">
      <x:c r="B88" s="2" t="n">
        <x:f>80</x:f>
        <x:v>80</x:v>
      </x:c>
      <x:c r="C88" s="6" t="n">
        <x:f>H87</x:f>
        <x:v>0</x:v>
      </x:c>
      <x:c r="D88" s="6" t="n">
        <x:f>ROUND(C88*'Debt strategy'!$D$9/12,2)</x:f>
        <x:v>0</x:v>
      </x:c>
      <x:c r="E88" s="6" t="n">
        <x:f>MIN(C88+D88,'Debt strategy'!$E$9)</x:f>
        <x:v>0</x:v>
      </x:c>
      <x:c r="F88" s="27" t="n">
        <x:f>IF(C88+D88-E88&lt;=0,99,1+SUM(IF(AND(I88+J88-K88&gt;0,OR(I88+J88-K88&lt;C88+D88-E88,AND(I88+J88-K88=C88+D88-E88,1&lt;0))),1,0),IF(AND(O88+P88-Q88&gt;0,OR(O88+P88-Q88&lt;C88+D88-E88,AND(O88+P88-Q88=C88+D88-E88,2&lt;0))),1,0),IF(AND(U88+V88-W88&gt;0,OR(U88+V88-W88&lt;C88+D88-E88,AND(U88+V88-W88=C88+D88-E88,3&lt;0))),1,0),IF(AND(AA88+AB88-AC88&gt;0,OR(AA88+AB88-AC88&lt;C88+D88-E88,AND(AA88+AB88-AC88=C88+D88-E88,4&lt;0))),1,0)))</x:f>
        <x:v>99</x:v>
      </x:c>
      <x:c r="G88" s="6" t="n">
        <x:f>IF('Debt strategy'!$C$16&gt;0,0,MIN(C88+D88-E88,MAX(0,'Debt strategy'!$C$5-SUM(E88,K88,Q88,W88,AC88)-SUM(IF(L88&lt;F88,I88+J88-K88,0),IF(R88&lt;F88,O88+P88-Q88,0),IF(X88&lt;F88,U88+V88-W88,0),IF(AD88&lt;F88,AA88+AB88-AC88,0)))))</x:f>
        <x:v>0</x:v>
      </x:c>
      <x:c r="H88" s="6" t="n">
        <x:f>ROUND(MAX(0,C88+D88-E88-G88),2)</x:f>
        <x:v>0</x:v>
      </x:c>
      <x:c r="I88" s="6" t="n">
        <x:f>N87</x:f>
        <x:v>0</x:v>
      </x:c>
      <x:c r="J88" s="6" t="n">
        <x:f>ROUND(I88*'Debt strategy'!$D$10/12,2)</x:f>
        <x:v>0</x:v>
      </x:c>
      <x:c r="K88" s="6" t="n">
        <x:f>MIN(I88+J88,'Debt strategy'!$E$10)</x:f>
        <x:v>0</x:v>
      </x:c>
      <x:c r="L88" s="27" t="n">
        <x:f>IF(I88+J88-K88&lt;=0,99,1+SUM(IF(AND(C88+D88-E88&gt;0,OR(C88+D88-E88&lt;I88+J88-K88,AND(C88+D88-E88=I88+J88-K88,0&lt;1))),1,0),IF(AND(O88+P88-Q88&gt;0,OR(O88+P88-Q88&lt;I88+J88-K88,AND(O88+P88-Q88=I88+J88-K88,2&lt;1))),1,0),IF(AND(U88+V88-W88&gt;0,OR(U88+V88-W88&lt;I88+J88-K88,AND(U88+V88-W88=I88+J88-K88,3&lt;1))),1,0),IF(AND(AA88+AB88-AC88&gt;0,OR(AA88+AB88-AC88&lt;I88+J88-K88,AND(AA88+AB88-AC88=I88+J88-K88,4&lt;1))),1,0)))</x:f>
        <x:v>99</x:v>
      </x:c>
      <x:c r="M88" s="6" t="n">
        <x:f>IF('Debt strategy'!$C$16&gt;0,0,MIN(I88+J88-K88,MAX(0,'Debt strategy'!$C$5-SUM(E88,K88,Q88,W88,AC88)-SUM(IF(F88&lt;L88,C88+D88-E88,0),IF(R88&lt;L88,O88+P88-Q88,0),IF(X88&lt;L88,U88+V88-W88,0),IF(AD88&lt;L88,AA88+AB88-AC88,0)))))</x:f>
        <x:v>0</x:v>
      </x:c>
      <x:c r="N88" s="6" t="n">
        <x:f>ROUND(MAX(0,I88+J88-K88-M88),2)</x:f>
        <x:v>0</x:v>
      </x:c>
      <x:c r="O88" s="6" t="n">
        <x:f>T87</x:f>
        <x:v>0</x:v>
      </x:c>
      <x:c r="P88" s="6" t="n">
        <x:f>ROUND(O88*'Debt strategy'!$D$11/12,2)</x:f>
        <x:v>0</x:v>
      </x:c>
      <x:c r="Q88" s="6" t="n">
        <x:f>MIN(O88+P88,'Debt strategy'!$E$11)</x:f>
        <x:v>0</x:v>
      </x:c>
      <x:c r="R88" s="27" t="n">
        <x:f>IF(O88+P88-Q88&lt;=0,99,1+SUM(IF(AND(C88+D88-E88&gt;0,OR(C88+D88-E88&lt;O88+P88-Q88,AND(C88+D88-E88=O88+P88-Q88,0&lt;2))),1,0),IF(AND(I88+J88-K88&gt;0,OR(I88+J88-K88&lt;O88+P88-Q88,AND(I88+J88-K88=O88+P88-Q88,1&lt;2))),1,0),IF(AND(U88+V88-W88&gt;0,OR(U88+V88-W88&lt;O88+P88-Q88,AND(U88+V88-W88=O88+P88-Q88,3&lt;2))),1,0),IF(AND(AA88+AB88-AC88&gt;0,OR(AA88+AB88-AC88&lt;O88+P88-Q88,AND(AA88+AB88-AC88=O88+P88-Q88,4&lt;2))),1,0)))</x:f>
        <x:v>99</x:v>
      </x:c>
      <x:c r="S88" s="6" t="n">
        <x:f>IF('Debt strategy'!$C$16&gt;0,0,MIN(O88+P88-Q88,MAX(0,'Debt strategy'!$C$5-SUM(E88,K88,Q88,W88,AC88)-SUM(IF(F88&lt;R88,C88+D88-E88,0),IF(L88&lt;R88,I88+J88-K88,0),IF(X88&lt;R88,U88+V88-W88,0),IF(AD88&lt;R88,AA88+AB88-AC88,0)))))</x:f>
        <x:v>0</x:v>
      </x:c>
      <x:c r="T88" s="6" t="n">
        <x:f>ROUND(MAX(0,O88+P88-Q88-S88),2)</x:f>
        <x:v>0</x:v>
      </x:c>
      <x:c r="U88" s="6" t="n">
        <x:f>Z87</x:f>
        <x:v>0</x:v>
      </x:c>
      <x:c r="V88" s="6" t="n">
        <x:f>ROUND(U88*'Debt strategy'!$D$12/12,2)</x:f>
        <x:v>0</x:v>
      </x:c>
      <x:c r="W88" s="6" t="n">
        <x:f>MIN(U88+V88,'Debt strategy'!$E$12)</x:f>
        <x:v>0</x:v>
      </x:c>
      <x:c r="X88" s="27" t="n">
        <x:f>IF(U88+V88-W88&lt;=0,99,1+SUM(IF(AND(C88+D88-E88&gt;0,OR(C88+D88-E88&lt;U88+V88-W88,AND(C88+D88-E88=U88+V88-W88,0&lt;3))),1,0),IF(AND(I88+J88-K88&gt;0,OR(I88+J88-K88&lt;U88+V88-W88,AND(I88+J88-K88=U88+V88-W88,1&lt;3))),1,0),IF(AND(O88+P88-Q88&gt;0,OR(O88+P88-Q88&lt;U88+V88-W88,AND(O88+P88-Q88=U88+V88-W88,2&lt;3))),1,0),IF(AND(AA88+AB88-AC88&gt;0,OR(AA88+AB88-AC88&lt;U88+V88-W88,AND(AA88+AB88-AC88=U88+V88-W88,4&lt;3))),1,0)))</x:f>
        <x:v>99</x:v>
      </x:c>
      <x:c r="Y88" s="6" t="n">
        <x:f>IF('Debt strategy'!$C$16&gt;0,0,MIN(U88+V88-W88,MAX(0,'Debt strategy'!$C$5-SUM(E88,K88,Q88,W88,AC88)-SUM(IF(F88&lt;X88,C88+D88-E88,0),IF(L88&lt;X88,I88+J88-K88,0),IF(R88&lt;X88,O88+P88-Q88,0),IF(AD88&lt;X88,AA88+AB88-AC88,0)))))</x:f>
        <x:v>0</x:v>
      </x:c>
      <x:c r="Z88" s="6" t="n">
        <x:f>ROUND(MAX(0,U88+V88-W88-Y88),2)</x:f>
        <x:v>0</x:v>
      </x:c>
      <x:c r="AA88" s="6" t="n">
        <x:f>AF87</x:f>
        <x:v>0</x:v>
      </x:c>
      <x:c r="AB88" s="6" t="n">
        <x:f>ROUND(AA88*'Debt strategy'!$D$13/12,2)</x:f>
        <x:v>0</x:v>
      </x:c>
      <x:c r="AC88" s="6" t="n">
        <x:f>MIN(AA88+AB88,'Debt strategy'!$E$13)</x:f>
        <x:v>0</x:v>
      </x:c>
      <x:c r="AD88" s="27" t="n">
        <x:f>IF(AA88+AB88-AC88&lt;=0,99,1+SUM(IF(AND(C88+D88-E88&gt;0,OR(C88+D88-E88&lt;AA88+AB88-AC88,AND(C88+D88-E88=AA88+AB88-AC88,0&lt;4))),1,0),IF(AND(I88+J88-K88&gt;0,OR(I88+J88-K88&lt;AA88+AB88-AC88,AND(I88+J88-K88=AA88+AB88-AC88,1&lt;4))),1,0),IF(AND(O88+P88-Q88&gt;0,OR(O88+P88-Q88&lt;AA88+AB88-AC88,AND(O88+P88-Q88=AA88+AB88-AC88,2&lt;4))),1,0),IF(AND(U88+V88-W88&gt;0,OR(U88+V88-W88&lt;AA88+AB88-AC88,AND(U88+V88-W88=AA88+AB88-AC88,3&lt;4))),1,0)))</x:f>
        <x:v>99</x:v>
      </x:c>
      <x:c r="AE88" s="6" t="n">
        <x:f>IF('Debt strategy'!$C$16&gt;0,0,MIN(AA88+AB88-AC88,MAX(0,'Debt strategy'!$C$5-SUM(E88,K88,Q88,W88,AC88)-SUM(IF(F88&lt;AD88,C88+D88-E88,0),IF(L88&lt;AD88,I88+J88-K88,0),IF(R88&lt;AD88,O88+P88-Q88,0),IF(X88&lt;AD88,U88+V88-W88,0)))))</x:f>
        <x:v>0</x:v>
      </x:c>
      <x:c r="AF88" s="6" t="n">
        <x:f>ROUND(MAX(0,AA88+AB88-AC88-AE88),2)</x:f>
        <x:v>0</x:v>
      </x:c>
      <x:c r="AG88" s="6" t="n">
        <x:f>SUM(H88,N88,T88,Z88,AF88)</x:f>
        <x:v>0</x:v>
      </x:c>
      <x:c r="AH88" s="6" t="n">
        <x:f>SUM(D88,J88,P88,V88,AB88)+AH87</x:f>
        <x:v>1353.9499999999996</x:v>
      </x:c>
      <x:c r="AI88" s="2"/>
    </x:row>
    <x:row r="89" ht="23" customHeight="1">
      <x:c r="B89" s="2" t="n">
        <x:f>81</x:f>
        <x:v>81</x:v>
      </x:c>
      <x:c r="C89" s="6" t="n">
        <x:f>H88</x:f>
        <x:v>0</x:v>
      </x:c>
      <x:c r="D89" s="6" t="n">
        <x:f>ROUND(C89*'Debt strategy'!$D$9/12,2)</x:f>
        <x:v>0</x:v>
      </x:c>
      <x:c r="E89" s="6" t="n">
        <x:f>MIN(C89+D89,'Debt strategy'!$E$9)</x:f>
        <x:v>0</x:v>
      </x:c>
      <x:c r="F89" s="27" t="n">
        <x:f>IF(C89+D89-E89&lt;=0,99,1+SUM(IF(AND(I89+J89-K89&gt;0,OR(I89+J89-K89&lt;C89+D89-E89,AND(I89+J89-K89=C89+D89-E89,1&lt;0))),1,0),IF(AND(O89+P89-Q89&gt;0,OR(O89+P89-Q89&lt;C89+D89-E89,AND(O89+P89-Q89=C89+D89-E89,2&lt;0))),1,0),IF(AND(U89+V89-W89&gt;0,OR(U89+V89-W89&lt;C89+D89-E89,AND(U89+V89-W89=C89+D89-E89,3&lt;0))),1,0),IF(AND(AA89+AB89-AC89&gt;0,OR(AA89+AB89-AC89&lt;C89+D89-E89,AND(AA89+AB89-AC89=C89+D89-E89,4&lt;0))),1,0)))</x:f>
        <x:v>99</x:v>
      </x:c>
      <x:c r="G89" s="6" t="n">
        <x:f>IF('Debt strategy'!$C$16&gt;0,0,MIN(C89+D89-E89,MAX(0,'Debt strategy'!$C$5-SUM(E89,K89,Q89,W89,AC89)-SUM(IF(L89&lt;F89,I89+J89-K89,0),IF(R89&lt;F89,O89+P89-Q89,0),IF(X89&lt;F89,U89+V89-W89,0),IF(AD89&lt;F89,AA89+AB89-AC89,0)))))</x:f>
        <x:v>0</x:v>
      </x:c>
      <x:c r="H89" s="6" t="n">
        <x:f>ROUND(MAX(0,C89+D89-E89-G89),2)</x:f>
        <x:v>0</x:v>
      </x:c>
      <x:c r="I89" s="6" t="n">
        <x:f>N88</x:f>
        <x:v>0</x:v>
      </x:c>
      <x:c r="J89" s="6" t="n">
        <x:f>ROUND(I89*'Debt strategy'!$D$10/12,2)</x:f>
        <x:v>0</x:v>
      </x:c>
      <x:c r="K89" s="6" t="n">
        <x:f>MIN(I89+J89,'Debt strategy'!$E$10)</x:f>
        <x:v>0</x:v>
      </x:c>
      <x:c r="L89" s="27" t="n">
        <x:f>IF(I89+J89-K89&lt;=0,99,1+SUM(IF(AND(C89+D89-E89&gt;0,OR(C89+D89-E89&lt;I89+J89-K89,AND(C89+D89-E89=I89+J89-K89,0&lt;1))),1,0),IF(AND(O89+P89-Q89&gt;0,OR(O89+P89-Q89&lt;I89+J89-K89,AND(O89+P89-Q89=I89+J89-K89,2&lt;1))),1,0),IF(AND(U89+V89-W89&gt;0,OR(U89+V89-W89&lt;I89+J89-K89,AND(U89+V89-W89=I89+J89-K89,3&lt;1))),1,0),IF(AND(AA89+AB89-AC89&gt;0,OR(AA89+AB89-AC89&lt;I89+J89-K89,AND(AA89+AB89-AC89=I89+J89-K89,4&lt;1))),1,0)))</x:f>
        <x:v>99</x:v>
      </x:c>
      <x:c r="M89" s="6" t="n">
        <x:f>IF('Debt strategy'!$C$16&gt;0,0,MIN(I89+J89-K89,MAX(0,'Debt strategy'!$C$5-SUM(E89,K89,Q89,W89,AC89)-SUM(IF(F89&lt;L89,C89+D89-E89,0),IF(R89&lt;L89,O89+P89-Q89,0),IF(X89&lt;L89,U89+V89-W89,0),IF(AD89&lt;L89,AA89+AB89-AC89,0)))))</x:f>
        <x:v>0</x:v>
      </x:c>
      <x:c r="N89" s="6" t="n">
        <x:f>ROUND(MAX(0,I89+J89-K89-M89),2)</x:f>
        <x:v>0</x:v>
      </x:c>
      <x:c r="O89" s="6" t="n">
        <x:f>T88</x:f>
        <x:v>0</x:v>
      </x:c>
      <x:c r="P89" s="6" t="n">
        <x:f>ROUND(O89*'Debt strategy'!$D$11/12,2)</x:f>
        <x:v>0</x:v>
      </x:c>
      <x:c r="Q89" s="6" t="n">
        <x:f>MIN(O89+P89,'Debt strategy'!$E$11)</x:f>
        <x:v>0</x:v>
      </x:c>
      <x:c r="R89" s="27" t="n">
        <x:f>IF(O89+P89-Q89&lt;=0,99,1+SUM(IF(AND(C89+D89-E89&gt;0,OR(C89+D89-E89&lt;O89+P89-Q89,AND(C89+D89-E89=O89+P89-Q89,0&lt;2))),1,0),IF(AND(I89+J89-K89&gt;0,OR(I89+J89-K89&lt;O89+P89-Q89,AND(I89+J89-K89=O89+P89-Q89,1&lt;2))),1,0),IF(AND(U89+V89-W89&gt;0,OR(U89+V89-W89&lt;O89+P89-Q89,AND(U89+V89-W89=O89+P89-Q89,3&lt;2))),1,0),IF(AND(AA89+AB89-AC89&gt;0,OR(AA89+AB89-AC89&lt;O89+P89-Q89,AND(AA89+AB89-AC89=O89+P89-Q89,4&lt;2))),1,0)))</x:f>
        <x:v>99</x:v>
      </x:c>
      <x:c r="S89" s="6" t="n">
        <x:f>IF('Debt strategy'!$C$16&gt;0,0,MIN(O89+P89-Q89,MAX(0,'Debt strategy'!$C$5-SUM(E89,K89,Q89,W89,AC89)-SUM(IF(F89&lt;R89,C89+D89-E89,0),IF(L89&lt;R89,I89+J89-K89,0),IF(X89&lt;R89,U89+V89-W89,0),IF(AD89&lt;R89,AA89+AB89-AC89,0)))))</x:f>
        <x:v>0</x:v>
      </x:c>
      <x:c r="T89" s="6" t="n">
        <x:f>ROUND(MAX(0,O89+P89-Q89-S89),2)</x:f>
        <x:v>0</x:v>
      </x:c>
      <x:c r="U89" s="6" t="n">
        <x:f>Z88</x:f>
        <x:v>0</x:v>
      </x:c>
      <x:c r="V89" s="6" t="n">
        <x:f>ROUND(U89*'Debt strategy'!$D$12/12,2)</x:f>
        <x:v>0</x:v>
      </x:c>
      <x:c r="W89" s="6" t="n">
        <x:f>MIN(U89+V89,'Debt strategy'!$E$12)</x:f>
        <x:v>0</x:v>
      </x:c>
      <x:c r="X89" s="27" t="n">
        <x:f>IF(U89+V89-W89&lt;=0,99,1+SUM(IF(AND(C89+D89-E89&gt;0,OR(C89+D89-E89&lt;U89+V89-W89,AND(C89+D89-E89=U89+V89-W89,0&lt;3))),1,0),IF(AND(I89+J89-K89&gt;0,OR(I89+J89-K89&lt;U89+V89-W89,AND(I89+J89-K89=U89+V89-W89,1&lt;3))),1,0),IF(AND(O89+P89-Q89&gt;0,OR(O89+P89-Q89&lt;U89+V89-W89,AND(O89+P89-Q89=U89+V89-W89,2&lt;3))),1,0),IF(AND(AA89+AB89-AC89&gt;0,OR(AA89+AB89-AC89&lt;U89+V89-W89,AND(AA89+AB89-AC89=U89+V89-W89,4&lt;3))),1,0)))</x:f>
        <x:v>99</x:v>
      </x:c>
      <x:c r="Y89" s="6" t="n">
        <x:f>IF('Debt strategy'!$C$16&gt;0,0,MIN(U89+V89-W89,MAX(0,'Debt strategy'!$C$5-SUM(E89,K89,Q89,W89,AC89)-SUM(IF(F89&lt;X89,C89+D89-E89,0),IF(L89&lt;X89,I89+J89-K89,0),IF(R89&lt;X89,O89+P89-Q89,0),IF(AD89&lt;X89,AA89+AB89-AC89,0)))))</x:f>
        <x:v>0</x:v>
      </x:c>
      <x:c r="Z89" s="6" t="n">
        <x:f>ROUND(MAX(0,U89+V89-W89-Y89),2)</x:f>
        <x:v>0</x:v>
      </x:c>
      <x:c r="AA89" s="6" t="n">
        <x:f>AF88</x:f>
        <x:v>0</x:v>
      </x:c>
      <x:c r="AB89" s="6" t="n">
        <x:f>ROUND(AA89*'Debt strategy'!$D$13/12,2)</x:f>
        <x:v>0</x:v>
      </x:c>
      <x:c r="AC89" s="6" t="n">
        <x:f>MIN(AA89+AB89,'Debt strategy'!$E$13)</x:f>
        <x:v>0</x:v>
      </x:c>
      <x:c r="AD89" s="27" t="n">
        <x:f>IF(AA89+AB89-AC89&lt;=0,99,1+SUM(IF(AND(C89+D89-E89&gt;0,OR(C89+D89-E89&lt;AA89+AB89-AC89,AND(C89+D89-E89=AA89+AB89-AC89,0&lt;4))),1,0),IF(AND(I89+J89-K89&gt;0,OR(I89+J89-K89&lt;AA89+AB89-AC89,AND(I89+J89-K89=AA89+AB89-AC89,1&lt;4))),1,0),IF(AND(O89+P89-Q89&gt;0,OR(O89+P89-Q89&lt;AA89+AB89-AC89,AND(O89+P89-Q89=AA89+AB89-AC89,2&lt;4))),1,0),IF(AND(U89+V89-W89&gt;0,OR(U89+V89-W89&lt;AA89+AB89-AC89,AND(U89+V89-W89=AA89+AB89-AC89,3&lt;4))),1,0)))</x:f>
        <x:v>99</x:v>
      </x:c>
      <x:c r="AE89" s="6" t="n">
        <x:f>IF('Debt strategy'!$C$16&gt;0,0,MIN(AA89+AB89-AC89,MAX(0,'Debt strategy'!$C$5-SUM(E89,K89,Q89,W89,AC89)-SUM(IF(F89&lt;AD89,C89+D89-E89,0),IF(L89&lt;AD89,I89+J89-K89,0),IF(R89&lt;AD89,O89+P89-Q89,0),IF(X89&lt;AD89,U89+V89-W89,0)))))</x:f>
        <x:v>0</x:v>
      </x:c>
      <x:c r="AF89" s="6" t="n">
        <x:f>ROUND(MAX(0,AA89+AB89-AC89-AE89),2)</x:f>
        <x:v>0</x:v>
      </x:c>
      <x:c r="AG89" s="6" t="n">
        <x:f>SUM(H89,N89,T89,Z89,AF89)</x:f>
        <x:v>0</x:v>
      </x:c>
      <x:c r="AH89" s="6" t="n">
        <x:f>SUM(D89,J89,P89,V89,AB89)+AH88</x:f>
        <x:v>1353.9499999999996</x:v>
      </x:c>
      <x:c r="AI89" s="2"/>
    </x:row>
    <x:row r="90" ht="23" customHeight="1">
      <x:c r="B90" s="2" t="n">
        <x:f>82</x:f>
        <x:v>82</x:v>
      </x:c>
      <x:c r="C90" s="6" t="n">
        <x:f>H89</x:f>
        <x:v>0</x:v>
      </x:c>
      <x:c r="D90" s="6" t="n">
        <x:f>ROUND(C90*'Debt strategy'!$D$9/12,2)</x:f>
        <x:v>0</x:v>
      </x:c>
      <x:c r="E90" s="6" t="n">
        <x:f>MIN(C90+D90,'Debt strategy'!$E$9)</x:f>
        <x:v>0</x:v>
      </x:c>
      <x:c r="F90" s="27" t="n">
        <x:f>IF(C90+D90-E90&lt;=0,99,1+SUM(IF(AND(I90+J90-K90&gt;0,OR(I90+J90-K90&lt;C90+D90-E90,AND(I90+J90-K90=C90+D90-E90,1&lt;0))),1,0),IF(AND(O90+P90-Q90&gt;0,OR(O90+P90-Q90&lt;C90+D90-E90,AND(O90+P90-Q90=C90+D90-E90,2&lt;0))),1,0),IF(AND(U90+V90-W90&gt;0,OR(U90+V90-W90&lt;C90+D90-E90,AND(U90+V90-W90=C90+D90-E90,3&lt;0))),1,0),IF(AND(AA90+AB90-AC90&gt;0,OR(AA90+AB90-AC90&lt;C90+D90-E90,AND(AA90+AB90-AC90=C90+D90-E90,4&lt;0))),1,0)))</x:f>
        <x:v>99</x:v>
      </x:c>
      <x:c r="G90" s="6" t="n">
        <x:f>IF('Debt strategy'!$C$16&gt;0,0,MIN(C90+D90-E90,MAX(0,'Debt strategy'!$C$5-SUM(E90,K90,Q90,W90,AC90)-SUM(IF(L90&lt;F90,I90+J90-K90,0),IF(R90&lt;F90,O90+P90-Q90,0),IF(X90&lt;F90,U90+V90-W90,0),IF(AD90&lt;F90,AA90+AB90-AC90,0)))))</x:f>
        <x:v>0</x:v>
      </x:c>
      <x:c r="H90" s="6" t="n">
        <x:f>ROUND(MAX(0,C90+D90-E90-G90),2)</x:f>
        <x:v>0</x:v>
      </x:c>
      <x:c r="I90" s="6" t="n">
        <x:f>N89</x:f>
        <x:v>0</x:v>
      </x:c>
      <x:c r="J90" s="6" t="n">
        <x:f>ROUND(I90*'Debt strategy'!$D$10/12,2)</x:f>
        <x:v>0</x:v>
      </x:c>
      <x:c r="K90" s="6" t="n">
        <x:f>MIN(I90+J90,'Debt strategy'!$E$10)</x:f>
        <x:v>0</x:v>
      </x:c>
      <x:c r="L90" s="27" t="n">
        <x:f>IF(I90+J90-K90&lt;=0,99,1+SUM(IF(AND(C90+D90-E90&gt;0,OR(C90+D90-E90&lt;I90+J90-K90,AND(C90+D90-E90=I90+J90-K90,0&lt;1))),1,0),IF(AND(O90+P90-Q90&gt;0,OR(O90+P90-Q90&lt;I90+J90-K90,AND(O90+P90-Q90=I90+J90-K90,2&lt;1))),1,0),IF(AND(U90+V90-W90&gt;0,OR(U90+V90-W90&lt;I90+J90-K90,AND(U90+V90-W90=I90+J90-K90,3&lt;1))),1,0),IF(AND(AA90+AB90-AC90&gt;0,OR(AA90+AB90-AC90&lt;I90+J90-K90,AND(AA90+AB90-AC90=I90+J90-K90,4&lt;1))),1,0)))</x:f>
        <x:v>99</x:v>
      </x:c>
      <x:c r="M90" s="6" t="n">
        <x:f>IF('Debt strategy'!$C$16&gt;0,0,MIN(I90+J90-K90,MAX(0,'Debt strategy'!$C$5-SUM(E90,K90,Q90,W90,AC90)-SUM(IF(F90&lt;L90,C90+D90-E90,0),IF(R90&lt;L90,O90+P90-Q90,0),IF(X90&lt;L90,U90+V90-W90,0),IF(AD90&lt;L90,AA90+AB90-AC90,0)))))</x:f>
        <x:v>0</x:v>
      </x:c>
      <x:c r="N90" s="6" t="n">
        <x:f>ROUND(MAX(0,I90+J90-K90-M90),2)</x:f>
        <x:v>0</x:v>
      </x:c>
      <x:c r="O90" s="6" t="n">
        <x:f>T89</x:f>
        <x:v>0</x:v>
      </x:c>
      <x:c r="P90" s="6" t="n">
        <x:f>ROUND(O90*'Debt strategy'!$D$11/12,2)</x:f>
        <x:v>0</x:v>
      </x:c>
      <x:c r="Q90" s="6" t="n">
        <x:f>MIN(O90+P90,'Debt strategy'!$E$11)</x:f>
        <x:v>0</x:v>
      </x:c>
      <x:c r="R90" s="27" t="n">
        <x:f>IF(O90+P90-Q90&lt;=0,99,1+SUM(IF(AND(C90+D90-E90&gt;0,OR(C90+D90-E90&lt;O90+P90-Q90,AND(C90+D90-E90=O90+P90-Q90,0&lt;2))),1,0),IF(AND(I90+J90-K90&gt;0,OR(I90+J90-K90&lt;O90+P90-Q90,AND(I90+J90-K90=O90+P90-Q90,1&lt;2))),1,0),IF(AND(U90+V90-W90&gt;0,OR(U90+V90-W90&lt;O90+P90-Q90,AND(U90+V90-W90=O90+P90-Q90,3&lt;2))),1,0),IF(AND(AA90+AB90-AC90&gt;0,OR(AA90+AB90-AC90&lt;O90+P90-Q90,AND(AA90+AB90-AC90=O90+P90-Q90,4&lt;2))),1,0)))</x:f>
        <x:v>99</x:v>
      </x:c>
      <x:c r="S90" s="6" t="n">
        <x:f>IF('Debt strategy'!$C$16&gt;0,0,MIN(O90+P90-Q90,MAX(0,'Debt strategy'!$C$5-SUM(E90,K90,Q90,W90,AC90)-SUM(IF(F90&lt;R90,C90+D90-E90,0),IF(L90&lt;R90,I90+J90-K90,0),IF(X90&lt;R90,U90+V90-W90,0),IF(AD90&lt;R90,AA90+AB90-AC90,0)))))</x:f>
        <x:v>0</x:v>
      </x:c>
      <x:c r="T90" s="6" t="n">
        <x:f>ROUND(MAX(0,O90+P90-Q90-S90),2)</x:f>
        <x:v>0</x:v>
      </x:c>
      <x:c r="U90" s="6" t="n">
        <x:f>Z89</x:f>
        <x:v>0</x:v>
      </x:c>
      <x:c r="V90" s="6" t="n">
        <x:f>ROUND(U90*'Debt strategy'!$D$12/12,2)</x:f>
        <x:v>0</x:v>
      </x:c>
      <x:c r="W90" s="6" t="n">
        <x:f>MIN(U90+V90,'Debt strategy'!$E$12)</x:f>
        <x:v>0</x:v>
      </x:c>
      <x:c r="X90" s="27" t="n">
        <x:f>IF(U90+V90-W90&lt;=0,99,1+SUM(IF(AND(C90+D90-E90&gt;0,OR(C90+D90-E90&lt;U90+V90-W90,AND(C90+D90-E90=U90+V90-W90,0&lt;3))),1,0),IF(AND(I90+J90-K90&gt;0,OR(I90+J90-K90&lt;U90+V90-W90,AND(I90+J90-K90=U90+V90-W90,1&lt;3))),1,0),IF(AND(O90+P90-Q90&gt;0,OR(O90+P90-Q90&lt;U90+V90-W90,AND(O90+P90-Q90=U90+V90-W90,2&lt;3))),1,0),IF(AND(AA90+AB90-AC90&gt;0,OR(AA90+AB90-AC90&lt;U90+V90-W90,AND(AA90+AB90-AC90=U90+V90-W90,4&lt;3))),1,0)))</x:f>
        <x:v>99</x:v>
      </x:c>
      <x:c r="Y90" s="6" t="n">
        <x:f>IF('Debt strategy'!$C$16&gt;0,0,MIN(U90+V90-W90,MAX(0,'Debt strategy'!$C$5-SUM(E90,K90,Q90,W90,AC90)-SUM(IF(F90&lt;X90,C90+D90-E90,0),IF(L90&lt;X90,I90+J90-K90,0),IF(R90&lt;X90,O90+P90-Q90,0),IF(AD90&lt;X90,AA90+AB90-AC90,0)))))</x:f>
        <x:v>0</x:v>
      </x:c>
      <x:c r="Z90" s="6" t="n">
        <x:f>ROUND(MAX(0,U90+V90-W90-Y90),2)</x:f>
        <x:v>0</x:v>
      </x:c>
      <x:c r="AA90" s="6" t="n">
        <x:f>AF89</x:f>
        <x:v>0</x:v>
      </x:c>
      <x:c r="AB90" s="6" t="n">
        <x:f>ROUND(AA90*'Debt strategy'!$D$13/12,2)</x:f>
        <x:v>0</x:v>
      </x:c>
      <x:c r="AC90" s="6" t="n">
        <x:f>MIN(AA90+AB90,'Debt strategy'!$E$13)</x:f>
        <x:v>0</x:v>
      </x:c>
      <x:c r="AD90" s="27" t="n">
        <x:f>IF(AA90+AB90-AC90&lt;=0,99,1+SUM(IF(AND(C90+D90-E90&gt;0,OR(C90+D90-E90&lt;AA90+AB90-AC90,AND(C90+D90-E90=AA90+AB90-AC90,0&lt;4))),1,0),IF(AND(I90+J90-K90&gt;0,OR(I90+J90-K90&lt;AA90+AB90-AC90,AND(I90+J90-K90=AA90+AB90-AC90,1&lt;4))),1,0),IF(AND(O90+P90-Q90&gt;0,OR(O90+P90-Q90&lt;AA90+AB90-AC90,AND(O90+P90-Q90=AA90+AB90-AC90,2&lt;4))),1,0),IF(AND(U90+V90-W90&gt;0,OR(U90+V90-W90&lt;AA90+AB90-AC90,AND(U90+V90-W90=AA90+AB90-AC90,3&lt;4))),1,0)))</x:f>
        <x:v>99</x:v>
      </x:c>
      <x:c r="AE90" s="6" t="n">
        <x:f>IF('Debt strategy'!$C$16&gt;0,0,MIN(AA90+AB90-AC90,MAX(0,'Debt strategy'!$C$5-SUM(E90,K90,Q90,W90,AC90)-SUM(IF(F90&lt;AD90,C90+D90-E90,0),IF(L90&lt;AD90,I90+J90-K90,0),IF(R90&lt;AD90,O90+P90-Q90,0),IF(X90&lt;AD90,U90+V90-W90,0)))))</x:f>
        <x:v>0</x:v>
      </x:c>
      <x:c r="AF90" s="6" t="n">
        <x:f>ROUND(MAX(0,AA90+AB90-AC90-AE90),2)</x:f>
        <x:v>0</x:v>
      </x:c>
      <x:c r="AG90" s="6" t="n">
        <x:f>SUM(H90,N90,T90,Z90,AF90)</x:f>
        <x:v>0</x:v>
      </x:c>
      <x:c r="AH90" s="6" t="n">
        <x:f>SUM(D90,J90,P90,V90,AB90)+AH89</x:f>
        <x:v>1353.9499999999996</x:v>
      </x:c>
      <x:c r="AI90" s="2"/>
    </x:row>
    <x:row r="91" ht="23" customHeight="1">
      <x:c r="B91" s="2" t="n">
        <x:f>83</x:f>
        <x:v>83</x:v>
      </x:c>
      <x:c r="C91" s="6" t="n">
        <x:f>H90</x:f>
        <x:v>0</x:v>
      </x:c>
      <x:c r="D91" s="6" t="n">
        <x:f>ROUND(C91*'Debt strategy'!$D$9/12,2)</x:f>
        <x:v>0</x:v>
      </x:c>
      <x:c r="E91" s="6" t="n">
        <x:f>MIN(C91+D91,'Debt strategy'!$E$9)</x:f>
        <x:v>0</x:v>
      </x:c>
      <x:c r="F91" s="27" t="n">
        <x:f>IF(C91+D91-E91&lt;=0,99,1+SUM(IF(AND(I91+J91-K91&gt;0,OR(I91+J91-K91&lt;C91+D91-E91,AND(I91+J91-K91=C91+D91-E91,1&lt;0))),1,0),IF(AND(O91+P91-Q91&gt;0,OR(O91+P91-Q91&lt;C91+D91-E91,AND(O91+P91-Q91=C91+D91-E91,2&lt;0))),1,0),IF(AND(U91+V91-W91&gt;0,OR(U91+V91-W91&lt;C91+D91-E91,AND(U91+V91-W91=C91+D91-E91,3&lt;0))),1,0),IF(AND(AA91+AB91-AC91&gt;0,OR(AA91+AB91-AC91&lt;C91+D91-E91,AND(AA91+AB91-AC91=C91+D91-E91,4&lt;0))),1,0)))</x:f>
        <x:v>99</x:v>
      </x:c>
      <x:c r="G91" s="6" t="n">
        <x:f>IF('Debt strategy'!$C$16&gt;0,0,MIN(C91+D91-E91,MAX(0,'Debt strategy'!$C$5-SUM(E91,K91,Q91,W91,AC91)-SUM(IF(L91&lt;F91,I91+J91-K91,0),IF(R91&lt;F91,O91+P91-Q91,0),IF(X91&lt;F91,U91+V91-W91,0),IF(AD91&lt;F91,AA91+AB91-AC91,0)))))</x:f>
        <x:v>0</x:v>
      </x:c>
      <x:c r="H91" s="6" t="n">
        <x:f>ROUND(MAX(0,C91+D91-E91-G91),2)</x:f>
        <x:v>0</x:v>
      </x:c>
      <x:c r="I91" s="6" t="n">
        <x:f>N90</x:f>
        <x:v>0</x:v>
      </x:c>
      <x:c r="J91" s="6" t="n">
        <x:f>ROUND(I91*'Debt strategy'!$D$10/12,2)</x:f>
        <x:v>0</x:v>
      </x:c>
      <x:c r="K91" s="6" t="n">
        <x:f>MIN(I91+J91,'Debt strategy'!$E$10)</x:f>
        <x:v>0</x:v>
      </x:c>
      <x:c r="L91" s="27" t="n">
        <x:f>IF(I91+J91-K91&lt;=0,99,1+SUM(IF(AND(C91+D91-E91&gt;0,OR(C91+D91-E91&lt;I91+J91-K91,AND(C91+D91-E91=I91+J91-K91,0&lt;1))),1,0),IF(AND(O91+P91-Q91&gt;0,OR(O91+P91-Q91&lt;I91+J91-K91,AND(O91+P91-Q91=I91+J91-K91,2&lt;1))),1,0),IF(AND(U91+V91-W91&gt;0,OR(U91+V91-W91&lt;I91+J91-K91,AND(U91+V91-W91=I91+J91-K91,3&lt;1))),1,0),IF(AND(AA91+AB91-AC91&gt;0,OR(AA91+AB91-AC91&lt;I91+J91-K91,AND(AA91+AB91-AC91=I91+J91-K91,4&lt;1))),1,0)))</x:f>
        <x:v>99</x:v>
      </x:c>
      <x:c r="M91" s="6" t="n">
        <x:f>IF('Debt strategy'!$C$16&gt;0,0,MIN(I91+J91-K91,MAX(0,'Debt strategy'!$C$5-SUM(E91,K91,Q91,W91,AC91)-SUM(IF(F91&lt;L91,C91+D91-E91,0),IF(R91&lt;L91,O91+P91-Q91,0),IF(X91&lt;L91,U91+V91-W91,0),IF(AD91&lt;L91,AA91+AB91-AC91,0)))))</x:f>
        <x:v>0</x:v>
      </x:c>
      <x:c r="N91" s="6" t="n">
        <x:f>ROUND(MAX(0,I91+J91-K91-M91),2)</x:f>
        <x:v>0</x:v>
      </x:c>
      <x:c r="O91" s="6" t="n">
        <x:f>T90</x:f>
        <x:v>0</x:v>
      </x:c>
      <x:c r="P91" s="6" t="n">
        <x:f>ROUND(O91*'Debt strategy'!$D$11/12,2)</x:f>
        <x:v>0</x:v>
      </x:c>
      <x:c r="Q91" s="6" t="n">
        <x:f>MIN(O91+P91,'Debt strategy'!$E$11)</x:f>
        <x:v>0</x:v>
      </x:c>
      <x:c r="R91" s="27" t="n">
        <x:f>IF(O91+P91-Q91&lt;=0,99,1+SUM(IF(AND(C91+D91-E91&gt;0,OR(C91+D91-E91&lt;O91+P91-Q91,AND(C91+D91-E91=O91+P91-Q91,0&lt;2))),1,0),IF(AND(I91+J91-K91&gt;0,OR(I91+J91-K91&lt;O91+P91-Q91,AND(I91+J91-K91=O91+P91-Q91,1&lt;2))),1,0),IF(AND(U91+V91-W91&gt;0,OR(U91+V91-W91&lt;O91+P91-Q91,AND(U91+V91-W91=O91+P91-Q91,3&lt;2))),1,0),IF(AND(AA91+AB91-AC91&gt;0,OR(AA91+AB91-AC91&lt;O91+P91-Q91,AND(AA91+AB91-AC91=O91+P91-Q91,4&lt;2))),1,0)))</x:f>
        <x:v>99</x:v>
      </x:c>
      <x:c r="S91" s="6" t="n">
        <x:f>IF('Debt strategy'!$C$16&gt;0,0,MIN(O91+P91-Q91,MAX(0,'Debt strategy'!$C$5-SUM(E91,K91,Q91,W91,AC91)-SUM(IF(F91&lt;R91,C91+D91-E91,0),IF(L91&lt;R91,I91+J91-K91,0),IF(X91&lt;R91,U91+V91-W91,0),IF(AD91&lt;R91,AA91+AB91-AC91,0)))))</x:f>
        <x:v>0</x:v>
      </x:c>
      <x:c r="T91" s="6" t="n">
        <x:f>ROUND(MAX(0,O91+P91-Q91-S91),2)</x:f>
        <x:v>0</x:v>
      </x:c>
      <x:c r="U91" s="6" t="n">
        <x:f>Z90</x:f>
        <x:v>0</x:v>
      </x:c>
      <x:c r="V91" s="6" t="n">
        <x:f>ROUND(U91*'Debt strategy'!$D$12/12,2)</x:f>
        <x:v>0</x:v>
      </x:c>
      <x:c r="W91" s="6" t="n">
        <x:f>MIN(U91+V91,'Debt strategy'!$E$12)</x:f>
        <x:v>0</x:v>
      </x:c>
      <x:c r="X91" s="27" t="n">
        <x:f>IF(U91+V91-W91&lt;=0,99,1+SUM(IF(AND(C91+D91-E91&gt;0,OR(C91+D91-E91&lt;U91+V91-W91,AND(C91+D91-E91=U91+V91-W91,0&lt;3))),1,0),IF(AND(I91+J91-K91&gt;0,OR(I91+J91-K91&lt;U91+V91-W91,AND(I91+J91-K91=U91+V91-W91,1&lt;3))),1,0),IF(AND(O91+P91-Q91&gt;0,OR(O91+P91-Q91&lt;U91+V91-W91,AND(O91+P91-Q91=U91+V91-W91,2&lt;3))),1,0),IF(AND(AA91+AB91-AC91&gt;0,OR(AA91+AB91-AC91&lt;U91+V91-W91,AND(AA91+AB91-AC91=U91+V91-W91,4&lt;3))),1,0)))</x:f>
        <x:v>99</x:v>
      </x:c>
      <x:c r="Y91" s="6" t="n">
        <x:f>IF('Debt strategy'!$C$16&gt;0,0,MIN(U91+V91-W91,MAX(0,'Debt strategy'!$C$5-SUM(E91,K91,Q91,W91,AC91)-SUM(IF(F91&lt;X91,C91+D91-E91,0),IF(L91&lt;X91,I91+J91-K91,0),IF(R91&lt;X91,O91+P91-Q91,0),IF(AD91&lt;X91,AA91+AB91-AC91,0)))))</x:f>
        <x:v>0</x:v>
      </x:c>
      <x:c r="Z91" s="6" t="n">
        <x:f>ROUND(MAX(0,U91+V91-W91-Y91),2)</x:f>
        <x:v>0</x:v>
      </x:c>
      <x:c r="AA91" s="6" t="n">
        <x:f>AF90</x:f>
        <x:v>0</x:v>
      </x:c>
      <x:c r="AB91" s="6" t="n">
        <x:f>ROUND(AA91*'Debt strategy'!$D$13/12,2)</x:f>
        <x:v>0</x:v>
      </x:c>
      <x:c r="AC91" s="6" t="n">
        <x:f>MIN(AA91+AB91,'Debt strategy'!$E$13)</x:f>
        <x:v>0</x:v>
      </x:c>
      <x:c r="AD91" s="27" t="n">
        <x:f>IF(AA91+AB91-AC91&lt;=0,99,1+SUM(IF(AND(C91+D91-E91&gt;0,OR(C91+D91-E91&lt;AA91+AB91-AC91,AND(C91+D91-E91=AA91+AB91-AC91,0&lt;4))),1,0),IF(AND(I91+J91-K91&gt;0,OR(I91+J91-K91&lt;AA91+AB91-AC91,AND(I91+J91-K91=AA91+AB91-AC91,1&lt;4))),1,0),IF(AND(O91+P91-Q91&gt;0,OR(O91+P91-Q91&lt;AA91+AB91-AC91,AND(O91+P91-Q91=AA91+AB91-AC91,2&lt;4))),1,0),IF(AND(U91+V91-W91&gt;0,OR(U91+V91-W91&lt;AA91+AB91-AC91,AND(U91+V91-W91=AA91+AB91-AC91,3&lt;4))),1,0)))</x:f>
        <x:v>99</x:v>
      </x:c>
      <x:c r="AE91" s="6" t="n">
        <x:f>IF('Debt strategy'!$C$16&gt;0,0,MIN(AA91+AB91-AC91,MAX(0,'Debt strategy'!$C$5-SUM(E91,K91,Q91,W91,AC91)-SUM(IF(F91&lt;AD91,C91+D91-E91,0),IF(L91&lt;AD91,I91+J91-K91,0),IF(R91&lt;AD91,O91+P91-Q91,0),IF(X91&lt;AD91,U91+V91-W91,0)))))</x:f>
        <x:v>0</x:v>
      </x:c>
      <x:c r="AF91" s="6" t="n">
        <x:f>ROUND(MAX(0,AA91+AB91-AC91-AE91),2)</x:f>
        <x:v>0</x:v>
      </x:c>
      <x:c r="AG91" s="6" t="n">
        <x:f>SUM(H91,N91,T91,Z91,AF91)</x:f>
        <x:v>0</x:v>
      </x:c>
      <x:c r="AH91" s="6" t="n">
        <x:f>SUM(D91,J91,P91,V91,AB91)+AH90</x:f>
        <x:v>1353.9499999999996</x:v>
      </x:c>
      <x:c r="AI91" s="2"/>
    </x:row>
    <x:row r="92" ht="23" customHeight="1">
      <x:c r="B92" s="2" t="n">
        <x:f>84</x:f>
        <x:v>84</x:v>
      </x:c>
      <x:c r="C92" s="6" t="n">
        <x:f>H91</x:f>
        <x:v>0</x:v>
      </x:c>
      <x:c r="D92" s="6" t="n">
        <x:f>ROUND(C92*'Debt strategy'!$D$9/12,2)</x:f>
        <x:v>0</x:v>
      </x:c>
      <x:c r="E92" s="6" t="n">
        <x:f>MIN(C92+D92,'Debt strategy'!$E$9)</x:f>
        <x:v>0</x:v>
      </x:c>
      <x:c r="F92" s="27" t="n">
        <x:f>IF(C92+D92-E92&lt;=0,99,1+SUM(IF(AND(I92+J92-K92&gt;0,OR(I92+J92-K92&lt;C92+D92-E92,AND(I92+J92-K92=C92+D92-E92,1&lt;0))),1,0),IF(AND(O92+P92-Q92&gt;0,OR(O92+P92-Q92&lt;C92+D92-E92,AND(O92+P92-Q92=C92+D92-E92,2&lt;0))),1,0),IF(AND(U92+V92-W92&gt;0,OR(U92+V92-W92&lt;C92+D92-E92,AND(U92+V92-W92=C92+D92-E92,3&lt;0))),1,0),IF(AND(AA92+AB92-AC92&gt;0,OR(AA92+AB92-AC92&lt;C92+D92-E92,AND(AA92+AB92-AC92=C92+D92-E92,4&lt;0))),1,0)))</x:f>
        <x:v>99</x:v>
      </x:c>
      <x:c r="G92" s="6" t="n">
        <x:f>IF('Debt strategy'!$C$16&gt;0,0,MIN(C92+D92-E92,MAX(0,'Debt strategy'!$C$5-SUM(E92,K92,Q92,W92,AC92)-SUM(IF(L92&lt;F92,I92+J92-K92,0),IF(R92&lt;F92,O92+P92-Q92,0),IF(X92&lt;F92,U92+V92-W92,0),IF(AD92&lt;F92,AA92+AB92-AC92,0)))))</x:f>
        <x:v>0</x:v>
      </x:c>
      <x:c r="H92" s="6" t="n">
        <x:f>ROUND(MAX(0,C92+D92-E92-G92),2)</x:f>
        <x:v>0</x:v>
      </x:c>
      <x:c r="I92" s="6" t="n">
        <x:f>N91</x:f>
        <x:v>0</x:v>
      </x:c>
      <x:c r="J92" s="6" t="n">
        <x:f>ROUND(I92*'Debt strategy'!$D$10/12,2)</x:f>
        <x:v>0</x:v>
      </x:c>
      <x:c r="K92" s="6" t="n">
        <x:f>MIN(I92+J92,'Debt strategy'!$E$10)</x:f>
        <x:v>0</x:v>
      </x:c>
      <x:c r="L92" s="27" t="n">
        <x:f>IF(I92+J92-K92&lt;=0,99,1+SUM(IF(AND(C92+D92-E92&gt;0,OR(C92+D92-E92&lt;I92+J92-K92,AND(C92+D92-E92=I92+J92-K92,0&lt;1))),1,0),IF(AND(O92+P92-Q92&gt;0,OR(O92+P92-Q92&lt;I92+J92-K92,AND(O92+P92-Q92=I92+J92-K92,2&lt;1))),1,0),IF(AND(U92+V92-W92&gt;0,OR(U92+V92-W92&lt;I92+J92-K92,AND(U92+V92-W92=I92+J92-K92,3&lt;1))),1,0),IF(AND(AA92+AB92-AC92&gt;0,OR(AA92+AB92-AC92&lt;I92+J92-K92,AND(AA92+AB92-AC92=I92+J92-K92,4&lt;1))),1,0)))</x:f>
        <x:v>99</x:v>
      </x:c>
      <x:c r="M92" s="6" t="n">
        <x:f>IF('Debt strategy'!$C$16&gt;0,0,MIN(I92+J92-K92,MAX(0,'Debt strategy'!$C$5-SUM(E92,K92,Q92,W92,AC92)-SUM(IF(F92&lt;L92,C92+D92-E92,0),IF(R92&lt;L92,O92+P92-Q92,0),IF(X92&lt;L92,U92+V92-W92,0),IF(AD92&lt;L92,AA92+AB92-AC92,0)))))</x:f>
        <x:v>0</x:v>
      </x:c>
      <x:c r="N92" s="6" t="n">
        <x:f>ROUND(MAX(0,I92+J92-K92-M92),2)</x:f>
        <x:v>0</x:v>
      </x:c>
      <x:c r="O92" s="6" t="n">
        <x:f>T91</x:f>
        <x:v>0</x:v>
      </x:c>
      <x:c r="P92" s="6" t="n">
        <x:f>ROUND(O92*'Debt strategy'!$D$11/12,2)</x:f>
        <x:v>0</x:v>
      </x:c>
      <x:c r="Q92" s="6" t="n">
        <x:f>MIN(O92+P92,'Debt strategy'!$E$11)</x:f>
        <x:v>0</x:v>
      </x:c>
      <x:c r="R92" s="27" t="n">
        <x:f>IF(O92+P92-Q92&lt;=0,99,1+SUM(IF(AND(C92+D92-E92&gt;0,OR(C92+D92-E92&lt;O92+P92-Q92,AND(C92+D92-E92=O92+P92-Q92,0&lt;2))),1,0),IF(AND(I92+J92-K92&gt;0,OR(I92+J92-K92&lt;O92+P92-Q92,AND(I92+J92-K92=O92+P92-Q92,1&lt;2))),1,0),IF(AND(U92+V92-W92&gt;0,OR(U92+V92-W92&lt;O92+P92-Q92,AND(U92+V92-W92=O92+P92-Q92,3&lt;2))),1,0),IF(AND(AA92+AB92-AC92&gt;0,OR(AA92+AB92-AC92&lt;O92+P92-Q92,AND(AA92+AB92-AC92=O92+P92-Q92,4&lt;2))),1,0)))</x:f>
        <x:v>99</x:v>
      </x:c>
      <x:c r="S92" s="6" t="n">
        <x:f>IF('Debt strategy'!$C$16&gt;0,0,MIN(O92+P92-Q92,MAX(0,'Debt strategy'!$C$5-SUM(E92,K92,Q92,W92,AC92)-SUM(IF(F92&lt;R92,C92+D92-E92,0),IF(L92&lt;R92,I92+J92-K92,0),IF(X92&lt;R92,U92+V92-W92,0),IF(AD92&lt;R92,AA92+AB92-AC92,0)))))</x:f>
        <x:v>0</x:v>
      </x:c>
      <x:c r="T92" s="6" t="n">
        <x:f>ROUND(MAX(0,O92+P92-Q92-S92),2)</x:f>
        <x:v>0</x:v>
      </x:c>
      <x:c r="U92" s="6" t="n">
        <x:f>Z91</x:f>
        <x:v>0</x:v>
      </x:c>
      <x:c r="V92" s="6" t="n">
        <x:f>ROUND(U92*'Debt strategy'!$D$12/12,2)</x:f>
        <x:v>0</x:v>
      </x:c>
      <x:c r="W92" s="6" t="n">
        <x:f>MIN(U92+V92,'Debt strategy'!$E$12)</x:f>
        <x:v>0</x:v>
      </x:c>
      <x:c r="X92" s="27" t="n">
        <x:f>IF(U92+V92-W92&lt;=0,99,1+SUM(IF(AND(C92+D92-E92&gt;0,OR(C92+D92-E92&lt;U92+V92-W92,AND(C92+D92-E92=U92+V92-W92,0&lt;3))),1,0),IF(AND(I92+J92-K92&gt;0,OR(I92+J92-K92&lt;U92+V92-W92,AND(I92+J92-K92=U92+V92-W92,1&lt;3))),1,0),IF(AND(O92+P92-Q92&gt;0,OR(O92+P92-Q92&lt;U92+V92-W92,AND(O92+P92-Q92=U92+V92-W92,2&lt;3))),1,0),IF(AND(AA92+AB92-AC92&gt;0,OR(AA92+AB92-AC92&lt;U92+V92-W92,AND(AA92+AB92-AC92=U92+V92-W92,4&lt;3))),1,0)))</x:f>
        <x:v>99</x:v>
      </x:c>
      <x:c r="Y92" s="6" t="n">
        <x:f>IF('Debt strategy'!$C$16&gt;0,0,MIN(U92+V92-W92,MAX(0,'Debt strategy'!$C$5-SUM(E92,K92,Q92,W92,AC92)-SUM(IF(F92&lt;X92,C92+D92-E92,0),IF(L92&lt;X92,I92+J92-K92,0),IF(R92&lt;X92,O92+P92-Q92,0),IF(AD92&lt;X92,AA92+AB92-AC92,0)))))</x:f>
        <x:v>0</x:v>
      </x:c>
      <x:c r="Z92" s="6" t="n">
        <x:f>ROUND(MAX(0,U92+V92-W92-Y92),2)</x:f>
        <x:v>0</x:v>
      </x:c>
      <x:c r="AA92" s="6" t="n">
        <x:f>AF91</x:f>
        <x:v>0</x:v>
      </x:c>
      <x:c r="AB92" s="6" t="n">
        <x:f>ROUND(AA92*'Debt strategy'!$D$13/12,2)</x:f>
        <x:v>0</x:v>
      </x:c>
      <x:c r="AC92" s="6" t="n">
        <x:f>MIN(AA92+AB92,'Debt strategy'!$E$13)</x:f>
        <x:v>0</x:v>
      </x:c>
      <x:c r="AD92" s="27" t="n">
        <x:f>IF(AA92+AB92-AC92&lt;=0,99,1+SUM(IF(AND(C92+D92-E92&gt;0,OR(C92+D92-E92&lt;AA92+AB92-AC92,AND(C92+D92-E92=AA92+AB92-AC92,0&lt;4))),1,0),IF(AND(I92+J92-K92&gt;0,OR(I92+J92-K92&lt;AA92+AB92-AC92,AND(I92+J92-K92=AA92+AB92-AC92,1&lt;4))),1,0),IF(AND(O92+P92-Q92&gt;0,OR(O92+P92-Q92&lt;AA92+AB92-AC92,AND(O92+P92-Q92=AA92+AB92-AC92,2&lt;4))),1,0),IF(AND(U92+V92-W92&gt;0,OR(U92+V92-W92&lt;AA92+AB92-AC92,AND(U92+V92-W92=AA92+AB92-AC92,3&lt;4))),1,0)))</x:f>
        <x:v>99</x:v>
      </x:c>
      <x:c r="AE92" s="6" t="n">
        <x:f>IF('Debt strategy'!$C$16&gt;0,0,MIN(AA92+AB92-AC92,MAX(0,'Debt strategy'!$C$5-SUM(E92,K92,Q92,W92,AC92)-SUM(IF(F92&lt;AD92,C92+D92-E92,0),IF(L92&lt;AD92,I92+J92-K92,0),IF(R92&lt;AD92,O92+P92-Q92,0),IF(X92&lt;AD92,U92+V92-W92,0)))))</x:f>
        <x:v>0</x:v>
      </x:c>
      <x:c r="AF92" s="6" t="n">
        <x:f>ROUND(MAX(0,AA92+AB92-AC92-AE92),2)</x:f>
        <x:v>0</x:v>
      </x:c>
      <x:c r="AG92" s="6" t="n">
        <x:f>SUM(H92,N92,T92,Z92,AF92)</x:f>
        <x:v>0</x:v>
      </x:c>
      <x:c r="AH92" s="6" t="n">
        <x:f>SUM(D92,J92,P92,V92,AB92)+AH91</x:f>
        <x:v>1353.9499999999996</x:v>
      </x:c>
      <x:c r="AI92" s="2"/>
    </x:row>
    <x:row r="93" ht="23" customHeight="1">
      <x:c r="B93" s="2" t="n">
        <x:f>85</x:f>
        <x:v>85</x:v>
      </x:c>
      <x:c r="C93" s="6" t="n">
        <x:f>H92</x:f>
        <x:v>0</x:v>
      </x:c>
      <x:c r="D93" s="6" t="n">
        <x:f>ROUND(C93*'Debt strategy'!$D$9/12,2)</x:f>
        <x:v>0</x:v>
      </x:c>
      <x:c r="E93" s="6" t="n">
        <x:f>MIN(C93+D93,'Debt strategy'!$E$9)</x:f>
        <x:v>0</x:v>
      </x:c>
      <x:c r="F93" s="27" t="n">
        <x:f>IF(C93+D93-E93&lt;=0,99,1+SUM(IF(AND(I93+J93-K93&gt;0,OR(I93+J93-K93&lt;C93+D93-E93,AND(I93+J93-K93=C93+D93-E93,1&lt;0))),1,0),IF(AND(O93+P93-Q93&gt;0,OR(O93+P93-Q93&lt;C93+D93-E93,AND(O93+P93-Q93=C93+D93-E93,2&lt;0))),1,0),IF(AND(U93+V93-W93&gt;0,OR(U93+V93-W93&lt;C93+D93-E93,AND(U93+V93-W93=C93+D93-E93,3&lt;0))),1,0),IF(AND(AA93+AB93-AC93&gt;0,OR(AA93+AB93-AC93&lt;C93+D93-E93,AND(AA93+AB93-AC93=C93+D93-E93,4&lt;0))),1,0)))</x:f>
        <x:v>99</x:v>
      </x:c>
      <x:c r="G93" s="6" t="n">
        <x:f>IF('Debt strategy'!$C$16&gt;0,0,MIN(C93+D93-E93,MAX(0,'Debt strategy'!$C$5-SUM(E93,K93,Q93,W93,AC93)-SUM(IF(L93&lt;F93,I93+J93-K93,0),IF(R93&lt;F93,O93+P93-Q93,0),IF(X93&lt;F93,U93+V93-W93,0),IF(AD93&lt;F93,AA93+AB93-AC93,0)))))</x:f>
        <x:v>0</x:v>
      </x:c>
      <x:c r="H93" s="6" t="n">
        <x:f>ROUND(MAX(0,C93+D93-E93-G93),2)</x:f>
        <x:v>0</x:v>
      </x:c>
      <x:c r="I93" s="6" t="n">
        <x:f>N92</x:f>
        <x:v>0</x:v>
      </x:c>
      <x:c r="J93" s="6" t="n">
        <x:f>ROUND(I93*'Debt strategy'!$D$10/12,2)</x:f>
        <x:v>0</x:v>
      </x:c>
      <x:c r="K93" s="6" t="n">
        <x:f>MIN(I93+J93,'Debt strategy'!$E$10)</x:f>
        <x:v>0</x:v>
      </x:c>
      <x:c r="L93" s="27" t="n">
        <x:f>IF(I93+J93-K93&lt;=0,99,1+SUM(IF(AND(C93+D93-E93&gt;0,OR(C93+D93-E93&lt;I93+J93-K93,AND(C93+D93-E93=I93+J93-K93,0&lt;1))),1,0),IF(AND(O93+P93-Q93&gt;0,OR(O93+P93-Q93&lt;I93+J93-K93,AND(O93+P93-Q93=I93+J93-K93,2&lt;1))),1,0),IF(AND(U93+V93-W93&gt;0,OR(U93+V93-W93&lt;I93+J93-K93,AND(U93+V93-W93=I93+J93-K93,3&lt;1))),1,0),IF(AND(AA93+AB93-AC93&gt;0,OR(AA93+AB93-AC93&lt;I93+J93-K93,AND(AA93+AB93-AC93=I93+J93-K93,4&lt;1))),1,0)))</x:f>
        <x:v>99</x:v>
      </x:c>
      <x:c r="M93" s="6" t="n">
        <x:f>IF('Debt strategy'!$C$16&gt;0,0,MIN(I93+J93-K93,MAX(0,'Debt strategy'!$C$5-SUM(E93,K93,Q93,W93,AC93)-SUM(IF(F93&lt;L93,C93+D93-E93,0),IF(R93&lt;L93,O93+P93-Q93,0),IF(X93&lt;L93,U93+V93-W93,0),IF(AD93&lt;L93,AA93+AB93-AC93,0)))))</x:f>
        <x:v>0</x:v>
      </x:c>
      <x:c r="N93" s="6" t="n">
        <x:f>ROUND(MAX(0,I93+J93-K93-M93),2)</x:f>
        <x:v>0</x:v>
      </x:c>
      <x:c r="O93" s="6" t="n">
        <x:f>T92</x:f>
        <x:v>0</x:v>
      </x:c>
      <x:c r="P93" s="6" t="n">
        <x:f>ROUND(O93*'Debt strategy'!$D$11/12,2)</x:f>
        <x:v>0</x:v>
      </x:c>
      <x:c r="Q93" s="6" t="n">
        <x:f>MIN(O93+P93,'Debt strategy'!$E$11)</x:f>
        <x:v>0</x:v>
      </x:c>
      <x:c r="R93" s="27" t="n">
        <x:f>IF(O93+P93-Q93&lt;=0,99,1+SUM(IF(AND(C93+D93-E93&gt;0,OR(C93+D93-E93&lt;O93+P93-Q93,AND(C93+D93-E93=O93+P93-Q93,0&lt;2))),1,0),IF(AND(I93+J93-K93&gt;0,OR(I93+J93-K93&lt;O93+P93-Q93,AND(I93+J93-K93=O93+P93-Q93,1&lt;2))),1,0),IF(AND(U93+V93-W93&gt;0,OR(U93+V93-W93&lt;O93+P93-Q93,AND(U93+V93-W93=O93+P93-Q93,3&lt;2))),1,0),IF(AND(AA93+AB93-AC93&gt;0,OR(AA93+AB93-AC93&lt;O93+P93-Q93,AND(AA93+AB93-AC93=O93+P93-Q93,4&lt;2))),1,0)))</x:f>
        <x:v>99</x:v>
      </x:c>
      <x:c r="S93" s="6" t="n">
        <x:f>IF('Debt strategy'!$C$16&gt;0,0,MIN(O93+P93-Q93,MAX(0,'Debt strategy'!$C$5-SUM(E93,K93,Q93,W93,AC93)-SUM(IF(F93&lt;R93,C93+D93-E93,0),IF(L93&lt;R93,I93+J93-K93,0),IF(X93&lt;R93,U93+V93-W93,0),IF(AD93&lt;R93,AA93+AB93-AC93,0)))))</x:f>
        <x:v>0</x:v>
      </x:c>
      <x:c r="T93" s="6" t="n">
        <x:f>ROUND(MAX(0,O93+P93-Q93-S93),2)</x:f>
        <x:v>0</x:v>
      </x:c>
      <x:c r="U93" s="6" t="n">
        <x:f>Z92</x:f>
        <x:v>0</x:v>
      </x:c>
      <x:c r="V93" s="6" t="n">
        <x:f>ROUND(U93*'Debt strategy'!$D$12/12,2)</x:f>
        <x:v>0</x:v>
      </x:c>
      <x:c r="W93" s="6" t="n">
        <x:f>MIN(U93+V93,'Debt strategy'!$E$12)</x:f>
        <x:v>0</x:v>
      </x:c>
      <x:c r="X93" s="27" t="n">
        <x:f>IF(U93+V93-W93&lt;=0,99,1+SUM(IF(AND(C93+D93-E93&gt;0,OR(C93+D93-E93&lt;U93+V93-W93,AND(C93+D93-E93=U93+V93-W93,0&lt;3))),1,0),IF(AND(I93+J93-K93&gt;0,OR(I93+J93-K93&lt;U93+V93-W93,AND(I93+J93-K93=U93+V93-W93,1&lt;3))),1,0),IF(AND(O93+P93-Q93&gt;0,OR(O93+P93-Q93&lt;U93+V93-W93,AND(O93+P93-Q93=U93+V93-W93,2&lt;3))),1,0),IF(AND(AA93+AB93-AC93&gt;0,OR(AA93+AB93-AC93&lt;U93+V93-W93,AND(AA93+AB93-AC93=U93+V93-W93,4&lt;3))),1,0)))</x:f>
        <x:v>99</x:v>
      </x:c>
      <x:c r="Y93" s="6" t="n">
        <x:f>IF('Debt strategy'!$C$16&gt;0,0,MIN(U93+V93-W93,MAX(0,'Debt strategy'!$C$5-SUM(E93,K93,Q93,W93,AC93)-SUM(IF(F93&lt;X93,C93+D93-E93,0),IF(L93&lt;X93,I93+J93-K93,0),IF(R93&lt;X93,O93+P93-Q93,0),IF(AD93&lt;X93,AA93+AB93-AC93,0)))))</x:f>
        <x:v>0</x:v>
      </x:c>
      <x:c r="Z93" s="6" t="n">
        <x:f>ROUND(MAX(0,U93+V93-W93-Y93),2)</x:f>
        <x:v>0</x:v>
      </x:c>
      <x:c r="AA93" s="6" t="n">
        <x:f>AF92</x:f>
        <x:v>0</x:v>
      </x:c>
      <x:c r="AB93" s="6" t="n">
        <x:f>ROUND(AA93*'Debt strategy'!$D$13/12,2)</x:f>
        <x:v>0</x:v>
      </x:c>
      <x:c r="AC93" s="6" t="n">
        <x:f>MIN(AA93+AB93,'Debt strategy'!$E$13)</x:f>
        <x:v>0</x:v>
      </x:c>
      <x:c r="AD93" s="27" t="n">
        <x:f>IF(AA93+AB93-AC93&lt;=0,99,1+SUM(IF(AND(C93+D93-E93&gt;0,OR(C93+D93-E93&lt;AA93+AB93-AC93,AND(C93+D93-E93=AA93+AB93-AC93,0&lt;4))),1,0),IF(AND(I93+J93-K93&gt;0,OR(I93+J93-K93&lt;AA93+AB93-AC93,AND(I93+J93-K93=AA93+AB93-AC93,1&lt;4))),1,0),IF(AND(O93+P93-Q93&gt;0,OR(O93+P93-Q93&lt;AA93+AB93-AC93,AND(O93+P93-Q93=AA93+AB93-AC93,2&lt;4))),1,0),IF(AND(U93+V93-W93&gt;0,OR(U93+V93-W93&lt;AA93+AB93-AC93,AND(U93+V93-W93=AA93+AB93-AC93,3&lt;4))),1,0)))</x:f>
        <x:v>99</x:v>
      </x:c>
      <x:c r="AE93" s="6" t="n">
        <x:f>IF('Debt strategy'!$C$16&gt;0,0,MIN(AA93+AB93-AC93,MAX(0,'Debt strategy'!$C$5-SUM(E93,K93,Q93,W93,AC93)-SUM(IF(F93&lt;AD93,C93+D93-E93,0),IF(L93&lt;AD93,I93+J93-K93,0),IF(R93&lt;AD93,O93+P93-Q93,0),IF(X93&lt;AD93,U93+V93-W93,0)))))</x:f>
        <x:v>0</x:v>
      </x:c>
      <x:c r="AF93" s="6" t="n">
        <x:f>ROUND(MAX(0,AA93+AB93-AC93-AE93),2)</x:f>
        <x:v>0</x:v>
      </x:c>
      <x:c r="AG93" s="6" t="n">
        <x:f>SUM(H93,N93,T93,Z93,AF93)</x:f>
        <x:v>0</x:v>
      </x:c>
      <x:c r="AH93" s="6" t="n">
        <x:f>SUM(D93,J93,P93,V93,AB93)+AH92</x:f>
        <x:v>1353.9499999999996</x:v>
      </x:c>
      <x:c r="AI93" s="2"/>
    </x:row>
    <x:row r="94" ht="23" customHeight="1">
      <x:c r="B94" s="2" t="n">
        <x:f>86</x:f>
        <x:v>86</x:v>
      </x:c>
      <x:c r="C94" s="6" t="n">
        <x:f>H93</x:f>
        <x:v>0</x:v>
      </x:c>
      <x:c r="D94" s="6" t="n">
        <x:f>ROUND(C94*'Debt strategy'!$D$9/12,2)</x:f>
        <x:v>0</x:v>
      </x:c>
      <x:c r="E94" s="6" t="n">
        <x:f>MIN(C94+D94,'Debt strategy'!$E$9)</x:f>
        <x:v>0</x:v>
      </x:c>
      <x:c r="F94" s="27" t="n">
        <x:f>IF(C94+D94-E94&lt;=0,99,1+SUM(IF(AND(I94+J94-K94&gt;0,OR(I94+J94-K94&lt;C94+D94-E94,AND(I94+J94-K94=C94+D94-E94,1&lt;0))),1,0),IF(AND(O94+P94-Q94&gt;0,OR(O94+P94-Q94&lt;C94+D94-E94,AND(O94+P94-Q94=C94+D94-E94,2&lt;0))),1,0),IF(AND(U94+V94-W94&gt;0,OR(U94+V94-W94&lt;C94+D94-E94,AND(U94+V94-W94=C94+D94-E94,3&lt;0))),1,0),IF(AND(AA94+AB94-AC94&gt;0,OR(AA94+AB94-AC94&lt;C94+D94-E94,AND(AA94+AB94-AC94=C94+D94-E94,4&lt;0))),1,0)))</x:f>
        <x:v>99</x:v>
      </x:c>
      <x:c r="G94" s="6" t="n">
        <x:f>IF('Debt strategy'!$C$16&gt;0,0,MIN(C94+D94-E94,MAX(0,'Debt strategy'!$C$5-SUM(E94,K94,Q94,W94,AC94)-SUM(IF(L94&lt;F94,I94+J94-K94,0),IF(R94&lt;F94,O94+P94-Q94,0),IF(X94&lt;F94,U94+V94-W94,0),IF(AD94&lt;F94,AA94+AB94-AC94,0)))))</x:f>
        <x:v>0</x:v>
      </x:c>
      <x:c r="H94" s="6" t="n">
        <x:f>ROUND(MAX(0,C94+D94-E94-G94),2)</x:f>
        <x:v>0</x:v>
      </x:c>
      <x:c r="I94" s="6" t="n">
        <x:f>N93</x:f>
        <x:v>0</x:v>
      </x:c>
      <x:c r="J94" s="6" t="n">
        <x:f>ROUND(I94*'Debt strategy'!$D$10/12,2)</x:f>
        <x:v>0</x:v>
      </x:c>
      <x:c r="K94" s="6" t="n">
        <x:f>MIN(I94+J94,'Debt strategy'!$E$10)</x:f>
        <x:v>0</x:v>
      </x:c>
      <x:c r="L94" s="27" t="n">
        <x:f>IF(I94+J94-K94&lt;=0,99,1+SUM(IF(AND(C94+D94-E94&gt;0,OR(C94+D94-E94&lt;I94+J94-K94,AND(C94+D94-E94=I94+J94-K94,0&lt;1))),1,0),IF(AND(O94+P94-Q94&gt;0,OR(O94+P94-Q94&lt;I94+J94-K94,AND(O94+P94-Q94=I94+J94-K94,2&lt;1))),1,0),IF(AND(U94+V94-W94&gt;0,OR(U94+V94-W94&lt;I94+J94-K94,AND(U94+V94-W94=I94+J94-K94,3&lt;1))),1,0),IF(AND(AA94+AB94-AC94&gt;0,OR(AA94+AB94-AC94&lt;I94+J94-K94,AND(AA94+AB94-AC94=I94+J94-K94,4&lt;1))),1,0)))</x:f>
        <x:v>99</x:v>
      </x:c>
      <x:c r="M94" s="6" t="n">
        <x:f>IF('Debt strategy'!$C$16&gt;0,0,MIN(I94+J94-K94,MAX(0,'Debt strategy'!$C$5-SUM(E94,K94,Q94,W94,AC94)-SUM(IF(F94&lt;L94,C94+D94-E94,0),IF(R94&lt;L94,O94+P94-Q94,0),IF(X94&lt;L94,U94+V94-W94,0),IF(AD94&lt;L94,AA94+AB94-AC94,0)))))</x:f>
        <x:v>0</x:v>
      </x:c>
      <x:c r="N94" s="6" t="n">
        <x:f>ROUND(MAX(0,I94+J94-K94-M94),2)</x:f>
        <x:v>0</x:v>
      </x:c>
      <x:c r="O94" s="6" t="n">
        <x:f>T93</x:f>
        <x:v>0</x:v>
      </x:c>
      <x:c r="P94" s="6" t="n">
        <x:f>ROUND(O94*'Debt strategy'!$D$11/12,2)</x:f>
        <x:v>0</x:v>
      </x:c>
      <x:c r="Q94" s="6" t="n">
        <x:f>MIN(O94+P94,'Debt strategy'!$E$11)</x:f>
        <x:v>0</x:v>
      </x:c>
      <x:c r="R94" s="27" t="n">
        <x:f>IF(O94+P94-Q94&lt;=0,99,1+SUM(IF(AND(C94+D94-E94&gt;0,OR(C94+D94-E94&lt;O94+P94-Q94,AND(C94+D94-E94=O94+P94-Q94,0&lt;2))),1,0),IF(AND(I94+J94-K94&gt;0,OR(I94+J94-K94&lt;O94+P94-Q94,AND(I94+J94-K94=O94+P94-Q94,1&lt;2))),1,0),IF(AND(U94+V94-W94&gt;0,OR(U94+V94-W94&lt;O94+P94-Q94,AND(U94+V94-W94=O94+P94-Q94,3&lt;2))),1,0),IF(AND(AA94+AB94-AC94&gt;0,OR(AA94+AB94-AC94&lt;O94+P94-Q94,AND(AA94+AB94-AC94=O94+P94-Q94,4&lt;2))),1,0)))</x:f>
        <x:v>99</x:v>
      </x:c>
      <x:c r="S94" s="6" t="n">
        <x:f>IF('Debt strategy'!$C$16&gt;0,0,MIN(O94+P94-Q94,MAX(0,'Debt strategy'!$C$5-SUM(E94,K94,Q94,W94,AC94)-SUM(IF(F94&lt;R94,C94+D94-E94,0),IF(L94&lt;R94,I94+J94-K94,0),IF(X94&lt;R94,U94+V94-W94,0),IF(AD94&lt;R94,AA94+AB94-AC94,0)))))</x:f>
        <x:v>0</x:v>
      </x:c>
      <x:c r="T94" s="6" t="n">
        <x:f>ROUND(MAX(0,O94+P94-Q94-S94),2)</x:f>
        <x:v>0</x:v>
      </x:c>
      <x:c r="U94" s="6" t="n">
        <x:f>Z93</x:f>
        <x:v>0</x:v>
      </x:c>
      <x:c r="V94" s="6" t="n">
        <x:f>ROUND(U94*'Debt strategy'!$D$12/12,2)</x:f>
        <x:v>0</x:v>
      </x:c>
      <x:c r="W94" s="6" t="n">
        <x:f>MIN(U94+V94,'Debt strategy'!$E$12)</x:f>
        <x:v>0</x:v>
      </x:c>
      <x:c r="X94" s="27" t="n">
        <x:f>IF(U94+V94-W94&lt;=0,99,1+SUM(IF(AND(C94+D94-E94&gt;0,OR(C94+D94-E94&lt;U94+V94-W94,AND(C94+D94-E94=U94+V94-W94,0&lt;3))),1,0),IF(AND(I94+J94-K94&gt;0,OR(I94+J94-K94&lt;U94+V94-W94,AND(I94+J94-K94=U94+V94-W94,1&lt;3))),1,0),IF(AND(O94+P94-Q94&gt;0,OR(O94+P94-Q94&lt;U94+V94-W94,AND(O94+P94-Q94=U94+V94-W94,2&lt;3))),1,0),IF(AND(AA94+AB94-AC94&gt;0,OR(AA94+AB94-AC94&lt;U94+V94-W94,AND(AA94+AB94-AC94=U94+V94-W94,4&lt;3))),1,0)))</x:f>
        <x:v>99</x:v>
      </x:c>
      <x:c r="Y94" s="6" t="n">
        <x:f>IF('Debt strategy'!$C$16&gt;0,0,MIN(U94+V94-W94,MAX(0,'Debt strategy'!$C$5-SUM(E94,K94,Q94,W94,AC94)-SUM(IF(F94&lt;X94,C94+D94-E94,0),IF(L94&lt;X94,I94+J94-K94,0),IF(R94&lt;X94,O94+P94-Q94,0),IF(AD94&lt;X94,AA94+AB94-AC94,0)))))</x:f>
        <x:v>0</x:v>
      </x:c>
      <x:c r="Z94" s="6" t="n">
        <x:f>ROUND(MAX(0,U94+V94-W94-Y94),2)</x:f>
        <x:v>0</x:v>
      </x:c>
      <x:c r="AA94" s="6" t="n">
        <x:f>AF93</x:f>
        <x:v>0</x:v>
      </x:c>
      <x:c r="AB94" s="6" t="n">
        <x:f>ROUND(AA94*'Debt strategy'!$D$13/12,2)</x:f>
        <x:v>0</x:v>
      </x:c>
      <x:c r="AC94" s="6" t="n">
        <x:f>MIN(AA94+AB94,'Debt strategy'!$E$13)</x:f>
        <x:v>0</x:v>
      </x:c>
      <x:c r="AD94" s="27" t="n">
        <x:f>IF(AA94+AB94-AC94&lt;=0,99,1+SUM(IF(AND(C94+D94-E94&gt;0,OR(C94+D94-E94&lt;AA94+AB94-AC94,AND(C94+D94-E94=AA94+AB94-AC94,0&lt;4))),1,0),IF(AND(I94+J94-K94&gt;0,OR(I94+J94-K94&lt;AA94+AB94-AC94,AND(I94+J94-K94=AA94+AB94-AC94,1&lt;4))),1,0),IF(AND(O94+P94-Q94&gt;0,OR(O94+P94-Q94&lt;AA94+AB94-AC94,AND(O94+P94-Q94=AA94+AB94-AC94,2&lt;4))),1,0),IF(AND(U94+V94-W94&gt;0,OR(U94+V94-W94&lt;AA94+AB94-AC94,AND(U94+V94-W94=AA94+AB94-AC94,3&lt;4))),1,0)))</x:f>
        <x:v>99</x:v>
      </x:c>
      <x:c r="AE94" s="6" t="n">
        <x:f>IF('Debt strategy'!$C$16&gt;0,0,MIN(AA94+AB94-AC94,MAX(0,'Debt strategy'!$C$5-SUM(E94,K94,Q94,W94,AC94)-SUM(IF(F94&lt;AD94,C94+D94-E94,0),IF(L94&lt;AD94,I94+J94-K94,0),IF(R94&lt;AD94,O94+P94-Q94,0),IF(X94&lt;AD94,U94+V94-W94,0)))))</x:f>
        <x:v>0</x:v>
      </x:c>
      <x:c r="AF94" s="6" t="n">
        <x:f>ROUND(MAX(0,AA94+AB94-AC94-AE94),2)</x:f>
        <x:v>0</x:v>
      </x:c>
      <x:c r="AG94" s="6" t="n">
        <x:f>SUM(H94,N94,T94,Z94,AF94)</x:f>
        <x:v>0</x:v>
      </x:c>
      <x:c r="AH94" s="6" t="n">
        <x:f>SUM(D94,J94,P94,V94,AB94)+AH93</x:f>
        <x:v>1353.9499999999996</x:v>
      </x:c>
      <x:c r="AI94" s="2"/>
    </x:row>
    <x:row r="95" ht="23" customHeight="1">
      <x:c r="B95" s="2" t="n">
        <x:f>87</x:f>
        <x:v>87</x:v>
      </x:c>
      <x:c r="C95" s="6" t="n">
        <x:f>H94</x:f>
        <x:v>0</x:v>
      </x:c>
      <x:c r="D95" s="6" t="n">
        <x:f>ROUND(C95*'Debt strategy'!$D$9/12,2)</x:f>
        <x:v>0</x:v>
      </x:c>
      <x:c r="E95" s="6" t="n">
        <x:f>MIN(C95+D95,'Debt strategy'!$E$9)</x:f>
        <x:v>0</x:v>
      </x:c>
      <x:c r="F95" s="27" t="n">
        <x:f>IF(C95+D95-E95&lt;=0,99,1+SUM(IF(AND(I95+J95-K95&gt;0,OR(I95+J95-K95&lt;C95+D95-E95,AND(I95+J95-K95=C95+D95-E95,1&lt;0))),1,0),IF(AND(O95+P95-Q95&gt;0,OR(O95+P95-Q95&lt;C95+D95-E95,AND(O95+P95-Q95=C95+D95-E95,2&lt;0))),1,0),IF(AND(U95+V95-W95&gt;0,OR(U95+V95-W95&lt;C95+D95-E95,AND(U95+V95-W95=C95+D95-E95,3&lt;0))),1,0),IF(AND(AA95+AB95-AC95&gt;0,OR(AA95+AB95-AC95&lt;C95+D95-E95,AND(AA95+AB95-AC95=C95+D95-E95,4&lt;0))),1,0)))</x:f>
        <x:v>99</x:v>
      </x:c>
      <x:c r="G95" s="6" t="n">
        <x:f>IF('Debt strategy'!$C$16&gt;0,0,MIN(C95+D95-E95,MAX(0,'Debt strategy'!$C$5-SUM(E95,K95,Q95,W95,AC95)-SUM(IF(L95&lt;F95,I95+J95-K95,0),IF(R95&lt;F95,O95+P95-Q95,0),IF(X95&lt;F95,U95+V95-W95,0),IF(AD95&lt;F95,AA95+AB95-AC95,0)))))</x:f>
        <x:v>0</x:v>
      </x:c>
      <x:c r="H95" s="6" t="n">
        <x:f>ROUND(MAX(0,C95+D95-E95-G95),2)</x:f>
        <x:v>0</x:v>
      </x:c>
      <x:c r="I95" s="6" t="n">
        <x:f>N94</x:f>
        <x:v>0</x:v>
      </x:c>
      <x:c r="J95" s="6" t="n">
        <x:f>ROUND(I95*'Debt strategy'!$D$10/12,2)</x:f>
        <x:v>0</x:v>
      </x:c>
      <x:c r="K95" s="6" t="n">
        <x:f>MIN(I95+J95,'Debt strategy'!$E$10)</x:f>
        <x:v>0</x:v>
      </x:c>
      <x:c r="L95" s="27" t="n">
        <x:f>IF(I95+J95-K95&lt;=0,99,1+SUM(IF(AND(C95+D95-E95&gt;0,OR(C95+D95-E95&lt;I95+J95-K95,AND(C95+D95-E95=I95+J95-K95,0&lt;1))),1,0),IF(AND(O95+P95-Q95&gt;0,OR(O95+P95-Q95&lt;I95+J95-K95,AND(O95+P95-Q95=I95+J95-K95,2&lt;1))),1,0),IF(AND(U95+V95-W95&gt;0,OR(U95+V95-W95&lt;I95+J95-K95,AND(U95+V95-W95=I95+J95-K95,3&lt;1))),1,0),IF(AND(AA95+AB95-AC95&gt;0,OR(AA95+AB95-AC95&lt;I95+J95-K95,AND(AA95+AB95-AC95=I95+J95-K95,4&lt;1))),1,0)))</x:f>
        <x:v>99</x:v>
      </x:c>
      <x:c r="M95" s="6" t="n">
        <x:f>IF('Debt strategy'!$C$16&gt;0,0,MIN(I95+J95-K95,MAX(0,'Debt strategy'!$C$5-SUM(E95,K95,Q95,W95,AC95)-SUM(IF(F95&lt;L95,C95+D95-E95,0),IF(R95&lt;L95,O95+P95-Q95,0),IF(X95&lt;L95,U95+V95-W95,0),IF(AD95&lt;L95,AA95+AB95-AC95,0)))))</x:f>
        <x:v>0</x:v>
      </x:c>
      <x:c r="N95" s="6" t="n">
        <x:f>ROUND(MAX(0,I95+J95-K95-M95),2)</x:f>
        <x:v>0</x:v>
      </x:c>
      <x:c r="O95" s="6" t="n">
        <x:f>T94</x:f>
        <x:v>0</x:v>
      </x:c>
      <x:c r="P95" s="6" t="n">
        <x:f>ROUND(O95*'Debt strategy'!$D$11/12,2)</x:f>
        <x:v>0</x:v>
      </x:c>
      <x:c r="Q95" s="6" t="n">
        <x:f>MIN(O95+P95,'Debt strategy'!$E$11)</x:f>
        <x:v>0</x:v>
      </x:c>
      <x:c r="R95" s="27" t="n">
        <x:f>IF(O95+P95-Q95&lt;=0,99,1+SUM(IF(AND(C95+D95-E95&gt;0,OR(C95+D95-E95&lt;O95+P95-Q95,AND(C95+D95-E95=O95+P95-Q95,0&lt;2))),1,0),IF(AND(I95+J95-K95&gt;0,OR(I95+J95-K95&lt;O95+P95-Q95,AND(I95+J95-K95=O95+P95-Q95,1&lt;2))),1,0),IF(AND(U95+V95-W95&gt;0,OR(U95+V95-W95&lt;O95+P95-Q95,AND(U95+V95-W95=O95+P95-Q95,3&lt;2))),1,0),IF(AND(AA95+AB95-AC95&gt;0,OR(AA95+AB95-AC95&lt;O95+P95-Q95,AND(AA95+AB95-AC95=O95+P95-Q95,4&lt;2))),1,0)))</x:f>
        <x:v>99</x:v>
      </x:c>
      <x:c r="S95" s="6" t="n">
        <x:f>IF('Debt strategy'!$C$16&gt;0,0,MIN(O95+P95-Q95,MAX(0,'Debt strategy'!$C$5-SUM(E95,K95,Q95,W95,AC95)-SUM(IF(F95&lt;R95,C95+D95-E95,0),IF(L95&lt;R95,I95+J95-K95,0),IF(X95&lt;R95,U95+V95-W95,0),IF(AD95&lt;R95,AA95+AB95-AC95,0)))))</x:f>
        <x:v>0</x:v>
      </x:c>
      <x:c r="T95" s="6" t="n">
        <x:f>ROUND(MAX(0,O95+P95-Q95-S95),2)</x:f>
        <x:v>0</x:v>
      </x:c>
      <x:c r="U95" s="6" t="n">
        <x:f>Z94</x:f>
        <x:v>0</x:v>
      </x:c>
      <x:c r="V95" s="6" t="n">
        <x:f>ROUND(U95*'Debt strategy'!$D$12/12,2)</x:f>
        <x:v>0</x:v>
      </x:c>
      <x:c r="W95" s="6" t="n">
        <x:f>MIN(U95+V95,'Debt strategy'!$E$12)</x:f>
        <x:v>0</x:v>
      </x:c>
      <x:c r="X95" s="27" t="n">
        <x:f>IF(U95+V95-W95&lt;=0,99,1+SUM(IF(AND(C95+D95-E95&gt;0,OR(C95+D95-E95&lt;U95+V95-W95,AND(C95+D95-E95=U95+V95-W95,0&lt;3))),1,0),IF(AND(I95+J95-K95&gt;0,OR(I95+J95-K95&lt;U95+V95-W95,AND(I95+J95-K95=U95+V95-W95,1&lt;3))),1,0),IF(AND(O95+P95-Q95&gt;0,OR(O95+P95-Q95&lt;U95+V95-W95,AND(O95+P95-Q95=U95+V95-W95,2&lt;3))),1,0),IF(AND(AA95+AB95-AC95&gt;0,OR(AA95+AB95-AC95&lt;U95+V95-W95,AND(AA95+AB95-AC95=U95+V95-W95,4&lt;3))),1,0)))</x:f>
        <x:v>99</x:v>
      </x:c>
      <x:c r="Y95" s="6" t="n">
        <x:f>IF('Debt strategy'!$C$16&gt;0,0,MIN(U95+V95-W95,MAX(0,'Debt strategy'!$C$5-SUM(E95,K95,Q95,W95,AC95)-SUM(IF(F95&lt;X95,C95+D95-E95,0),IF(L95&lt;X95,I95+J95-K95,0),IF(R95&lt;X95,O95+P95-Q95,0),IF(AD95&lt;X95,AA95+AB95-AC95,0)))))</x:f>
        <x:v>0</x:v>
      </x:c>
      <x:c r="Z95" s="6" t="n">
        <x:f>ROUND(MAX(0,U95+V95-W95-Y95),2)</x:f>
        <x:v>0</x:v>
      </x:c>
      <x:c r="AA95" s="6" t="n">
        <x:f>AF94</x:f>
        <x:v>0</x:v>
      </x:c>
      <x:c r="AB95" s="6" t="n">
        <x:f>ROUND(AA95*'Debt strategy'!$D$13/12,2)</x:f>
        <x:v>0</x:v>
      </x:c>
      <x:c r="AC95" s="6" t="n">
        <x:f>MIN(AA95+AB95,'Debt strategy'!$E$13)</x:f>
        <x:v>0</x:v>
      </x:c>
      <x:c r="AD95" s="27" t="n">
        <x:f>IF(AA95+AB95-AC95&lt;=0,99,1+SUM(IF(AND(C95+D95-E95&gt;0,OR(C95+D95-E95&lt;AA95+AB95-AC95,AND(C95+D95-E95=AA95+AB95-AC95,0&lt;4))),1,0),IF(AND(I95+J95-K95&gt;0,OR(I95+J95-K95&lt;AA95+AB95-AC95,AND(I95+J95-K95=AA95+AB95-AC95,1&lt;4))),1,0),IF(AND(O95+P95-Q95&gt;0,OR(O95+P95-Q95&lt;AA95+AB95-AC95,AND(O95+P95-Q95=AA95+AB95-AC95,2&lt;4))),1,0),IF(AND(U95+V95-W95&gt;0,OR(U95+V95-W95&lt;AA95+AB95-AC95,AND(U95+V95-W95=AA95+AB95-AC95,3&lt;4))),1,0)))</x:f>
        <x:v>99</x:v>
      </x:c>
      <x:c r="AE95" s="6" t="n">
        <x:f>IF('Debt strategy'!$C$16&gt;0,0,MIN(AA95+AB95-AC95,MAX(0,'Debt strategy'!$C$5-SUM(E95,K95,Q95,W95,AC95)-SUM(IF(F95&lt;AD95,C95+D95-E95,0),IF(L95&lt;AD95,I95+J95-K95,0),IF(R95&lt;AD95,O95+P95-Q95,0),IF(X95&lt;AD95,U95+V95-W95,0)))))</x:f>
        <x:v>0</x:v>
      </x:c>
      <x:c r="AF95" s="6" t="n">
        <x:f>ROUND(MAX(0,AA95+AB95-AC95-AE95),2)</x:f>
        <x:v>0</x:v>
      </x:c>
      <x:c r="AG95" s="6" t="n">
        <x:f>SUM(H95,N95,T95,Z95,AF95)</x:f>
        <x:v>0</x:v>
      </x:c>
      <x:c r="AH95" s="6" t="n">
        <x:f>SUM(D95,J95,P95,V95,AB95)+AH94</x:f>
        <x:v>1353.9499999999996</x:v>
      </x:c>
      <x:c r="AI95" s="2"/>
    </x:row>
    <x:row r="96" ht="23" customHeight="1">
      <x:c r="B96" s="2" t="n">
        <x:f>88</x:f>
        <x:v>88</x:v>
      </x:c>
      <x:c r="C96" s="6" t="n">
        <x:f>H95</x:f>
        <x:v>0</x:v>
      </x:c>
      <x:c r="D96" s="6" t="n">
        <x:f>ROUND(C96*'Debt strategy'!$D$9/12,2)</x:f>
        <x:v>0</x:v>
      </x:c>
      <x:c r="E96" s="6" t="n">
        <x:f>MIN(C96+D96,'Debt strategy'!$E$9)</x:f>
        <x:v>0</x:v>
      </x:c>
      <x:c r="F96" s="27" t="n">
        <x:f>IF(C96+D96-E96&lt;=0,99,1+SUM(IF(AND(I96+J96-K96&gt;0,OR(I96+J96-K96&lt;C96+D96-E96,AND(I96+J96-K96=C96+D96-E96,1&lt;0))),1,0),IF(AND(O96+P96-Q96&gt;0,OR(O96+P96-Q96&lt;C96+D96-E96,AND(O96+P96-Q96=C96+D96-E96,2&lt;0))),1,0),IF(AND(U96+V96-W96&gt;0,OR(U96+V96-W96&lt;C96+D96-E96,AND(U96+V96-W96=C96+D96-E96,3&lt;0))),1,0),IF(AND(AA96+AB96-AC96&gt;0,OR(AA96+AB96-AC96&lt;C96+D96-E96,AND(AA96+AB96-AC96=C96+D96-E96,4&lt;0))),1,0)))</x:f>
        <x:v>99</x:v>
      </x:c>
      <x:c r="G96" s="6" t="n">
        <x:f>IF('Debt strategy'!$C$16&gt;0,0,MIN(C96+D96-E96,MAX(0,'Debt strategy'!$C$5-SUM(E96,K96,Q96,W96,AC96)-SUM(IF(L96&lt;F96,I96+J96-K96,0),IF(R96&lt;F96,O96+P96-Q96,0),IF(X96&lt;F96,U96+V96-W96,0),IF(AD96&lt;F96,AA96+AB96-AC96,0)))))</x:f>
        <x:v>0</x:v>
      </x:c>
      <x:c r="H96" s="6" t="n">
        <x:f>ROUND(MAX(0,C96+D96-E96-G96),2)</x:f>
        <x:v>0</x:v>
      </x:c>
      <x:c r="I96" s="6" t="n">
        <x:f>N95</x:f>
        <x:v>0</x:v>
      </x:c>
      <x:c r="J96" s="6" t="n">
        <x:f>ROUND(I96*'Debt strategy'!$D$10/12,2)</x:f>
        <x:v>0</x:v>
      </x:c>
      <x:c r="K96" s="6" t="n">
        <x:f>MIN(I96+J96,'Debt strategy'!$E$10)</x:f>
        <x:v>0</x:v>
      </x:c>
      <x:c r="L96" s="27" t="n">
        <x:f>IF(I96+J96-K96&lt;=0,99,1+SUM(IF(AND(C96+D96-E96&gt;0,OR(C96+D96-E96&lt;I96+J96-K96,AND(C96+D96-E96=I96+J96-K96,0&lt;1))),1,0),IF(AND(O96+P96-Q96&gt;0,OR(O96+P96-Q96&lt;I96+J96-K96,AND(O96+P96-Q96=I96+J96-K96,2&lt;1))),1,0),IF(AND(U96+V96-W96&gt;0,OR(U96+V96-W96&lt;I96+J96-K96,AND(U96+V96-W96=I96+J96-K96,3&lt;1))),1,0),IF(AND(AA96+AB96-AC96&gt;0,OR(AA96+AB96-AC96&lt;I96+J96-K96,AND(AA96+AB96-AC96=I96+J96-K96,4&lt;1))),1,0)))</x:f>
        <x:v>99</x:v>
      </x:c>
      <x:c r="M96" s="6" t="n">
        <x:f>IF('Debt strategy'!$C$16&gt;0,0,MIN(I96+J96-K96,MAX(0,'Debt strategy'!$C$5-SUM(E96,K96,Q96,W96,AC96)-SUM(IF(F96&lt;L96,C96+D96-E96,0),IF(R96&lt;L96,O96+P96-Q96,0),IF(X96&lt;L96,U96+V96-W96,0),IF(AD96&lt;L96,AA96+AB96-AC96,0)))))</x:f>
        <x:v>0</x:v>
      </x:c>
      <x:c r="N96" s="6" t="n">
        <x:f>ROUND(MAX(0,I96+J96-K96-M96),2)</x:f>
        <x:v>0</x:v>
      </x:c>
      <x:c r="O96" s="6" t="n">
        <x:f>T95</x:f>
        <x:v>0</x:v>
      </x:c>
      <x:c r="P96" s="6" t="n">
        <x:f>ROUND(O96*'Debt strategy'!$D$11/12,2)</x:f>
        <x:v>0</x:v>
      </x:c>
      <x:c r="Q96" s="6" t="n">
        <x:f>MIN(O96+P96,'Debt strategy'!$E$11)</x:f>
        <x:v>0</x:v>
      </x:c>
      <x:c r="R96" s="27" t="n">
        <x:f>IF(O96+P96-Q96&lt;=0,99,1+SUM(IF(AND(C96+D96-E96&gt;0,OR(C96+D96-E96&lt;O96+P96-Q96,AND(C96+D96-E96=O96+P96-Q96,0&lt;2))),1,0),IF(AND(I96+J96-K96&gt;0,OR(I96+J96-K96&lt;O96+P96-Q96,AND(I96+J96-K96=O96+P96-Q96,1&lt;2))),1,0),IF(AND(U96+V96-W96&gt;0,OR(U96+V96-W96&lt;O96+P96-Q96,AND(U96+V96-W96=O96+P96-Q96,3&lt;2))),1,0),IF(AND(AA96+AB96-AC96&gt;0,OR(AA96+AB96-AC96&lt;O96+P96-Q96,AND(AA96+AB96-AC96=O96+P96-Q96,4&lt;2))),1,0)))</x:f>
        <x:v>99</x:v>
      </x:c>
      <x:c r="S96" s="6" t="n">
        <x:f>IF('Debt strategy'!$C$16&gt;0,0,MIN(O96+P96-Q96,MAX(0,'Debt strategy'!$C$5-SUM(E96,K96,Q96,W96,AC96)-SUM(IF(F96&lt;R96,C96+D96-E96,0),IF(L96&lt;R96,I96+J96-K96,0),IF(X96&lt;R96,U96+V96-W96,0),IF(AD96&lt;R96,AA96+AB96-AC96,0)))))</x:f>
        <x:v>0</x:v>
      </x:c>
      <x:c r="T96" s="6" t="n">
        <x:f>ROUND(MAX(0,O96+P96-Q96-S96),2)</x:f>
        <x:v>0</x:v>
      </x:c>
      <x:c r="U96" s="6" t="n">
        <x:f>Z95</x:f>
        <x:v>0</x:v>
      </x:c>
      <x:c r="V96" s="6" t="n">
        <x:f>ROUND(U96*'Debt strategy'!$D$12/12,2)</x:f>
        <x:v>0</x:v>
      </x:c>
      <x:c r="W96" s="6" t="n">
        <x:f>MIN(U96+V96,'Debt strategy'!$E$12)</x:f>
        <x:v>0</x:v>
      </x:c>
      <x:c r="X96" s="27" t="n">
        <x:f>IF(U96+V96-W96&lt;=0,99,1+SUM(IF(AND(C96+D96-E96&gt;0,OR(C96+D96-E96&lt;U96+V96-W96,AND(C96+D96-E96=U96+V96-W96,0&lt;3))),1,0),IF(AND(I96+J96-K96&gt;0,OR(I96+J96-K96&lt;U96+V96-W96,AND(I96+J96-K96=U96+V96-W96,1&lt;3))),1,0),IF(AND(O96+P96-Q96&gt;0,OR(O96+P96-Q96&lt;U96+V96-W96,AND(O96+P96-Q96=U96+V96-W96,2&lt;3))),1,0),IF(AND(AA96+AB96-AC96&gt;0,OR(AA96+AB96-AC96&lt;U96+V96-W96,AND(AA96+AB96-AC96=U96+V96-W96,4&lt;3))),1,0)))</x:f>
        <x:v>99</x:v>
      </x:c>
      <x:c r="Y96" s="6" t="n">
        <x:f>IF('Debt strategy'!$C$16&gt;0,0,MIN(U96+V96-W96,MAX(0,'Debt strategy'!$C$5-SUM(E96,K96,Q96,W96,AC96)-SUM(IF(F96&lt;X96,C96+D96-E96,0),IF(L96&lt;X96,I96+J96-K96,0),IF(R96&lt;X96,O96+P96-Q96,0),IF(AD96&lt;X96,AA96+AB96-AC96,0)))))</x:f>
        <x:v>0</x:v>
      </x:c>
      <x:c r="Z96" s="6" t="n">
        <x:f>ROUND(MAX(0,U96+V96-W96-Y96),2)</x:f>
        <x:v>0</x:v>
      </x:c>
      <x:c r="AA96" s="6" t="n">
        <x:f>AF95</x:f>
        <x:v>0</x:v>
      </x:c>
      <x:c r="AB96" s="6" t="n">
        <x:f>ROUND(AA96*'Debt strategy'!$D$13/12,2)</x:f>
        <x:v>0</x:v>
      </x:c>
      <x:c r="AC96" s="6" t="n">
        <x:f>MIN(AA96+AB96,'Debt strategy'!$E$13)</x:f>
        <x:v>0</x:v>
      </x:c>
      <x:c r="AD96" s="27" t="n">
        <x:f>IF(AA96+AB96-AC96&lt;=0,99,1+SUM(IF(AND(C96+D96-E96&gt;0,OR(C96+D96-E96&lt;AA96+AB96-AC96,AND(C96+D96-E96=AA96+AB96-AC96,0&lt;4))),1,0),IF(AND(I96+J96-K96&gt;0,OR(I96+J96-K96&lt;AA96+AB96-AC96,AND(I96+J96-K96=AA96+AB96-AC96,1&lt;4))),1,0),IF(AND(O96+P96-Q96&gt;0,OR(O96+P96-Q96&lt;AA96+AB96-AC96,AND(O96+P96-Q96=AA96+AB96-AC96,2&lt;4))),1,0),IF(AND(U96+V96-W96&gt;0,OR(U96+V96-W96&lt;AA96+AB96-AC96,AND(U96+V96-W96=AA96+AB96-AC96,3&lt;4))),1,0)))</x:f>
        <x:v>99</x:v>
      </x:c>
      <x:c r="AE96" s="6" t="n">
        <x:f>IF('Debt strategy'!$C$16&gt;0,0,MIN(AA96+AB96-AC96,MAX(0,'Debt strategy'!$C$5-SUM(E96,K96,Q96,W96,AC96)-SUM(IF(F96&lt;AD96,C96+D96-E96,0),IF(L96&lt;AD96,I96+J96-K96,0),IF(R96&lt;AD96,O96+P96-Q96,0),IF(X96&lt;AD96,U96+V96-W96,0)))))</x:f>
        <x:v>0</x:v>
      </x:c>
      <x:c r="AF96" s="6" t="n">
        <x:f>ROUND(MAX(0,AA96+AB96-AC96-AE96),2)</x:f>
        <x:v>0</x:v>
      </x:c>
      <x:c r="AG96" s="6" t="n">
        <x:f>SUM(H96,N96,T96,Z96,AF96)</x:f>
        <x:v>0</x:v>
      </x:c>
      <x:c r="AH96" s="6" t="n">
        <x:f>SUM(D96,J96,P96,V96,AB96)+AH95</x:f>
        <x:v>1353.9499999999996</x:v>
      </x:c>
      <x:c r="AI96" s="2"/>
    </x:row>
    <x:row r="97" ht="23" customHeight="1">
      <x:c r="B97" s="2" t="n">
        <x:f>89</x:f>
        <x:v>89</x:v>
      </x:c>
      <x:c r="C97" s="6" t="n">
        <x:f>H96</x:f>
        <x:v>0</x:v>
      </x:c>
      <x:c r="D97" s="6" t="n">
        <x:f>ROUND(C97*'Debt strategy'!$D$9/12,2)</x:f>
        <x:v>0</x:v>
      </x:c>
      <x:c r="E97" s="6" t="n">
        <x:f>MIN(C97+D97,'Debt strategy'!$E$9)</x:f>
        <x:v>0</x:v>
      </x:c>
      <x:c r="F97" s="27" t="n">
        <x:f>IF(C97+D97-E97&lt;=0,99,1+SUM(IF(AND(I97+J97-K97&gt;0,OR(I97+J97-K97&lt;C97+D97-E97,AND(I97+J97-K97=C97+D97-E97,1&lt;0))),1,0),IF(AND(O97+P97-Q97&gt;0,OR(O97+P97-Q97&lt;C97+D97-E97,AND(O97+P97-Q97=C97+D97-E97,2&lt;0))),1,0),IF(AND(U97+V97-W97&gt;0,OR(U97+V97-W97&lt;C97+D97-E97,AND(U97+V97-W97=C97+D97-E97,3&lt;0))),1,0),IF(AND(AA97+AB97-AC97&gt;0,OR(AA97+AB97-AC97&lt;C97+D97-E97,AND(AA97+AB97-AC97=C97+D97-E97,4&lt;0))),1,0)))</x:f>
        <x:v>99</x:v>
      </x:c>
      <x:c r="G97" s="6" t="n">
        <x:f>IF('Debt strategy'!$C$16&gt;0,0,MIN(C97+D97-E97,MAX(0,'Debt strategy'!$C$5-SUM(E97,K97,Q97,W97,AC97)-SUM(IF(L97&lt;F97,I97+J97-K97,0),IF(R97&lt;F97,O97+P97-Q97,0),IF(X97&lt;F97,U97+V97-W97,0),IF(AD97&lt;F97,AA97+AB97-AC97,0)))))</x:f>
        <x:v>0</x:v>
      </x:c>
      <x:c r="H97" s="6" t="n">
        <x:f>ROUND(MAX(0,C97+D97-E97-G97),2)</x:f>
        <x:v>0</x:v>
      </x:c>
      <x:c r="I97" s="6" t="n">
        <x:f>N96</x:f>
        <x:v>0</x:v>
      </x:c>
      <x:c r="J97" s="6" t="n">
        <x:f>ROUND(I97*'Debt strategy'!$D$10/12,2)</x:f>
        <x:v>0</x:v>
      </x:c>
      <x:c r="K97" s="6" t="n">
        <x:f>MIN(I97+J97,'Debt strategy'!$E$10)</x:f>
        <x:v>0</x:v>
      </x:c>
      <x:c r="L97" s="27" t="n">
        <x:f>IF(I97+J97-K97&lt;=0,99,1+SUM(IF(AND(C97+D97-E97&gt;0,OR(C97+D97-E97&lt;I97+J97-K97,AND(C97+D97-E97=I97+J97-K97,0&lt;1))),1,0),IF(AND(O97+P97-Q97&gt;0,OR(O97+P97-Q97&lt;I97+J97-K97,AND(O97+P97-Q97=I97+J97-K97,2&lt;1))),1,0),IF(AND(U97+V97-W97&gt;0,OR(U97+V97-W97&lt;I97+J97-K97,AND(U97+V97-W97=I97+J97-K97,3&lt;1))),1,0),IF(AND(AA97+AB97-AC97&gt;0,OR(AA97+AB97-AC97&lt;I97+J97-K97,AND(AA97+AB97-AC97=I97+J97-K97,4&lt;1))),1,0)))</x:f>
        <x:v>99</x:v>
      </x:c>
      <x:c r="M97" s="6" t="n">
        <x:f>IF('Debt strategy'!$C$16&gt;0,0,MIN(I97+J97-K97,MAX(0,'Debt strategy'!$C$5-SUM(E97,K97,Q97,W97,AC97)-SUM(IF(F97&lt;L97,C97+D97-E97,0),IF(R97&lt;L97,O97+P97-Q97,0),IF(X97&lt;L97,U97+V97-W97,0),IF(AD97&lt;L97,AA97+AB97-AC97,0)))))</x:f>
        <x:v>0</x:v>
      </x:c>
      <x:c r="N97" s="6" t="n">
        <x:f>ROUND(MAX(0,I97+J97-K97-M97),2)</x:f>
        <x:v>0</x:v>
      </x:c>
      <x:c r="O97" s="6" t="n">
        <x:f>T96</x:f>
        <x:v>0</x:v>
      </x:c>
      <x:c r="P97" s="6" t="n">
        <x:f>ROUND(O97*'Debt strategy'!$D$11/12,2)</x:f>
        <x:v>0</x:v>
      </x:c>
      <x:c r="Q97" s="6" t="n">
        <x:f>MIN(O97+P97,'Debt strategy'!$E$11)</x:f>
        <x:v>0</x:v>
      </x:c>
      <x:c r="R97" s="27" t="n">
        <x:f>IF(O97+P97-Q97&lt;=0,99,1+SUM(IF(AND(C97+D97-E97&gt;0,OR(C97+D97-E97&lt;O97+P97-Q97,AND(C97+D97-E97=O97+P97-Q97,0&lt;2))),1,0),IF(AND(I97+J97-K97&gt;0,OR(I97+J97-K97&lt;O97+P97-Q97,AND(I97+J97-K97=O97+P97-Q97,1&lt;2))),1,0),IF(AND(U97+V97-W97&gt;0,OR(U97+V97-W97&lt;O97+P97-Q97,AND(U97+V97-W97=O97+P97-Q97,3&lt;2))),1,0),IF(AND(AA97+AB97-AC97&gt;0,OR(AA97+AB97-AC97&lt;O97+P97-Q97,AND(AA97+AB97-AC97=O97+P97-Q97,4&lt;2))),1,0)))</x:f>
        <x:v>99</x:v>
      </x:c>
      <x:c r="S97" s="6" t="n">
        <x:f>IF('Debt strategy'!$C$16&gt;0,0,MIN(O97+P97-Q97,MAX(0,'Debt strategy'!$C$5-SUM(E97,K97,Q97,W97,AC97)-SUM(IF(F97&lt;R97,C97+D97-E97,0),IF(L97&lt;R97,I97+J97-K97,0),IF(X97&lt;R97,U97+V97-W97,0),IF(AD97&lt;R97,AA97+AB97-AC97,0)))))</x:f>
        <x:v>0</x:v>
      </x:c>
      <x:c r="T97" s="6" t="n">
        <x:f>ROUND(MAX(0,O97+P97-Q97-S97),2)</x:f>
        <x:v>0</x:v>
      </x:c>
      <x:c r="U97" s="6" t="n">
        <x:f>Z96</x:f>
        <x:v>0</x:v>
      </x:c>
      <x:c r="V97" s="6" t="n">
        <x:f>ROUND(U97*'Debt strategy'!$D$12/12,2)</x:f>
        <x:v>0</x:v>
      </x:c>
      <x:c r="W97" s="6" t="n">
        <x:f>MIN(U97+V97,'Debt strategy'!$E$12)</x:f>
        <x:v>0</x:v>
      </x:c>
      <x:c r="X97" s="27" t="n">
        <x:f>IF(U97+V97-W97&lt;=0,99,1+SUM(IF(AND(C97+D97-E97&gt;0,OR(C97+D97-E97&lt;U97+V97-W97,AND(C97+D97-E97=U97+V97-W97,0&lt;3))),1,0),IF(AND(I97+J97-K97&gt;0,OR(I97+J97-K97&lt;U97+V97-W97,AND(I97+J97-K97=U97+V97-W97,1&lt;3))),1,0),IF(AND(O97+P97-Q97&gt;0,OR(O97+P97-Q97&lt;U97+V97-W97,AND(O97+P97-Q97=U97+V97-W97,2&lt;3))),1,0),IF(AND(AA97+AB97-AC97&gt;0,OR(AA97+AB97-AC97&lt;U97+V97-W97,AND(AA97+AB97-AC97=U97+V97-W97,4&lt;3))),1,0)))</x:f>
        <x:v>99</x:v>
      </x:c>
      <x:c r="Y97" s="6" t="n">
        <x:f>IF('Debt strategy'!$C$16&gt;0,0,MIN(U97+V97-W97,MAX(0,'Debt strategy'!$C$5-SUM(E97,K97,Q97,W97,AC97)-SUM(IF(F97&lt;X97,C97+D97-E97,0),IF(L97&lt;X97,I97+J97-K97,0),IF(R97&lt;X97,O97+P97-Q97,0),IF(AD97&lt;X97,AA97+AB97-AC97,0)))))</x:f>
        <x:v>0</x:v>
      </x:c>
      <x:c r="Z97" s="6" t="n">
        <x:f>ROUND(MAX(0,U97+V97-W97-Y97),2)</x:f>
        <x:v>0</x:v>
      </x:c>
      <x:c r="AA97" s="6" t="n">
        <x:f>AF96</x:f>
        <x:v>0</x:v>
      </x:c>
      <x:c r="AB97" s="6" t="n">
        <x:f>ROUND(AA97*'Debt strategy'!$D$13/12,2)</x:f>
        <x:v>0</x:v>
      </x:c>
      <x:c r="AC97" s="6" t="n">
        <x:f>MIN(AA97+AB97,'Debt strategy'!$E$13)</x:f>
        <x:v>0</x:v>
      </x:c>
      <x:c r="AD97" s="27" t="n">
        <x:f>IF(AA97+AB97-AC97&lt;=0,99,1+SUM(IF(AND(C97+D97-E97&gt;0,OR(C97+D97-E97&lt;AA97+AB97-AC97,AND(C97+D97-E97=AA97+AB97-AC97,0&lt;4))),1,0),IF(AND(I97+J97-K97&gt;0,OR(I97+J97-K97&lt;AA97+AB97-AC97,AND(I97+J97-K97=AA97+AB97-AC97,1&lt;4))),1,0),IF(AND(O97+P97-Q97&gt;0,OR(O97+P97-Q97&lt;AA97+AB97-AC97,AND(O97+P97-Q97=AA97+AB97-AC97,2&lt;4))),1,0),IF(AND(U97+V97-W97&gt;0,OR(U97+V97-W97&lt;AA97+AB97-AC97,AND(U97+V97-W97=AA97+AB97-AC97,3&lt;4))),1,0)))</x:f>
        <x:v>99</x:v>
      </x:c>
      <x:c r="AE97" s="6" t="n">
        <x:f>IF('Debt strategy'!$C$16&gt;0,0,MIN(AA97+AB97-AC97,MAX(0,'Debt strategy'!$C$5-SUM(E97,K97,Q97,W97,AC97)-SUM(IF(F97&lt;AD97,C97+D97-E97,0),IF(L97&lt;AD97,I97+J97-K97,0),IF(R97&lt;AD97,O97+P97-Q97,0),IF(X97&lt;AD97,U97+V97-W97,0)))))</x:f>
        <x:v>0</x:v>
      </x:c>
      <x:c r="AF97" s="6" t="n">
        <x:f>ROUND(MAX(0,AA97+AB97-AC97-AE97),2)</x:f>
        <x:v>0</x:v>
      </x:c>
      <x:c r="AG97" s="6" t="n">
        <x:f>SUM(H97,N97,T97,Z97,AF97)</x:f>
        <x:v>0</x:v>
      </x:c>
      <x:c r="AH97" s="6" t="n">
        <x:f>SUM(D97,J97,P97,V97,AB97)+AH96</x:f>
        <x:v>1353.9499999999996</x:v>
      </x:c>
      <x:c r="AI97" s="2"/>
    </x:row>
    <x:row r="98" ht="23" customHeight="1">
      <x:c r="B98" s="2" t="n">
        <x:f>90</x:f>
        <x:v>90</x:v>
      </x:c>
      <x:c r="C98" s="6" t="n">
        <x:f>H97</x:f>
        <x:v>0</x:v>
      </x:c>
      <x:c r="D98" s="6" t="n">
        <x:f>ROUND(C98*'Debt strategy'!$D$9/12,2)</x:f>
        <x:v>0</x:v>
      </x:c>
      <x:c r="E98" s="6" t="n">
        <x:f>MIN(C98+D98,'Debt strategy'!$E$9)</x:f>
        <x:v>0</x:v>
      </x:c>
      <x:c r="F98" s="27" t="n">
        <x:f>IF(C98+D98-E98&lt;=0,99,1+SUM(IF(AND(I98+J98-K98&gt;0,OR(I98+J98-K98&lt;C98+D98-E98,AND(I98+J98-K98=C98+D98-E98,1&lt;0))),1,0),IF(AND(O98+P98-Q98&gt;0,OR(O98+P98-Q98&lt;C98+D98-E98,AND(O98+P98-Q98=C98+D98-E98,2&lt;0))),1,0),IF(AND(U98+V98-W98&gt;0,OR(U98+V98-W98&lt;C98+D98-E98,AND(U98+V98-W98=C98+D98-E98,3&lt;0))),1,0),IF(AND(AA98+AB98-AC98&gt;0,OR(AA98+AB98-AC98&lt;C98+D98-E98,AND(AA98+AB98-AC98=C98+D98-E98,4&lt;0))),1,0)))</x:f>
        <x:v>99</x:v>
      </x:c>
      <x:c r="G98" s="6" t="n">
        <x:f>IF('Debt strategy'!$C$16&gt;0,0,MIN(C98+D98-E98,MAX(0,'Debt strategy'!$C$5-SUM(E98,K98,Q98,W98,AC98)-SUM(IF(L98&lt;F98,I98+J98-K98,0),IF(R98&lt;F98,O98+P98-Q98,0),IF(X98&lt;F98,U98+V98-W98,0),IF(AD98&lt;F98,AA98+AB98-AC98,0)))))</x:f>
        <x:v>0</x:v>
      </x:c>
      <x:c r="H98" s="6" t="n">
        <x:f>ROUND(MAX(0,C98+D98-E98-G98),2)</x:f>
        <x:v>0</x:v>
      </x:c>
      <x:c r="I98" s="6" t="n">
        <x:f>N97</x:f>
        <x:v>0</x:v>
      </x:c>
      <x:c r="J98" s="6" t="n">
        <x:f>ROUND(I98*'Debt strategy'!$D$10/12,2)</x:f>
        <x:v>0</x:v>
      </x:c>
      <x:c r="K98" s="6" t="n">
        <x:f>MIN(I98+J98,'Debt strategy'!$E$10)</x:f>
        <x:v>0</x:v>
      </x:c>
      <x:c r="L98" s="27" t="n">
        <x:f>IF(I98+J98-K98&lt;=0,99,1+SUM(IF(AND(C98+D98-E98&gt;0,OR(C98+D98-E98&lt;I98+J98-K98,AND(C98+D98-E98=I98+J98-K98,0&lt;1))),1,0),IF(AND(O98+P98-Q98&gt;0,OR(O98+P98-Q98&lt;I98+J98-K98,AND(O98+P98-Q98=I98+J98-K98,2&lt;1))),1,0),IF(AND(U98+V98-W98&gt;0,OR(U98+V98-W98&lt;I98+J98-K98,AND(U98+V98-W98=I98+J98-K98,3&lt;1))),1,0),IF(AND(AA98+AB98-AC98&gt;0,OR(AA98+AB98-AC98&lt;I98+J98-K98,AND(AA98+AB98-AC98=I98+J98-K98,4&lt;1))),1,0)))</x:f>
        <x:v>99</x:v>
      </x:c>
      <x:c r="M98" s="6" t="n">
        <x:f>IF('Debt strategy'!$C$16&gt;0,0,MIN(I98+J98-K98,MAX(0,'Debt strategy'!$C$5-SUM(E98,K98,Q98,W98,AC98)-SUM(IF(F98&lt;L98,C98+D98-E98,0),IF(R98&lt;L98,O98+P98-Q98,0),IF(X98&lt;L98,U98+V98-W98,0),IF(AD98&lt;L98,AA98+AB98-AC98,0)))))</x:f>
        <x:v>0</x:v>
      </x:c>
      <x:c r="N98" s="6" t="n">
        <x:f>ROUND(MAX(0,I98+J98-K98-M98),2)</x:f>
        <x:v>0</x:v>
      </x:c>
      <x:c r="O98" s="6" t="n">
        <x:f>T97</x:f>
        <x:v>0</x:v>
      </x:c>
      <x:c r="P98" s="6" t="n">
        <x:f>ROUND(O98*'Debt strategy'!$D$11/12,2)</x:f>
        <x:v>0</x:v>
      </x:c>
      <x:c r="Q98" s="6" t="n">
        <x:f>MIN(O98+P98,'Debt strategy'!$E$11)</x:f>
        <x:v>0</x:v>
      </x:c>
      <x:c r="R98" s="27" t="n">
        <x:f>IF(O98+P98-Q98&lt;=0,99,1+SUM(IF(AND(C98+D98-E98&gt;0,OR(C98+D98-E98&lt;O98+P98-Q98,AND(C98+D98-E98=O98+P98-Q98,0&lt;2))),1,0),IF(AND(I98+J98-K98&gt;0,OR(I98+J98-K98&lt;O98+P98-Q98,AND(I98+J98-K98=O98+P98-Q98,1&lt;2))),1,0),IF(AND(U98+V98-W98&gt;0,OR(U98+V98-W98&lt;O98+P98-Q98,AND(U98+V98-W98=O98+P98-Q98,3&lt;2))),1,0),IF(AND(AA98+AB98-AC98&gt;0,OR(AA98+AB98-AC98&lt;O98+P98-Q98,AND(AA98+AB98-AC98=O98+P98-Q98,4&lt;2))),1,0)))</x:f>
        <x:v>99</x:v>
      </x:c>
      <x:c r="S98" s="6" t="n">
        <x:f>IF('Debt strategy'!$C$16&gt;0,0,MIN(O98+P98-Q98,MAX(0,'Debt strategy'!$C$5-SUM(E98,K98,Q98,W98,AC98)-SUM(IF(F98&lt;R98,C98+D98-E98,0),IF(L98&lt;R98,I98+J98-K98,0),IF(X98&lt;R98,U98+V98-W98,0),IF(AD98&lt;R98,AA98+AB98-AC98,0)))))</x:f>
        <x:v>0</x:v>
      </x:c>
      <x:c r="T98" s="6" t="n">
        <x:f>ROUND(MAX(0,O98+P98-Q98-S98),2)</x:f>
        <x:v>0</x:v>
      </x:c>
      <x:c r="U98" s="6" t="n">
        <x:f>Z97</x:f>
        <x:v>0</x:v>
      </x:c>
      <x:c r="V98" s="6" t="n">
        <x:f>ROUND(U98*'Debt strategy'!$D$12/12,2)</x:f>
        <x:v>0</x:v>
      </x:c>
      <x:c r="W98" s="6" t="n">
        <x:f>MIN(U98+V98,'Debt strategy'!$E$12)</x:f>
        <x:v>0</x:v>
      </x:c>
      <x:c r="X98" s="27" t="n">
        <x:f>IF(U98+V98-W98&lt;=0,99,1+SUM(IF(AND(C98+D98-E98&gt;0,OR(C98+D98-E98&lt;U98+V98-W98,AND(C98+D98-E98=U98+V98-W98,0&lt;3))),1,0),IF(AND(I98+J98-K98&gt;0,OR(I98+J98-K98&lt;U98+V98-W98,AND(I98+J98-K98=U98+V98-W98,1&lt;3))),1,0),IF(AND(O98+P98-Q98&gt;0,OR(O98+P98-Q98&lt;U98+V98-W98,AND(O98+P98-Q98=U98+V98-W98,2&lt;3))),1,0),IF(AND(AA98+AB98-AC98&gt;0,OR(AA98+AB98-AC98&lt;U98+V98-W98,AND(AA98+AB98-AC98=U98+V98-W98,4&lt;3))),1,0)))</x:f>
        <x:v>99</x:v>
      </x:c>
      <x:c r="Y98" s="6" t="n">
        <x:f>IF('Debt strategy'!$C$16&gt;0,0,MIN(U98+V98-W98,MAX(0,'Debt strategy'!$C$5-SUM(E98,K98,Q98,W98,AC98)-SUM(IF(F98&lt;X98,C98+D98-E98,0),IF(L98&lt;X98,I98+J98-K98,0),IF(R98&lt;X98,O98+P98-Q98,0),IF(AD98&lt;X98,AA98+AB98-AC98,0)))))</x:f>
        <x:v>0</x:v>
      </x:c>
      <x:c r="Z98" s="6" t="n">
        <x:f>ROUND(MAX(0,U98+V98-W98-Y98),2)</x:f>
        <x:v>0</x:v>
      </x:c>
      <x:c r="AA98" s="6" t="n">
        <x:f>AF97</x:f>
        <x:v>0</x:v>
      </x:c>
      <x:c r="AB98" s="6" t="n">
        <x:f>ROUND(AA98*'Debt strategy'!$D$13/12,2)</x:f>
        <x:v>0</x:v>
      </x:c>
      <x:c r="AC98" s="6" t="n">
        <x:f>MIN(AA98+AB98,'Debt strategy'!$E$13)</x:f>
        <x:v>0</x:v>
      </x:c>
      <x:c r="AD98" s="27" t="n">
        <x:f>IF(AA98+AB98-AC98&lt;=0,99,1+SUM(IF(AND(C98+D98-E98&gt;0,OR(C98+D98-E98&lt;AA98+AB98-AC98,AND(C98+D98-E98=AA98+AB98-AC98,0&lt;4))),1,0),IF(AND(I98+J98-K98&gt;0,OR(I98+J98-K98&lt;AA98+AB98-AC98,AND(I98+J98-K98=AA98+AB98-AC98,1&lt;4))),1,0),IF(AND(O98+P98-Q98&gt;0,OR(O98+P98-Q98&lt;AA98+AB98-AC98,AND(O98+P98-Q98=AA98+AB98-AC98,2&lt;4))),1,0),IF(AND(U98+V98-W98&gt;0,OR(U98+V98-W98&lt;AA98+AB98-AC98,AND(U98+V98-W98=AA98+AB98-AC98,3&lt;4))),1,0)))</x:f>
        <x:v>99</x:v>
      </x:c>
      <x:c r="AE98" s="6" t="n">
        <x:f>IF('Debt strategy'!$C$16&gt;0,0,MIN(AA98+AB98-AC98,MAX(0,'Debt strategy'!$C$5-SUM(E98,K98,Q98,W98,AC98)-SUM(IF(F98&lt;AD98,C98+D98-E98,0),IF(L98&lt;AD98,I98+J98-K98,0),IF(R98&lt;AD98,O98+P98-Q98,0),IF(X98&lt;AD98,U98+V98-W98,0)))))</x:f>
        <x:v>0</x:v>
      </x:c>
      <x:c r="AF98" s="6" t="n">
        <x:f>ROUND(MAX(0,AA98+AB98-AC98-AE98),2)</x:f>
        <x:v>0</x:v>
      </x:c>
      <x:c r="AG98" s="6" t="n">
        <x:f>SUM(H98,N98,T98,Z98,AF98)</x:f>
        <x:v>0</x:v>
      </x:c>
      <x:c r="AH98" s="6" t="n">
        <x:f>SUM(D98,J98,P98,V98,AB98)+AH97</x:f>
        <x:v>1353.9499999999996</x:v>
      </x:c>
      <x:c r="AI98" s="2"/>
    </x:row>
    <x:row r="99" ht="23" customHeight="1">
      <x:c r="B99" s="2" t="n">
        <x:f>91</x:f>
        <x:v>91</x:v>
      </x:c>
      <x:c r="C99" s="6" t="n">
        <x:f>H98</x:f>
        <x:v>0</x:v>
      </x:c>
      <x:c r="D99" s="6" t="n">
        <x:f>ROUND(C99*'Debt strategy'!$D$9/12,2)</x:f>
        <x:v>0</x:v>
      </x:c>
      <x:c r="E99" s="6" t="n">
        <x:f>MIN(C99+D99,'Debt strategy'!$E$9)</x:f>
        <x:v>0</x:v>
      </x:c>
      <x:c r="F99" s="27" t="n">
        <x:f>IF(C99+D99-E99&lt;=0,99,1+SUM(IF(AND(I99+J99-K99&gt;0,OR(I99+J99-K99&lt;C99+D99-E99,AND(I99+J99-K99=C99+D99-E99,1&lt;0))),1,0),IF(AND(O99+P99-Q99&gt;0,OR(O99+P99-Q99&lt;C99+D99-E99,AND(O99+P99-Q99=C99+D99-E99,2&lt;0))),1,0),IF(AND(U99+V99-W99&gt;0,OR(U99+V99-W99&lt;C99+D99-E99,AND(U99+V99-W99=C99+D99-E99,3&lt;0))),1,0),IF(AND(AA99+AB99-AC99&gt;0,OR(AA99+AB99-AC99&lt;C99+D99-E99,AND(AA99+AB99-AC99=C99+D99-E99,4&lt;0))),1,0)))</x:f>
        <x:v>99</x:v>
      </x:c>
      <x:c r="G99" s="6" t="n">
        <x:f>IF('Debt strategy'!$C$16&gt;0,0,MIN(C99+D99-E99,MAX(0,'Debt strategy'!$C$5-SUM(E99,K99,Q99,W99,AC99)-SUM(IF(L99&lt;F99,I99+J99-K99,0),IF(R99&lt;F99,O99+P99-Q99,0),IF(X99&lt;F99,U99+V99-W99,0),IF(AD99&lt;F99,AA99+AB99-AC99,0)))))</x:f>
        <x:v>0</x:v>
      </x:c>
      <x:c r="H99" s="6" t="n">
        <x:f>ROUND(MAX(0,C99+D99-E99-G99),2)</x:f>
        <x:v>0</x:v>
      </x:c>
      <x:c r="I99" s="6" t="n">
        <x:f>N98</x:f>
        <x:v>0</x:v>
      </x:c>
      <x:c r="J99" s="6" t="n">
        <x:f>ROUND(I99*'Debt strategy'!$D$10/12,2)</x:f>
        <x:v>0</x:v>
      </x:c>
      <x:c r="K99" s="6" t="n">
        <x:f>MIN(I99+J99,'Debt strategy'!$E$10)</x:f>
        <x:v>0</x:v>
      </x:c>
      <x:c r="L99" s="27" t="n">
        <x:f>IF(I99+J99-K99&lt;=0,99,1+SUM(IF(AND(C99+D99-E99&gt;0,OR(C99+D99-E99&lt;I99+J99-K99,AND(C99+D99-E99=I99+J99-K99,0&lt;1))),1,0),IF(AND(O99+P99-Q99&gt;0,OR(O99+P99-Q99&lt;I99+J99-K99,AND(O99+P99-Q99=I99+J99-K99,2&lt;1))),1,0),IF(AND(U99+V99-W99&gt;0,OR(U99+V99-W99&lt;I99+J99-K99,AND(U99+V99-W99=I99+J99-K99,3&lt;1))),1,0),IF(AND(AA99+AB99-AC99&gt;0,OR(AA99+AB99-AC99&lt;I99+J99-K99,AND(AA99+AB99-AC99=I99+J99-K99,4&lt;1))),1,0)))</x:f>
        <x:v>99</x:v>
      </x:c>
      <x:c r="M99" s="6" t="n">
        <x:f>IF('Debt strategy'!$C$16&gt;0,0,MIN(I99+J99-K99,MAX(0,'Debt strategy'!$C$5-SUM(E99,K99,Q99,W99,AC99)-SUM(IF(F99&lt;L99,C99+D99-E99,0),IF(R99&lt;L99,O99+P99-Q99,0),IF(X99&lt;L99,U99+V99-W99,0),IF(AD99&lt;L99,AA99+AB99-AC99,0)))))</x:f>
        <x:v>0</x:v>
      </x:c>
      <x:c r="N99" s="6" t="n">
        <x:f>ROUND(MAX(0,I99+J99-K99-M99),2)</x:f>
        <x:v>0</x:v>
      </x:c>
      <x:c r="O99" s="6" t="n">
        <x:f>T98</x:f>
        <x:v>0</x:v>
      </x:c>
      <x:c r="P99" s="6" t="n">
        <x:f>ROUND(O99*'Debt strategy'!$D$11/12,2)</x:f>
        <x:v>0</x:v>
      </x:c>
      <x:c r="Q99" s="6" t="n">
        <x:f>MIN(O99+P99,'Debt strategy'!$E$11)</x:f>
        <x:v>0</x:v>
      </x:c>
      <x:c r="R99" s="27" t="n">
        <x:f>IF(O99+P99-Q99&lt;=0,99,1+SUM(IF(AND(C99+D99-E99&gt;0,OR(C99+D99-E99&lt;O99+P99-Q99,AND(C99+D99-E99=O99+P99-Q99,0&lt;2))),1,0),IF(AND(I99+J99-K99&gt;0,OR(I99+J99-K99&lt;O99+P99-Q99,AND(I99+J99-K99=O99+P99-Q99,1&lt;2))),1,0),IF(AND(U99+V99-W99&gt;0,OR(U99+V99-W99&lt;O99+P99-Q99,AND(U99+V99-W99=O99+P99-Q99,3&lt;2))),1,0),IF(AND(AA99+AB99-AC99&gt;0,OR(AA99+AB99-AC99&lt;O99+P99-Q99,AND(AA99+AB99-AC99=O99+P99-Q99,4&lt;2))),1,0)))</x:f>
        <x:v>99</x:v>
      </x:c>
      <x:c r="S99" s="6" t="n">
        <x:f>IF('Debt strategy'!$C$16&gt;0,0,MIN(O99+P99-Q99,MAX(0,'Debt strategy'!$C$5-SUM(E99,K99,Q99,W99,AC99)-SUM(IF(F99&lt;R99,C99+D99-E99,0),IF(L99&lt;R99,I99+J99-K99,0),IF(X99&lt;R99,U99+V99-W99,0),IF(AD99&lt;R99,AA99+AB99-AC99,0)))))</x:f>
        <x:v>0</x:v>
      </x:c>
      <x:c r="T99" s="6" t="n">
        <x:f>ROUND(MAX(0,O99+P99-Q99-S99),2)</x:f>
        <x:v>0</x:v>
      </x:c>
      <x:c r="U99" s="6" t="n">
        <x:f>Z98</x:f>
        <x:v>0</x:v>
      </x:c>
      <x:c r="V99" s="6" t="n">
        <x:f>ROUND(U99*'Debt strategy'!$D$12/12,2)</x:f>
        <x:v>0</x:v>
      </x:c>
      <x:c r="W99" s="6" t="n">
        <x:f>MIN(U99+V99,'Debt strategy'!$E$12)</x:f>
        <x:v>0</x:v>
      </x:c>
      <x:c r="X99" s="27" t="n">
        <x:f>IF(U99+V99-W99&lt;=0,99,1+SUM(IF(AND(C99+D99-E99&gt;0,OR(C99+D99-E99&lt;U99+V99-W99,AND(C99+D99-E99=U99+V99-W99,0&lt;3))),1,0),IF(AND(I99+J99-K99&gt;0,OR(I99+J99-K99&lt;U99+V99-W99,AND(I99+J99-K99=U99+V99-W99,1&lt;3))),1,0),IF(AND(O99+P99-Q99&gt;0,OR(O99+P99-Q99&lt;U99+V99-W99,AND(O99+P99-Q99=U99+V99-W99,2&lt;3))),1,0),IF(AND(AA99+AB99-AC99&gt;0,OR(AA99+AB99-AC99&lt;U99+V99-W99,AND(AA99+AB99-AC99=U99+V99-W99,4&lt;3))),1,0)))</x:f>
        <x:v>99</x:v>
      </x:c>
      <x:c r="Y99" s="6" t="n">
        <x:f>IF('Debt strategy'!$C$16&gt;0,0,MIN(U99+V99-W99,MAX(0,'Debt strategy'!$C$5-SUM(E99,K99,Q99,W99,AC99)-SUM(IF(F99&lt;X99,C99+D99-E99,0),IF(L99&lt;X99,I99+J99-K99,0),IF(R99&lt;X99,O99+P99-Q99,0),IF(AD99&lt;X99,AA99+AB99-AC99,0)))))</x:f>
        <x:v>0</x:v>
      </x:c>
      <x:c r="Z99" s="6" t="n">
        <x:f>ROUND(MAX(0,U99+V99-W99-Y99),2)</x:f>
        <x:v>0</x:v>
      </x:c>
      <x:c r="AA99" s="6" t="n">
        <x:f>AF98</x:f>
        <x:v>0</x:v>
      </x:c>
      <x:c r="AB99" s="6" t="n">
        <x:f>ROUND(AA99*'Debt strategy'!$D$13/12,2)</x:f>
        <x:v>0</x:v>
      </x:c>
      <x:c r="AC99" s="6" t="n">
        <x:f>MIN(AA99+AB99,'Debt strategy'!$E$13)</x:f>
        <x:v>0</x:v>
      </x:c>
      <x:c r="AD99" s="27" t="n">
        <x:f>IF(AA99+AB99-AC99&lt;=0,99,1+SUM(IF(AND(C99+D99-E99&gt;0,OR(C99+D99-E99&lt;AA99+AB99-AC99,AND(C99+D99-E99=AA99+AB99-AC99,0&lt;4))),1,0),IF(AND(I99+J99-K99&gt;0,OR(I99+J99-K99&lt;AA99+AB99-AC99,AND(I99+J99-K99=AA99+AB99-AC99,1&lt;4))),1,0),IF(AND(O99+P99-Q99&gt;0,OR(O99+P99-Q99&lt;AA99+AB99-AC99,AND(O99+P99-Q99=AA99+AB99-AC99,2&lt;4))),1,0),IF(AND(U99+V99-W99&gt;0,OR(U99+V99-W99&lt;AA99+AB99-AC99,AND(U99+V99-W99=AA99+AB99-AC99,3&lt;4))),1,0)))</x:f>
        <x:v>99</x:v>
      </x:c>
      <x:c r="AE99" s="6" t="n">
        <x:f>IF('Debt strategy'!$C$16&gt;0,0,MIN(AA99+AB99-AC99,MAX(0,'Debt strategy'!$C$5-SUM(E99,K99,Q99,W99,AC99)-SUM(IF(F99&lt;AD99,C99+D99-E99,0),IF(L99&lt;AD99,I99+J99-K99,0),IF(R99&lt;AD99,O99+P99-Q99,0),IF(X99&lt;AD99,U99+V99-W99,0)))))</x:f>
        <x:v>0</x:v>
      </x:c>
      <x:c r="AF99" s="6" t="n">
        <x:f>ROUND(MAX(0,AA99+AB99-AC99-AE99),2)</x:f>
        <x:v>0</x:v>
      </x:c>
      <x:c r="AG99" s="6" t="n">
        <x:f>SUM(H99,N99,T99,Z99,AF99)</x:f>
        <x:v>0</x:v>
      </x:c>
      <x:c r="AH99" s="6" t="n">
        <x:f>SUM(D99,J99,P99,V99,AB99)+AH98</x:f>
        <x:v>1353.9499999999996</x:v>
      </x:c>
      <x:c r="AI99" s="2"/>
    </x:row>
    <x:row r="100" ht="23" customHeight="1">
      <x:c r="B100" s="2" t="n">
        <x:f>92</x:f>
        <x:v>92</x:v>
      </x:c>
      <x:c r="C100" s="6" t="n">
        <x:f>H99</x:f>
        <x:v>0</x:v>
      </x:c>
      <x:c r="D100" s="6" t="n">
        <x:f>ROUND(C100*'Debt strategy'!$D$9/12,2)</x:f>
        <x:v>0</x:v>
      </x:c>
      <x:c r="E100" s="6" t="n">
        <x:f>MIN(C100+D100,'Debt strategy'!$E$9)</x:f>
        <x:v>0</x:v>
      </x:c>
      <x:c r="F100" s="27" t="n">
        <x:f>IF(C100+D100-E100&lt;=0,99,1+SUM(IF(AND(I100+J100-K100&gt;0,OR(I100+J100-K100&lt;C100+D100-E100,AND(I100+J100-K100=C100+D100-E100,1&lt;0))),1,0),IF(AND(O100+P100-Q100&gt;0,OR(O100+P100-Q100&lt;C100+D100-E100,AND(O100+P100-Q100=C100+D100-E100,2&lt;0))),1,0),IF(AND(U100+V100-W100&gt;0,OR(U100+V100-W100&lt;C100+D100-E100,AND(U100+V100-W100=C100+D100-E100,3&lt;0))),1,0),IF(AND(AA100+AB100-AC100&gt;0,OR(AA100+AB100-AC100&lt;C100+D100-E100,AND(AA100+AB100-AC100=C100+D100-E100,4&lt;0))),1,0)))</x:f>
        <x:v>99</x:v>
      </x:c>
      <x:c r="G100" s="6" t="n">
        <x:f>IF('Debt strategy'!$C$16&gt;0,0,MIN(C100+D100-E100,MAX(0,'Debt strategy'!$C$5-SUM(E100,K100,Q100,W100,AC100)-SUM(IF(L100&lt;F100,I100+J100-K100,0),IF(R100&lt;F100,O100+P100-Q100,0),IF(X100&lt;F100,U100+V100-W100,0),IF(AD100&lt;F100,AA100+AB100-AC100,0)))))</x:f>
        <x:v>0</x:v>
      </x:c>
      <x:c r="H100" s="6" t="n">
        <x:f>ROUND(MAX(0,C100+D100-E100-G100),2)</x:f>
        <x:v>0</x:v>
      </x:c>
      <x:c r="I100" s="6" t="n">
        <x:f>N99</x:f>
        <x:v>0</x:v>
      </x:c>
      <x:c r="J100" s="6" t="n">
        <x:f>ROUND(I100*'Debt strategy'!$D$10/12,2)</x:f>
        <x:v>0</x:v>
      </x:c>
      <x:c r="K100" s="6" t="n">
        <x:f>MIN(I100+J100,'Debt strategy'!$E$10)</x:f>
        <x:v>0</x:v>
      </x:c>
      <x:c r="L100" s="27" t="n">
        <x:f>IF(I100+J100-K100&lt;=0,99,1+SUM(IF(AND(C100+D100-E100&gt;0,OR(C100+D100-E100&lt;I100+J100-K100,AND(C100+D100-E100=I100+J100-K100,0&lt;1))),1,0),IF(AND(O100+P100-Q100&gt;0,OR(O100+P100-Q100&lt;I100+J100-K100,AND(O100+P100-Q100=I100+J100-K100,2&lt;1))),1,0),IF(AND(U100+V100-W100&gt;0,OR(U100+V100-W100&lt;I100+J100-K100,AND(U100+V100-W100=I100+J100-K100,3&lt;1))),1,0),IF(AND(AA100+AB100-AC100&gt;0,OR(AA100+AB100-AC100&lt;I100+J100-K100,AND(AA100+AB100-AC100=I100+J100-K100,4&lt;1))),1,0)))</x:f>
        <x:v>99</x:v>
      </x:c>
      <x:c r="M100" s="6" t="n">
        <x:f>IF('Debt strategy'!$C$16&gt;0,0,MIN(I100+J100-K100,MAX(0,'Debt strategy'!$C$5-SUM(E100,K100,Q100,W100,AC100)-SUM(IF(F100&lt;L100,C100+D100-E100,0),IF(R100&lt;L100,O100+P100-Q100,0),IF(X100&lt;L100,U100+V100-W100,0),IF(AD100&lt;L100,AA100+AB100-AC100,0)))))</x:f>
        <x:v>0</x:v>
      </x:c>
      <x:c r="N100" s="6" t="n">
        <x:f>ROUND(MAX(0,I100+J100-K100-M100),2)</x:f>
        <x:v>0</x:v>
      </x:c>
      <x:c r="O100" s="6" t="n">
        <x:f>T99</x:f>
        <x:v>0</x:v>
      </x:c>
      <x:c r="P100" s="6" t="n">
        <x:f>ROUND(O100*'Debt strategy'!$D$11/12,2)</x:f>
        <x:v>0</x:v>
      </x:c>
      <x:c r="Q100" s="6" t="n">
        <x:f>MIN(O100+P100,'Debt strategy'!$E$11)</x:f>
        <x:v>0</x:v>
      </x:c>
      <x:c r="R100" s="27" t="n">
        <x:f>IF(O100+P100-Q100&lt;=0,99,1+SUM(IF(AND(C100+D100-E100&gt;0,OR(C100+D100-E100&lt;O100+P100-Q100,AND(C100+D100-E100=O100+P100-Q100,0&lt;2))),1,0),IF(AND(I100+J100-K100&gt;0,OR(I100+J100-K100&lt;O100+P100-Q100,AND(I100+J100-K100=O100+P100-Q100,1&lt;2))),1,0),IF(AND(U100+V100-W100&gt;0,OR(U100+V100-W100&lt;O100+P100-Q100,AND(U100+V100-W100=O100+P100-Q100,3&lt;2))),1,0),IF(AND(AA100+AB100-AC100&gt;0,OR(AA100+AB100-AC100&lt;O100+P100-Q100,AND(AA100+AB100-AC100=O100+P100-Q100,4&lt;2))),1,0)))</x:f>
        <x:v>99</x:v>
      </x:c>
      <x:c r="S100" s="6" t="n">
        <x:f>IF('Debt strategy'!$C$16&gt;0,0,MIN(O100+P100-Q100,MAX(0,'Debt strategy'!$C$5-SUM(E100,K100,Q100,W100,AC100)-SUM(IF(F100&lt;R100,C100+D100-E100,0),IF(L100&lt;R100,I100+J100-K100,0),IF(X100&lt;R100,U100+V100-W100,0),IF(AD100&lt;R100,AA100+AB100-AC100,0)))))</x:f>
        <x:v>0</x:v>
      </x:c>
      <x:c r="T100" s="6" t="n">
        <x:f>ROUND(MAX(0,O100+P100-Q100-S100),2)</x:f>
        <x:v>0</x:v>
      </x:c>
      <x:c r="U100" s="6" t="n">
        <x:f>Z99</x:f>
        <x:v>0</x:v>
      </x:c>
      <x:c r="V100" s="6" t="n">
        <x:f>ROUND(U100*'Debt strategy'!$D$12/12,2)</x:f>
        <x:v>0</x:v>
      </x:c>
      <x:c r="W100" s="6" t="n">
        <x:f>MIN(U100+V100,'Debt strategy'!$E$12)</x:f>
        <x:v>0</x:v>
      </x:c>
      <x:c r="X100" s="27" t="n">
        <x:f>IF(U100+V100-W100&lt;=0,99,1+SUM(IF(AND(C100+D100-E100&gt;0,OR(C100+D100-E100&lt;U100+V100-W100,AND(C100+D100-E100=U100+V100-W100,0&lt;3))),1,0),IF(AND(I100+J100-K100&gt;0,OR(I100+J100-K100&lt;U100+V100-W100,AND(I100+J100-K100=U100+V100-W100,1&lt;3))),1,0),IF(AND(O100+P100-Q100&gt;0,OR(O100+P100-Q100&lt;U100+V100-W100,AND(O100+P100-Q100=U100+V100-W100,2&lt;3))),1,0),IF(AND(AA100+AB100-AC100&gt;0,OR(AA100+AB100-AC100&lt;U100+V100-W100,AND(AA100+AB100-AC100=U100+V100-W100,4&lt;3))),1,0)))</x:f>
        <x:v>99</x:v>
      </x:c>
      <x:c r="Y100" s="6" t="n">
        <x:f>IF('Debt strategy'!$C$16&gt;0,0,MIN(U100+V100-W100,MAX(0,'Debt strategy'!$C$5-SUM(E100,K100,Q100,W100,AC100)-SUM(IF(F100&lt;X100,C100+D100-E100,0),IF(L100&lt;X100,I100+J100-K100,0),IF(R100&lt;X100,O100+P100-Q100,0),IF(AD100&lt;X100,AA100+AB100-AC100,0)))))</x:f>
        <x:v>0</x:v>
      </x:c>
      <x:c r="Z100" s="6" t="n">
        <x:f>ROUND(MAX(0,U100+V100-W100-Y100),2)</x:f>
        <x:v>0</x:v>
      </x:c>
      <x:c r="AA100" s="6" t="n">
        <x:f>AF99</x:f>
        <x:v>0</x:v>
      </x:c>
      <x:c r="AB100" s="6" t="n">
        <x:f>ROUND(AA100*'Debt strategy'!$D$13/12,2)</x:f>
        <x:v>0</x:v>
      </x:c>
      <x:c r="AC100" s="6" t="n">
        <x:f>MIN(AA100+AB100,'Debt strategy'!$E$13)</x:f>
        <x:v>0</x:v>
      </x:c>
      <x:c r="AD100" s="27" t="n">
        <x:f>IF(AA100+AB100-AC100&lt;=0,99,1+SUM(IF(AND(C100+D100-E100&gt;0,OR(C100+D100-E100&lt;AA100+AB100-AC100,AND(C100+D100-E100=AA100+AB100-AC100,0&lt;4))),1,0),IF(AND(I100+J100-K100&gt;0,OR(I100+J100-K100&lt;AA100+AB100-AC100,AND(I100+J100-K100=AA100+AB100-AC100,1&lt;4))),1,0),IF(AND(O100+P100-Q100&gt;0,OR(O100+P100-Q100&lt;AA100+AB100-AC100,AND(O100+P100-Q100=AA100+AB100-AC100,2&lt;4))),1,0),IF(AND(U100+V100-W100&gt;0,OR(U100+V100-W100&lt;AA100+AB100-AC100,AND(U100+V100-W100=AA100+AB100-AC100,3&lt;4))),1,0)))</x:f>
        <x:v>99</x:v>
      </x:c>
      <x:c r="AE100" s="6" t="n">
        <x:f>IF('Debt strategy'!$C$16&gt;0,0,MIN(AA100+AB100-AC100,MAX(0,'Debt strategy'!$C$5-SUM(E100,K100,Q100,W100,AC100)-SUM(IF(F100&lt;AD100,C100+D100-E100,0),IF(L100&lt;AD100,I100+J100-K100,0),IF(R100&lt;AD100,O100+P100-Q100,0),IF(X100&lt;AD100,U100+V100-W100,0)))))</x:f>
        <x:v>0</x:v>
      </x:c>
      <x:c r="AF100" s="6" t="n">
        <x:f>ROUND(MAX(0,AA100+AB100-AC100-AE100),2)</x:f>
        <x:v>0</x:v>
      </x:c>
      <x:c r="AG100" s="6" t="n">
        <x:f>SUM(H100,N100,T100,Z100,AF100)</x:f>
        <x:v>0</x:v>
      </x:c>
      <x:c r="AH100" s="6" t="n">
        <x:f>SUM(D100,J100,P100,V100,AB100)+AH99</x:f>
        <x:v>1353.9499999999996</x:v>
      </x:c>
      <x:c r="AI100" s="2"/>
    </x:row>
    <x:row r="101" ht="23" customHeight="1">
      <x:c r="B101" s="2" t="n">
        <x:f>93</x:f>
        <x:v>93</x:v>
      </x:c>
      <x:c r="C101" s="6" t="n">
        <x:f>H100</x:f>
        <x:v>0</x:v>
      </x:c>
      <x:c r="D101" s="6" t="n">
        <x:f>ROUND(C101*'Debt strategy'!$D$9/12,2)</x:f>
        <x:v>0</x:v>
      </x:c>
      <x:c r="E101" s="6" t="n">
        <x:f>MIN(C101+D101,'Debt strategy'!$E$9)</x:f>
        <x:v>0</x:v>
      </x:c>
      <x:c r="F101" s="27" t="n">
        <x:f>IF(C101+D101-E101&lt;=0,99,1+SUM(IF(AND(I101+J101-K101&gt;0,OR(I101+J101-K101&lt;C101+D101-E101,AND(I101+J101-K101=C101+D101-E101,1&lt;0))),1,0),IF(AND(O101+P101-Q101&gt;0,OR(O101+P101-Q101&lt;C101+D101-E101,AND(O101+P101-Q101=C101+D101-E101,2&lt;0))),1,0),IF(AND(U101+V101-W101&gt;0,OR(U101+V101-W101&lt;C101+D101-E101,AND(U101+V101-W101=C101+D101-E101,3&lt;0))),1,0),IF(AND(AA101+AB101-AC101&gt;0,OR(AA101+AB101-AC101&lt;C101+D101-E101,AND(AA101+AB101-AC101=C101+D101-E101,4&lt;0))),1,0)))</x:f>
        <x:v>99</x:v>
      </x:c>
      <x:c r="G101" s="6" t="n">
        <x:f>IF('Debt strategy'!$C$16&gt;0,0,MIN(C101+D101-E101,MAX(0,'Debt strategy'!$C$5-SUM(E101,K101,Q101,W101,AC101)-SUM(IF(L101&lt;F101,I101+J101-K101,0),IF(R101&lt;F101,O101+P101-Q101,0),IF(X101&lt;F101,U101+V101-W101,0),IF(AD101&lt;F101,AA101+AB101-AC101,0)))))</x:f>
        <x:v>0</x:v>
      </x:c>
      <x:c r="H101" s="6" t="n">
        <x:f>ROUND(MAX(0,C101+D101-E101-G101),2)</x:f>
        <x:v>0</x:v>
      </x:c>
      <x:c r="I101" s="6" t="n">
        <x:f>N100</x:f>
        <x:v>0</x:v>
      </x:c>
      <x:c r="J101" s="6" t="n">
        <x:f>ROUND(I101*'Debt strategy'!$D$10/12,2)</x:f>
        <x:v>0</x:v>
      </x:c>
      <x:c r="K101" s="6" t="n">
        <x:f>MIN(I101+J101,'Debt strategy'!$E$10)</x:f>
        <x:v>0</x:v>
      </x:c>
      <x:c r="L101" s="27" t="n">
        <x:f>IF(I101+J101-K101&lt;=0,99,1+SUM(IF(AND(C101+D101-E101&gt;0,OR(C101+D101-E101&lt;I101+J101-K101,AND(C101+D101-E101=I101+J101-K101,0&lt;1))),1,0),IF(AND(O101+P101-Q101&gt;0,OR(O101+P101-Q101&lt;I101+J101-K101,AND(O101+P101-Q101=I101+J101-K101,2&lt;1))),1,0),IF(AND(U101+V101-W101&gt;0,OR(U101+V101-W101&lt;I101+J101-K101,AND(U101+V101-W101=I101+J101-K101,3&lt;1))),1,0),IF(AND(AA101+AB101-AC101&gt;0,OR(AA101+AB101-AC101&lt;I101+J101-K101,AND(AA101+AB101-AC101=I101+J101-K101,4&lt;1))),1,0)))</x:f>
        <x:v>99</x:v>
      </x:c>
      <x:c r="M101" s="6" t="n">
        <x:f>IF('Debt strategy'!$C$16&gt;0,0,MIN(I101+J101-K101,MAX(0,'Debt strategy'!$C$5-SUM(E101,K101,Q101,W101,AC101)-SUM(IF(F101&lt;L101,C101+D101-E101,0),IF(R101&lt;L101,O101+P101-Q101,0),IF(X101&lt;L101,U101+V101-W101,0),IF(AD101&lt;L101,AA101+AB101-AC101,0)))))</x:f>
        <x:v>0</x:v>
      </x:c>
      <x:c r="N101" s="6" t="n">
        <x:f>ROUND(MAX(0,I101+J101-K101-M101),2)</x:f>
        <x:v>0</x:v>
      </x:c>
      <x:c r="O101" s="6" t="n">
        <x:f>T100</x:f>
        <x:v>0</x:v>
      </x:c>
      <x:c r="P101" s="6" t="n">
        <x:f>ROUND(O101*'Debt strategy'!$D$11/12,2)</x:f>
        <x:v>0</x:v>
      </x:c>
      <x:c r="Q101" s="6" t="n">
        <x:f>MIN(O101+P101,'Debt strategy'!$E$11)</x:f>
        <x:v>0</x:v>
      </x:c>
      <x:c r="R101" s="27" t="n">
        <x:f>IF(O101+P101-Q101&lt;=0,99,1+SUM(IF(AND(C101+D101-E101&gt;0,OR(C101+D101-E101&lt;O101+P101-Q101,AND(C101+D101-E101=O101+P101-Q101,0&lt;2))),1,0),IF(AND(I101+J101-K101&gt;0,OR(I101+J101-K101&lt;O101+P101-Q101,AND(I101+J101-K101=O101+P101-Q101,1&lt;2))),1,0),IF(AND(U101+V101-W101&gt;0,OR(U101+V101-W101&lt;O101+P101-Q101,AND(U101+V101-W101=O101+P101-Q101,3&lt;2))),1,0),IF(AND(AA101+AB101-AC101&gt;0,OR(AA101+AB101-AC101&lt;O101+P101-Q101,AND(AA101+AB101-AC101=O101+P101-Q101,4&lt;2))),1,0)))</x:f>
        <x:v>99</x:v>
      </x:c>
      <x:c r="S101" s="6" t="n">
        <x:f>IF('Debt strategy'!$C$16&gt;0,0,MIN(O101+P101-Q101,MAX(0,'Debt strategy'!$C$5-SUM(E101,K101,Q101,W101,AC101)-SUM(IF(F101&lt;R101,C101+D101-E101,0),IF(L101&lt;R101,I101+J101-K101,0),IF(X101&lt;R101,U101+V101-W101,0),IF(AD101&lt;R101,AA101+AB101-AC101,0)))))</x:f>
        <x:v>0</x:v>
      </x:c>
      <x:c r="T101" s="6" t="n">
        <x:f>ROUND(MAX(0,O101+P101-Q101-S101),2)</x:f>
        <x:v>0</x:v>
      </x:c>
      <x:c r="U101" s="6" t="n">
        <x:f>Z100</x:f>
        <x:v>0</x:v>
      </x:c>
      <x:c r="V101" s="6" t="n">
        <x:f>ROUND(U101*'Debt strategy'!$D$12/12,2)</x:f>
        <x:v>0</x:v>
      </x:c>
      <x:c r="W101" s="6" t="n">
        <x:f>MIN(U101+V101,'Debt strategy'!$E$12)</x:f>
        <x:v>0</x:v>
      </x:c>
      <x:c r="X101" s="27" t="n">
        <x:f>IF(U101+V101-W101&lt;=0,99,1+SUM(IF(AND(C101+D101-E101&gt;0,OR(C101+D101-E101&lt;U101+V101-W101,AND(C101+D101-E101=U101+V101-W101,0&lt;3))),1,0),IF(AND(I101+J101-K101&gt;0,OR(I101+J101-K101&lt;U101+V101-W101,AND(I101+J101-K101=U101+V101-W101,1&lt;3))),1,0),IF(AND(O101+P101-Q101&gt;0,OR(O101+P101-Q101&lt;U101+V101-W101,AND(O101+P101-Q101=U101+V101-W101,2&lt;3))),1,0),IF(AND(AA101+AB101-AC101&gt;0,OR(AA101+AB101-AC101&lt;U101+V101-W101,AND(AA101+AB101-AC101=U101+V101-W101,4&lt;3))),1,0)))</x:f>
        <x:v>99</x:v>
      </x:c>
      <x:c r="Y101" s="6" t="n">
        <x:f>IF('Debt strategy'!$C$16&gt;0,0,MIN(U101+V101-W101,MAX(0,'Debt strategy'!$C$5-SUM(E101,K101,Q101,W101,AC101)-SUM(IF(F101&lt;X101,C101+D101-E101,0),IF(L101&lt;X101,I101+J101-K101,0),IF(R101&lt;X101,O101+P101-Q101,0),IF(AD101&lt;X101,AA101+AB101-AC101,0)))))</x:f>
        <x:v>0</x:v>
      </x:c>
      <x:c r="Z101" s="6" t="n">
        <x:f>ROUND(MAX(0,U101+V101-W101-Y101),2)</x:f>
        <x:v>0</x:v>
      </x:c>
      <x:c r="AA101" s="6" t="n">
        <x:f>AF100</x:f>
        <x:v>0</x:v>
      </x:c>
      <x:c r="AB101" s="6" t="n">
        <x:f>ROUND(AA101*'Debt strategy'!$D$13/12,2)</x:f>
        <x:v>0</x:v>
      </x:c>
      <x:c r="AC101" s="6" t="n">
        <x:f>MIN(AA101+AB101,'Debt strategy'!$E$13)</x:f>
        <x:v>0</x:v>
      </x:c>
      <x:c r="AD101" s="27" t="n">
        <x:f>IF(AA101+AB101-AC101&lt;=0,99,1+SUM(IF(AND(C101+D101-E101&gt;0,OR(C101+D101-E101&lt;AA101+AB101-AC101,AND(C101+D101-E101=AA101+AB101-AC101,0&lt;4))),1,0),IF(AND(I101+J101-K101&gt;0,OR(I101+J101-K101&lt;AA101+AB101-AC101,AND(I101+J101-K101=AA101+AB101-AC101,1&lt;4))),1,0),IF(AND(O101+P101-Q101&gt;0,OR(O101+P101-Q101&lt;AA101+AB101-AC101,AND(O101+P101-Q101=AA101+AB101-AC101,2&lt;4))),1,0),IF(AND(U101+V101-W101&gt;0,OR(U101+V101-W101&lt;AA101+AB101-AC101,AND(U101+V101-W101=AA101+AB101-AC101,3&lt;4))),1,0)))</x:f>
        <x:v>99</x:v>
      </x:c>
      <x:c r="AE101" s="6" t="n">
        <x:f>IF('Debt strategy'!$C$16&gt;0,0,MIN(AA101+AB101-AC101,MAX(0,'Debt strategy'!$C$5-SUM(E101,K101,Q101,W101,AC101)-SUM(IF(F101&lt;AD101,C101+D101-E101,0),IF(L101&lt;AD101,I101+J101-K101,0),IF(R101&lt;AD101,O101+P101-Q101,0),IF(X101&lt;AD101,U101+V101-W101,0)))))</x:f>
        <x:v>0</x:v>
      </x:c>
      <x:c r="AF101" s="6" t="n">
        <x:f>ROUND(MAX(0,AA101+AB101-AC101-AE101),2)</x:f>
        <x:v>0</x:v>
      </x:c>
      <x:c r="AG101" s="6" t="n">
        <x:f>SUM(H101,N101,T101,Z101,AF101)</x:f>
        <x:v>0</x:v>
      </x:c>
      <x:c r="AH101" s="6" t="n">
        <x:f>SUM(D101,J101,P101,V101,AB101)+AH100</x:f>
        <x:v>1353.9499999999996</x:v>
      </x:c>
      <x:c r="AI101" s="2"/>
    </x:row>
    <x:row r="102" ht="23" customHeight="1">
      <x:c r="B102" s="2" t="n">
        <x:f>94</x:f>
        <x:v>94</x:v>
      </x:c>
      <x:c r="C102" s="6" t="n">
        <x:f>H101</x:f>
        <x:v>0</x:v>
      </x:c>
      <x:c r="D102" s="6" t="n">
        <x:f>ROUND(C102*'Debt strategy'!$D$9/12,2)</x:f>
        <x:v>0</x:v>
      </x:c>
      <x:c r="E102" s="6" t="n">
        <x:f>MIN(C102+D102,'Debt strategy'!$E$9)</x:f>
        <x:v>0</x:v>
      </x:c>
      <x:c r="F102" s="27" t="n">
        <x:f>IF(C102+D102-E102&lt;=0,99,1+SUM(IF(AND(I102+J102-K102&gt;0,OR(I102+J102-K102&lt;C102+D102-E102,AND(I102+J102-K102=C102+D102-E102,1&lt;0))),1,0),IF(AND(O102+P102-Q102&gt;0,OR(O102+P102-Q102&lt;C102+D102-E102,AND(O102+P102-Q102=C102+D102-E102,2&lt;0))),1,0),IF(AND(U102+V102-W102&gt;0,OR(U102+V102-W102&lt;C102+D102-E102,AND(U102+V102-W102=C102+D102-E102,3&lt;0))),1,0),IF(AND(AA102+AB102-AC102&gt;0,OR(AA102+AB102-AC102&lt;C102+D102-E102,AND(AA102+AB102-AC102=C102+D102-E102,4&lt;0))),1,0)))</x:f>
        <x:v>99</x:v>
      </x:c>
      <x:c r="G102" s="6" t="n">
        <x:f>IF('Debt strategy'!$C$16&gt;0,0,MIN(C102+D102-E102,MAX(0,'Debt strategy'!$C$5-SUM(E102,K102,Q102,W102,AC102)-SUM(IF(L102&lt;F102,I102+J102-K102,0),IF(R102&lt;F102,O102+P102-Q102,0),IF(X102&lt;F102,U102+V102-W102,0),IF(AD102&lt;F102,AA102+AB102-AC102,0)))))</x:f>
        <x:v>0</x:v>
      </x:c>
      <x:c r="H102" s="6" t="n">
        <x:f>ROUND(MAX(0,C102+D102-E102-G102),2)</x:f>
        <x:v>0</x:v>
      </x:c>
      <x:c r="I102" s="6" t="n">
        <x:f>N101</x:f>
        <x:v>0</x:v>
      </x:c>
      <x:c r="J102" s="6" t="n">
        <x:f>ROUND(I102*'Debt strategy'!$D$10/12,2)</x:f>
        <x:v>0</x:v>
      </x:c>
      <x:c r="K102" s="6" t="n">
        <x:f>MIN(I102+J102,'Debt strategy'!$E$10)</x:f>
        <x:v>0</x:v>
      </x:c>
      <x:c r="L102" s="27" t="n">
        <x:f>IF(I102+J102-K102&lt;=0,99,1+SUM(IF(AND(C102+D102-E102&gt;0,OR(C102+D102-E102&lt;I102+J102-K102,AND(C102+D102-E102=I102+J102-K102,0&lt;1))),1,0),IF(AND(O102+P102-Q102&gt;0,OR(O102+P102-Q102&lt;I102+J102-K102,AND(O102+P102-Q102=I102+J102-K102,2&lt;1))),1,0),IF(AND(U102+V102-W102&gt;0,OR(U102+V102-W102&lt;I102+J102-K102,AND(U102+V102-W102=I102+J102-K102,3&lt;1))),1,0),IF(AND(AA102+AB102-AC102&gt;0,OR(AA102+AB102-AC102&lt;I102+J102-K102,AND(AA102+AB102-AC102=I102+J102-K102,4&lt;1))),1,0)))</x:f>
        <x:v>99</x:v>
      </x:c>
      <x:c r="M102" s="6" t="n">
        <x:f>IF('Debt strategy'!$C$16&gt;0,0,MIN(I102+J102-K102,MAX(0,'Debt strategy'!$C$5-SUM(E102,K102,Q102,W102,AC102)-SUM(IF(F102&lt;L102,C102+D102-E102,0),IF(R102&lt;L102,O102+P102-Q102,0),IF(X102&lt;L102,U102+V102-W102,0),IF(AD102&lt;L102,AA102+AB102-AC102,0)))))</x:f>
        <x:v>0</x:v>
      </x:c>
      <x:c r="N102" s="6" t="n">
        <x:f>ROUND(MAX(0,I102+J102-K102-M102),2)</x:f>
        <x:v>0</x:v>
      </x:c>
      <x:c r="O102" s="6" t="n">
        <x:f>T101</x:f>
        <x:v>0</x:v>
      </x:c>
      <x:c r="P102" s="6" t="n">
        <x:f>ROUND(O102*'Debt strategy'!$D$11/12,2)</x:f>
        <x:v>0</x:v>
      </x:c>
      <x:c r="Q102" s="6" t="n">
        <x:f>MIN(O102+P102,'Debt strategy'!$E$11)</x:f>
        <x:v>0</x:v>
      </x:c>
      <x:c r="R102" s="27" t="n">
        <x:f>IF(O102+P102-Q102&lt;=0,99,1+SUM(IF(AND(C102+D102-E102&gt;0,OR(C102+D102-E102&lt;O102+P102-Q102,AND(C102+D102-E102=O102+P102-Q102,0&lt;2))),1,0),IF(AND(I102+J102-K102&gt;0,OR(I102+J102-K102&lt;O102+P102-Q102,AND(I102+J102-K102=O102+P102-Q102,1&lt;2))),1,0),IF(AND(U102+V102-W102&gt;0,OR(U102+V102-W102&lt;O102+P102-Q102,AND(U102+V102-W102=O102+P102-Q102,3&lt;2))),1,0),IF(AND(AA102+AB102-AC102&gt;0,OR(AA102+AB102-AC102&lt;O102+P102-Q102,AND(AA102+AB102-AC102=O102+P102-Q102,4&lt;2))),1,0)))</x:f>
        <x:v>99</x:v>
      </x:c>
      <x:c r="S102" s="6" t="n">
        <x:f>IF('Debt strategy'!$C$16&gt;0,0,MIN(O102+P102-Q102,MAX(0,'Debt strategy'!$C$5-SUM(E102,K102,Q102,W102,AC102)-SUM(IF(F102&lt;R102,C102+D102-E102,0),IF(L102&lt;R102,I102+J102-K102,0),IF(X102&lt;R102,U102+V102-W102,0),IF(AD102&lt;R102,AA102+AB102-AC102,0)))))</x:f>
        <x:v>0</x:v>
      </x:c>
      <x:c r="T102" s="6" t="n">
        <x:f>ROUND(MAX(0,O102+P102-Q102-S102),2)</x:f>
        <x:v>0</x:v>
      </x:c>
      <x:c r="U102" s="6" t="n">
        <x:f>Z101</x:f>
        <x:v>0</x:v>
      </x:c>
      <x:c r="V102" s="6" t="n">
        <x:f>ROUND(U102*'Debt strategy'!$D$12/12,2)</x:f>
        <x:v>0</x:v>
      </x:c>
      <x:c r="W102" s="6" t="n">
        <x:f>MIN(U102+V102,'Debt strategy'!$E$12)</x:f>
        <x:v>0</x:v>
      </x:c>
      <x:c r="X102" s="27" t="n">
        <x:f>IF(U102+V102-W102&lt;=0,99,1+SUM(IF(AND(C102+D102-E102&gt;0,OR(C102+D102-E102&lt;U102+V102-W102,AND(C102+D102-E102=U102+V102-W102,0&lt;3))),1,0),IF(AND(I102+J102-K102&gt;0,OR(I102+J102-K102&lt;U102+V102-W102,AND(I102+J102-K102=U102+V102-W102,1&lt;3))),1,0),IF(AND(O102+P102-Q102&gt;0,OR(O102+P102-Q102&lt;U102+V102-W102,AND(O102+P102-Q102=U102+V102-W102,2&lt;3))),1,0),IF(AND(AA102+AB102-AC102&gt;0,OR(AA102+AB102-AC102&lt;U102+V102-W102,AND(AA102+AB102-AC102=U102+V102-W102,4&lt;3))),1,0)))</x:f>
        <x:v>99</x:v>
      </x:c>
      <x:c r="Y102" s="6" t="n">
        <x:f>IF('Debt strategy'!$C$16&gt;0,0,MIN(U102+V102-W102,MAX(0,'Debt strategy'!$C$5-SUM(E102,K102,Q102,W102,AC102)-SUM(IF(F102&lt;X102,C102+D102-E102,0),IF(L102&lt;X102,I102+J102-K102,0),IF(R102&lt;X102,O102+P102-Q102,0),IF(AD102&lt;X102,AA102+AB102-AC102,0)))))</x:f>
        <x:v>0</x:v>
      </x:c>
      <x:c r="Z102" s="6" t="n">
        <x:f>ROUND(MAX(0,U102+V102-W102-Y102),2)</x:f>
        <x:v>0</x:v>
      </x:c>
      <x:c r="AA102" s="6" t="n">
        <x:f>AF101</x:f>
        <x:v>0</x:v>
      </x:c>
      <x:c r="AB102" s="6" t="n">
        <x:f>ROUND(AA102*'Debt strategy'!$D$13/12,2)</x:f>
        <x:v>0</x:v>
      </x:c>
      <x:c r="AC102" s="6" t="n">
        <x:f>MIN(AA102+AB102,'Debt strategy'!$E$13)</x:f>
        <x:v>0</x:v>
      </x:c>
      <x:c r="AD102" s="27" t="n">
        <x:f>IF(AA102+AB102-AC102&lt;=0,99,1+SUM(IF(AND(C102+D102-E102&gt;0,OR(C102+D102-E102&lt;AA102+AB102-AC102,AND(C102+D102-E102=AA102+AB102-AC102,0&lt;4))),1,0),IF(AND(I102+J102-K102&gt;0,OR(I102+J102-K102&lt;AA102+AB102-AC102,AND(I102+J102-K102=AA102+AB102-AC102,1&lt;4))),1,0),IF(AND(O102+P102-Q102&gt;0,OR(O102+P102-Q102&lt;AA102+AB102-AC102,AND(O102+P102-Q102=AA102+AB102-AC102,2&lt;4))),1,0),IF(AND(U102+V102-W102&gt;0,OR(U102+V102-W102&lt;AA102+AB102-AC102,AND(U102+V102-W102=AA102+AB102-AC102,3&lt;4))),1,0)))</x:f>
        <x:v>99</x:v>
      </x:c>
      <x:c r="AE102" s="6" t="n">
        <x:f>IF('Debt strategy'!$C$16&gt;0,0,MIN(AA102+AB102-AC102,MAX(0,'Debt strategy'!$C$5-SUM(E102,K102,Q102,W102,AC102)-SUM(IF(F102&lt;AD102,C102+D102-E102,0),IF(L102&lt;AD102,I102+J102-K102,0),IF(R102&lt;AD102,O102+P102-Q102,0),IF(X102&lt;AD102,U102+V102-W102,0)))))</x:f>
        <x:v>0</x:v>
      </x:c>
      <x:c r="AF102" s="6" t="n">
        <x:f>ROUND(MAX(0,AA102+AB102-AC102-AE102),2)</x:f>
        <x:v>0</x:v>
      </x:c>
      <x:c r="AG102" s="6" t="n">
        <x:f>SUM(H102,N102,T102,Z102,AF102)</x:f>
        <x:v>0</x:v>
      </x:c>
      <x:c r="AH102" s="6" t="n">
        <x:f>SUM(D102,J102,P102,V102,AB102)+AH101</x:f>
        <x:v>1353.9499999999996</x:v>
      </x:c>
      <x:c r="AI102" s="2"/>
    </x:row>
    <x:row r="103" ht="23" customHeight="1">
      <x:c r="B103" s="2" t="n">
        <x:f>95</x:f>
        <x:v>95</x:v>
      </x:c>
      <x:c r="C103" s="6" t="n">
        <x:f>H102</x:f>
        <x:v>0</x:v>
      </x:c>
      <x:c r="D103" s="6" t="n">
        <x:f>ROUND(C103*'Debt strategy'!$D$9/12,2)</x:f>
        <x:v>0</x:v>
      </x:c>
      <x:c r="E103" s="6" t="n">
        <x:f>MIN(C103+D103,'Debt strategy'!$E$9)</x:f>
        <x:v>0</x:v>
      </x:c>
      <x:c r="F103" s="27" t="n">
        <x:f>IF(C103+D103-E103&lt;=0,99,1+SUM(IF(AND(I103+J103-K103&gt;0,OR(I103+J103-K103&lt;C103+D103-E103,AND(I103+J103-K103=C103+D103-E103,1&lt;0))),1,0),IF(AND(O103+P103-Q103&gt;0,OR(O103+P103-Q103&lt;C103+D103-E103,AND(O103+P103-Q103=C103+D103-E103,2&lt;0))),1,0),IF(AND(U103+V103-W103&gt;0,OR(U103+V103-W103&lt;C103+D103-E103,AND(U103+V103-W103=C103+D103-E103,3&lt;0))),1,0),IF(AND(AA103+AB103-AC103&gt;0,OR(AA103+AB103-AC103&lt;C103+D103-E103,AND(AA103+AB103-AC103=C103+D103-E103,4&lt;0))),1,0)))</x:f>
        <x:v>99</x:v>
      </x:c>
      <x:c r="G103" s="6" t="n">
        <x:f>IF('Debt strategy'!$C$16&gt;0,0,MIN(C103+D103-E103,MAX(0,'Debt strategy'!$C$5-SUM(E103,K103,Q103,W103,AC103)-SUM(IF(L103&lt;F103,I103+J103-K103,0),IF(R103&lt;F103,O103+P103-Q103,0),IF(X103&lt;F103,U103+V103-W103,0),IF(AD103&lt;F103,AA103+AB103-AC103,0)))))</x:f>
        <x:v>0</x:v>
      </x:c>
      <x:c r="H103" s="6" t="n">
        <x:f>ROUND(MAX(0,C103+D103-E103-G103),2)</x:f>
        <x:v>0</x:v>
      </x:c>
      <x:c r="I103" s="6" t="n">
        <x:f>N102</x:f>
        <x:v>0</x:v>
      </x:c>
      <x:c r="J103" s="6" t="n">
        <x:f>ROUND(I103*'Debt strategy'!$D$10/12,2)</x:f>
        <x:v>0</x:v>
      </x:c>
      <x:c r="K103" s="6" t="n">
        <x:f>MIN(I103+J103,'Debt strategy'!$E$10)</x:f>
        <x:v>0</x:v>
      </x:c>
      <x:c r="L103" s="27" t="n">
        <x:f>IF(I103+J103-K103&lt;=0,99,1+SUM(IF(AND(C103+D103-E103&gt;0,OR(C103+D103-E103&lt;I103+J103-K103,AND(C103+D103-E103=I103+J103-K103,0&lt;1))),1,0),IF(AND(O103+P103-Q103&gt;0,OR(O103+P103-Q103&lt;I103+J103-K103,AND(O103+P103-Q103=I103+J103-K103,2&lt;1))),1,0),IF(AND(U103+V103-W103&gt;0,OR(U103+V103-W103&lt;I103+J103-K103,AND(U103+V103-W103=I103+J103-K103,3&lt;1))),1,0),IF(AND(AA103+AB103-AC103&gt;0,OR(AA103+AB103-AC103&lt;I103+J103-K103,AND(AA103+AB103-AC103=I103+J103-K103,4&lt;1))),1,0)))</x:f>
        <x:v>99</x:v>
      </x:c>
      <x:c r="M103" s="6" t="n">
        <x:f>IF('Debt strategy'!$C$16&gt;0,0,MIN(I103+J103-K103,MAX(0,'Debt strategy'!$C$5-SUM(E103,K103,Q103,W103,AC103)-SUM(IF(F103&lt;L103,C103+D103-E103,0),IF(R103&lt;L103,O103+P103-Q103,0),IF(X103&lt;L103,U103+V103-W103,0),IF(AD103&lt;L103,AA103+AB103-AC103,0)))))</x:f>
        <x:v>0</x:v>
      </x:c>
      <x:c r="N103" s="6" t="n">
        <x:f>ROUND(MAX(0,I103+J103-K103-M103),2)</x:f>
        <x:v>0</x:v>
      </x:c>
      <x:c r="O103" s="6" t="n">
        <x:f>T102</x:f>
        <x:v>0</x:v>
      </x:c>
      <x:c r="P103" s="6" t="n">
        <x:f>ROUND(O103*'Debt strategy'!$D$11/12,2)</x:f>
        <x:v>0</x:v>
      </x:c>
      <x:c r="Q103" s="6" t="n">
        <x:f>MIN(O103+P103,'Debt strategy'!$E$11)</x:f>
        <x:v>0</x:v>
      </x:c>
      <x:c r="R103" s="27" t="n">
        <x:f>IF(O103+P103-Q103&lt;=0,99,1+SUM(IF(AND(C103+D103-E103&gt;0,OR(C103+D103-E103&lt;O103+P103-Q103,AND(C103+D103-E103=O103+P103-Q103,0&lt;2))),1,0),IF(AND(I103+J103-K103&gt;0,OR(I103+J103-K103&lt;O103+P103-Q103,AND(I103+J103-K103=O103+P103-Q103,1&lt;2))),1,0),IF(AND(U103+V103-W103&gt;0,OR(U103+V103-W103&lt;O103+P103-Q103,AND(U103+V103-W103=O103+P103-Q103,3&lt;2))),1,0),IF(AND(AA103+AB103-AC103&gt;0,OR(AA103+AB103-AC103&lt;O103+P103-Q103,AND(AA103+AB103-AC103=O103+P103-Q103,4&lt;2))),1,0)))</x:f>
        <x:v>99</x:v>
      </x:c>
      <x:c r="S103" s="6" t="n">
        <x:f>IF('Debt strategy'!$C$16&gt;0,0,MIN(O103+P103-Q103,MAX(0,'Debt strategy'!$C$5-SUM(E103,K103,Q103,W103,AC103)-SUM(IF(F103&lt;R103,C103+D103-E103,0),IF(L103&lt;R103,I103+J103-K103,0),IF(X103&lt;R103,U103+V103-W103,0),IF(AD103&lt;R103,AA103+AB103-AC103,0)))))</x:f>
        <x:v>0</x:v>
      </x:c>
      <x:c r="T103" s="6" t="n">
        <x:f>ROUND(MAX(0,O103+P103-Q103-S103),2)</x:f>
        <x:v>0</x:v>
      </x:c>
      <x:c r="U103" s="6" t="n">
        <x:f>Z102</x:f>
        <x:v>0</x:v>
      </x:c>
      <x:c r="V103" s="6" t="n">
        <x:f>ROUND(U103*'Debt strategy'!$D$12/12,2)</x:f>
        <x:v>0</x:v>
      </x:c>
      <x:c r="W103" s="6" t="n">
        <x:f>MIN(U103+V103,'Debt strategy'!$E$12)</x:f>
        <x:v>0</x:v>
      </x:c>
      <x:c r="X103" s="27" t="n">
        <x:f>IF(U103+V103-W103&lt;=0,99,1+SUM(IF(AND(C103+D103-E103&gt;0,OR(C103+D103-E103&lt;U103+V103-W103,AND(C103+D103-E103=U103+V103-W103,0&lt;3))),1,0),IF(AND(I103+J103-K103&gt;0,OR(I103+J103-K103&lt;U103+V103-W103,AND(I103+J103-K103=U103+V103-W103,1&lt;3))),1,0),IF(AND(O103+P103-Q103&gt;0,OR(O103+P103-Q103&lt;U103+V103-W103,AND(O103+P103-Q103=U103+V103-W103,2&lt;3))),1,0),IF(AND(AA103+AB103-AC103&gt;0,OR(AA103+AB103-AC103&lt;U103+V103-W103,AND(AA103+AB103-AC103=U103+V103-W103,4&lt;3))),1,0)))</x:f>
        <x:v>99</x:v>
      </x:c>
      <x:c r="Y103" s="6" t="n">
        <x:f>IF('Debt strategy'!$C$16&gt;0,0,MIN(U103+V103-W103,MAX(0,'Debt strategy'!$C$5-SUM(E103,K103,Q103,W103,AC103)-SUM(IF(F103&lt;X103,C103+D103-E103,0),IF(L103&lt;X103,I103+J103-K103,0),IF(R103&lt;X103,O103+P103-Q103,0),IF(AD103&lt;X103,AA103+AB103-AC103,0)))))</x:f>
        <x:v>0</x:v>
      </x:c>
      <x:c r="Z103" s="6" t="n">
        <x:f>ROUND(MAX(0,U103+V103-W103-Y103),2)</x:f>
        <x:v>0</x:v>
      </x:c>
      <x:c r="AA103" s="6" t="n">
        <x:f>AF102</x:f>
        <x:v>0</x:v>
      </x:c>
      <x:c r="AB103" s="6" t="n">
        <x:f>ROUND(AA103*'Debt strategy'!$D$13/12,2)</x:f>
        <x:v>0</x:v>
      </x:c>
      <x:c r="AC103" s="6" t="n">
        <x:f>MIN(AA103+AB103,'Debt strategy'!$E$13)</x:f>
        <x:v>0</x:v>
      </x:c>
      <x:c r="AD103" s="27" t="n">
        <x:f>IF(AA103+AB103-AC103&lt;=0,99,1+SUM(IF(AND(C103+D103-E103&gt;0,OR(C103+D103-E103&lt;AA103+AB103-AC103,AND(C103+D103-E103=AA103+AB103-AC103,0&lt;4))),1,0),IF(AND(I103+J103-K103&gt;0,OR(I103+J103-K103&lt;AA103+AB103-AC103,AND(I103+J103-K103=AA103+AB103-AC103,1&lt;4))),1,0),IF(AND(O103+P103-Q103&gt;0,OR(O103+P103-Q103&lt;AA103+AB103-AC103,AND(O103+P103-Q103=AA103+AB103-AC103,2&lt;4))),1,0),IF(AND(U103+V103-W103&gt;0,OR(U103+V103-W103&lt;AA103+AB103-AC103,AND(U103+V103-W103=AA103+AB103-AC103,3&lt;4))),1,0)))</x:f>
        <x:v>99</x:v>
      </x:c>
      <x:c r="AE103" s="6" t="n">
        <x:f>IF('Debt strategy'!$C$16&gt;0,0,MIN(AA103+AB103-AC103,MAX(0,'Debt strategy'!$C$5-SUM(E103,K103,Q103,W103,AC103)-SUM(IF(F103&lt;AD103,C103+D103-E103,0),IF(L103&lt;AD103,I103+J103-K103,0),IF(R103&lt;AD103,O103+P103-Q103,0),IF(X103&lt;AD103,U103+V103-W103,0)))))</x:f>
        <x:v>0</x:v>
      </x:c>
      <x:c r="AF103" s="6" t="n">
        <x:f>ROUND(MAX(0,AA103+AB103-AC103-AE103),2)</x:f>
        <x:v>0</x:v>
      </x:c>
      <x:c r="AG103" s="6" t="n">
        <x:f>SUM(H103,N103,T103,Z103,AF103)</x:f>
        <x:v>0</x:v>
      </x:c>
      <x:c r="AH103" s="6" t="n">
        <x:f>SUM(D103,J103,P103,V103,AB103)+AH102</x:f>
        <x:v>1353.9499999999996</x:v>
      </x:c>
      <x:c r="AI103" s="2"/>
    </x:row>
    <x:row r="104" ht="23" customHeight="1">
      <x:c r="B104" s="2" t="n">
        <x:f>96</x:f>
        <x:v>96</x:v>
      </x:c>
      <x:c r="C104" s="6" t="n">
        <x:f>H103</x:f>
        <x:v>0</x:v>
      </x:c>
      <x:c r="D104" s="6" t="n">
        <x:f>ROUND(C104*'Debt strategy'!$D$9/12,2)</x:f>
        <x:v>0</x:v>
      </x:c>
      <x:c r="E104" s="6" t="n">
        <x:f>MIN(C104+D104,'Debt strategy'!$E$9)</x:f>
        <x:v>0</x:v>
      </x:c>
      <x:c r="F104" s="27" t="n">
        <x:f>IF(C104+D104-E104&lt;=0,99,1+SUM(IF(AND(I104+J104-K104&gt;0,OR(I104+J104-K104&lt;C104+D104-E104,AND(I104+J104-K104=C104+D104-E104,1&lt;0))),1,0),IF(AND(O104+P104-Q104&gt;0,OR(O104+P104-Q104&lt;C104+D104-E104,AND(O104+P104-Q104=C104+D104-E104,2&lt;0))),1,0),IF(AND(U104+V104-W104&gt;0,OR(U104+V104-W104&lt;C104+D104-E104,AND(U104+V104-W104=C104+D104-E104,3&lt;0))),1,0),IF(AND(AA104+AB104-AC104&gt;0,OR(AA104+AB104-AC104&lt;C104+D104-E104,AND(AA104+AB104-AC104=C104+D104-E104,4&lt;0))),1,0)))</x:f>
        <x:v>99</x:v>
      </x:c>
      <x:c r="G104" s="6" t="n">
        <x:f>IF('Debt strategy'!$C$16&gt;0,0,MIN(C104+D104-E104,MAX(0,'Debt strategy'!$C$5-SUM(E104,K104,Q104,W104,AC104)-SUM(IF(L104&lt;F104,I104+J104-K104,0),IF(R104&lt;F104,O104+P104-Q104,0),IF(X104&lt;F104,U104+V104-W104,0),IF(AD104&lt;F104,AA104+AB104-AC104,0)))))</x:f>
        <x:v>0</x:v>
      </x:c>
      <x:c r="H104" s="6" t="n">
        <x:f>ROUND(MAX(0,C104+D104-E104-G104),2)</x:f>
        <x:v>0</x:v>
      </x:c>
      <x:c r="I104" s="6" t="n">
        <x:f>N103</x:f>
        <x:v>0</x:v>
      </x:c>
      <x:c r="J104" s="6" t="n">
        <x:f>ROUND(I104*'Debt strategy'!$D$10/12,2)</x:f>
        <x:v>0</x:v>
      </x:c>
      <x:c r="K104" s="6" t="n">
        <x:f>MIN(I104+J104,'Debt strategy'!$E$10)</x:f>
        <x:v>0</x:v>
      </x:c>
      <x:c r="L104" s="27" t="n">
        <x:f>IF(I104+J104-K104&lt;=0,99,1+SUM(IF(AND(C104+D104-E104&gt;0,OR(C104+D104-E104&lt;I104+J104-K104,AND(C104+D104-E104=I104+J104-K104,0&lt;1))),1,0),IF(AND(O104+P104-Q104&gt;0,OR(O104+P104-Q104&lt;I104+J104-K104,AND(O104+P104-Q104=I104+J104-K104,2&lt;1))),1,0),IF(AND(U104+V104-W104&gt;0,OR(U104+V104-W104&lt;I104+J104-K104,AND(U104+V104-W104=I104+J104-K104,3&lt;1))),1,0),IF(AND(AA104+AB104-AC104&gt;0,OR(AA104+AB104-AC104&lt;I104+J104-K104,AND(AA104+AB104-AC104=I104+J104-K104,4&lt;1))),1,0)))</x:f>
        <x:v>99</x:v>
      </x:c>
      <x:c r="M104" s="6" t="n">
        <x:f>IF('Debt strategy'!$C$16&gt;0,0,MIN(I104+J104-K104,MAX(0,'Debt strategy'!$C$5-SUM(E104,K104,Q104,W104,AC104)-SUM(IF(F104&lt;L104,C104+D104-E104,0),IF(R104&lt;L104,O104+P104-Q104,0),IF(X104&lt;L104,U104+V104-W104,0),IF(AD104&lt;L104,AA104+AB104-AC104,0)))))</x:f>
        <x:v>0</x:v>
      </x:c>
      <x:c r="N104" s="6" t="n">
        <x:f>ROUND(MAX(0,I104+J104-K104-M104),2)</x:f>
        <x:v>0</x:v>
      </x:c>
      <x:c r="O104" s="6" t="n">
        <x:f>T103</x:f>
        <x:v>0</x:v>
      </x:c>
      <x:c r="P104" s="6" t="n">
        <x:f>ROUND(O104*'Debt strategy'!$D$11/12,2)</x:f>
        <x:v>0</x:v>
      </x:c>
      <x:c r="Q104" s="6" t="n">
        <x:f>MIN(O104+P104,'Debt strategy'!$E$11)</x:f>
        <x:v>0</x:v>
      </x:c>
      <x:c r="R104" s="27" t="n">
        <x:f>IF(O104+P104-Q104&lt;=0,99,1+SUM(IF(AND(C104+D104-E104&gt;0,OR(C104+D104-E104&lt;O104+P104-Q104,AND(C104+D104-E104=O104+P104-Q104,0&lt;2))),1,0),IF(AND(I104+J104-K104&gt;0,OR(I104+J104-K104&lt;O104+P104-Q104,AND(I104+J104-K104=O104+P104-Q104,1&lt;2))),1,0),IF(AND(U104+V104-W104&gt;0,OR(U104+V104-W104&lt;O104+P104-Q104,AND(U104+V104-W104=O104+P104-Q104,3&lt;2))),1,0),IF(AND(AA104+AB104-AC104&gt;0,OR(AA104+AB104-AC104&lt;O104+P104-Q104,AND(AA104+AB104-AC104=O104+P104-Q104,4&lt;2))),1,0)))</x:f>
        <x:v>99</x:v>
      </x:c>
      <x:c r="S104" s="6" t="n">
        <x:f>IF('Debt strategy'!$C$16&gt;0,0,MIN(O104+P104-Q104,MAX(0,'Debt strategy'!$C$5-SUM(E104,K104,Q104,W104,AC104)-SUM(IF(F104&lt;R104,C104+D104-E104,0),IF(L104&lt;R104,I104+J104-K104,0),IF(X104&lt;R104,U104+V104-W104,0),IF(AD104&lt;R104,AA104+AB104-AC104,0)))))</x:f>
        <x:v>0</x:v>
      </x:c>
      <x:c r="T104" s="6" t="n">
        <x:f>ROUND(MAX(0,O104+P104-Q104-S104),2)</x:f>
        <x:v>0</x:v>
      </x:c>
      <x:c r="U104" s="6" t="n">
        <x:f>Z103</x:f>
        <x:v>0</x:v>
      </x:c>
      <x:c r="V104" s="6" t="n">
        <x:f>ROUND(U104*'Debt strategy'!$D$12/12,2)</x:f>
        <x:v>0</x:v>
      </x:c>
      <x:c r="W104" s="6" t="n">
        <x:f>MIN(U104+V104,'Debt strategy'!$E$12)</x:f>
        <x:v>0</x:v>
      </x:c>
      <x:c r="X104" s="27" t="n">
        <x:f>IF(U104+V104-W104&lt;=0,99,1+SUM(IF(AND(C104+D104-E104&gt;0,OR(C104+D104-E104&lt;U104+V104-W104,AND(C104+D104-E104=U104+V104-W104,0&lt;3))),1,0),IF(AND(I104+J104-K104&gt;0,OR(I104+J104-K104&lt;U104+V104-W104,AND(I104+J104-K104=U104+V104-W104,1&lt;3))),1,0),IF(AND(O104+P104-Q104&gt;0,OR(O104+P104-Q104&lt;U104+V104-W104,AND(O104+P104-Q104=U104+V104-W104,2&lt;3))),1,0),IF(AND(AA104+AB104-AC104&gt;0,OR(AA104+AB104-AC104&lt;U104+V104-W104,AND(AA104+AB104-AC104=U104+V104-W104,4&lt;3))),1,0)))</x:f>
        <x:v>99</x:v>
      </x:c>
      <x:c r="Y104" s="6" t="n">
        <x:f>IF('Debt strategy'!$C$16&gt;0,0,MIN(U104+V104-W104,MAX(0,'Debt strategy'!$C$5-SUM(E104,K104,Q104,W104,AC104)-SUM(IF(F104&lt;X104,C104+D104-E104,0),IF(L104&lt;X104,I104+J104-K104,0),IF(R104&lt;X104,O104+P104-Q104,0),IF(AD104&lt;X104,AA104+AB104-AC104,0)))))</x:f>
        <x:v>0</x:v>
      </x:c>
      <x:c r="Z104" s="6" t="n">
        <x:f>ROUND(MAX(0,U104+V104-W104-Y104),2)</x:f>
        <x:v>0</x:v>
      </x:c>
      <x:c r="AA104" s="6" t="n">
        <x:f>AF103</x:f>
        <x:v>0</x:v>
      </x:c>
      <x:c r="AB104" s="6" t="n">
        <x:f>ROUND(AA104*'Debt strategy'!$D$13/12,2)</x:f>
        <x:v>0</x:v>
      </x:c>
      <x:c r="AC104" s="6" t="n">
        <x:f>MIN(AA104+AB104,'Debt strategy'!$E$13)</x:f>
        <x:v>0</x:v>
      </x:c>
      <x:c r="AD104" s="27" t="n">
        <x:f>IF(AA104+AB104-AC104&lt;=0,99,1+SUM(IF(AND(C104+D104-E104&gt;0,OR(C104+D104-E104&lt;AA104+AB104-AC104,AND(C104+D104-E104=AA104+AB104-AC104,0&lt;4))),1,0),IF(AND(I104+J104-K104&gt;0,OR(I104+J104-K104&lt;AA104+AB104-AC104,AND(I104+J104-K104=AA104+AB104-AC104,1&lt;4))),1,0),IF(AND(O104+P104-Q104&gt;0,OR(O104+P104-Q104&lt;AA104+AB104-AC104,AND(O104+P104-Q104=AA104+AB104-AC104,2&lt;4))),1,0),IF(AND(U104+V104-W104&gt;0,OR(U104+V104-W104&lt;AA104+AB104-AC104,AND(U104+V104-W104=AA104+AB104-AC104,3&lt;4))),1,0)))</x:f>
        <x:v>99</x:v>
      </x:c>
      <x:c r="AE104" s="6" t="n">
        <x:f>IF('Debt strategy'!$C$16&gt;0,0,MIN(AA104+AB104-AC104,MAX(0,'Debt strategy'!$C$5-SUM(E104,K104,Q104,W104,AC104)-SUM(IF(F104&lt;AD104,C104+D104-E104,0),IF(L104&lt;AD104,I104+J104-K104,0),IF(R104&lt;AD104,O104+P104-Q104,0),IF(X104&lt;AD104,U104+V104-W104,0)))))</x:f>
        <x:v>0</x:v>
      </x:c>
      <x:c r="AF104" s="6" t="n">
        <x:f>ROUND(MAX(0,AA104+AB104-AC104-AE104),2)</x:f>
        <x:v>0</x:v>
      </x:c>
      <x:c r="AG104" s="6" t="n">
        <x:f>SUM(H104,N104,T104,Z104,AF104)</x:f>
        <x:v>0</x:v>
      </x:c>
      <x:c r="AH104" s="6" t="n">
        <x:f>SUM(D104,J104,P104,V104,AB104)+AH103</x:f>
        <x:v>1353.9499999999996</x:v>
      </x:c>
      <x:c r="AI104" s="2"/>
    </x:row>
    <x:row r="105" ht="23" customHeight="1">
      <x:c r="B105" s="2" t="n">
        <x:f>97</x:f>
        <x:v>97</x:v>
      </x:c>
      <x:c r="C105" s="6" t="n">
        <x:f>H104</x:f>
        <x:v>0</x:v>
      </x:c>
      <x:c r="D105" s="6" t="n">
        <x:f>ROUND(C105*'Debt strategy'!$D$9/12,2)</x:f>
        <x:v>0</x:v>
      </x:c>
      <x:c r="E105" s="6" t="n">
        <x:f>MIN(C105+D105,'Debt strategy'!$E$9)</x:f>
        <x:v>0</x:v>
      </x:c>
      <x:c r="F105" s="27" t="n">
        <x:f>IF(C105+D105-E105&lt;=0,99,1+SUM(IF(AND(I105+J105-K105&gt;0,OR(I105+J105-K105&lt;C105+D105-E105,AND(I105+J105-K105=C105+D105-E105,1&lt;0))),1,0),IF(AND(O105+P105-Q105&gt;0,OR(O105+P105-Q105&lt;C105+D105-E105,AND(O105+P105-Q105=C105+D105-E105,2&lt;0))),1,0),IF(AND(U105+V105-W105&gt;0,OR(U105+V105-W105&lt;C105+D105-E105,AND(U105+V105-W105=C105+D105-E105,3&lt;0))),1,0),IF(AND(AA105+AB105-AC105&gt;0,OR(AA105+AB105-AC105&lt;C105+D105-E105,AND(AA105+AB105-AC105=C105+D105-E105,4&lt;0))),1,0)))</x:f>
        <x:v>99</x:v>
      </x:c>
      <x:c r="G105" s="6" t="n">
        <x:f>IF('Debt strategy'!$C$16&gt;0,0,MIN(C105+D105-E105,MAX(0,'Debt strategy'!$C$5-SUM(E105,K105,Q105,W105,AC105)-SUM(IF(L105&lt;F105,I105+J105-K105,0),IF(R105&lt;F105,O105+P105-Q105,0),IF(X105&lt;F105,U105+V105-W105,0),IF(AD105&lt;F105,AA105+AB105-AC105,0)))))</x:f>
        <x:v>0</x:v>
      </x:c>
      <x:c r="H105" s="6" t="n">
        <x:f>ROUND(MAX(0,C105+D105-E105-G105),2)</x:f>
        <x:v>0</x:v>
      </x:c>
      <x:c r="I105" s="6" t="n">
        <x:f>N104</x:f>
        <x:v>0</x:v>
      </x:c>
      <x:c r="J105" s="6" t="n">
        <x:f>ROUND(I105*'Debt strategy'!$D$10/12,2)</x:f>
        <x:v>0</x:v>
      </x:c>
      <x:c r="K105" s="6" t="n">
        <x:f>MIN(I105+J105,'Debt strategy'!$E$10)</x:f>
        <x:v>0</x:v>
      </x:c>
      <x:c r="L105" s="27" t="n">
        <x:f>IF(I105+J105-K105&lt;=0,99,1+SUM(IF(AND(C105+D105-E105&gt;0,OR(C105+D105-E105&lt;I105+J105-K105,AND(C105+D105-E105=I105+J105-K105,0&lt;1))),1,0),IF(AND(O105+P105-Q105&gt;0,OR(O105+P105-Q105&lt;I105+J105-K105,AND(O105+P105-Q105=I105+J105-K105,2&lt;1))),1,0),IF(AND(U105+V105-W105&gt;0,OR(U105+V105-W105&lt;I105+J105-K105,AND(U105+V105-W105=I105+J105-K105,3&lt;1))),1,0),IF(AND(AA105+AB105-AC105&gt;0,OR(AA105+AB105-AC105&lt;I105+J105-K105,AND(AA105+AB105-AC105=I105+J105-K105,4&lt;1))),1,0)))</x:f>
        <x:v>99</x:v>
      </x:c>
      <x:c r="M105" s="6" t="n">
        <x:f>IF('Debt strategy'!$C$16&gt;0,0,MIN(I105+J105-K105,MAX(0,'Debt strategy'!$C$5-SUM(E105,K105,Q105,W105,AC105)-SUM(IF(F105&lt;L105,C105+D105-E105,0),IF(R105&lt;L105,O105+P105-Q105,0),IF(X105&lt;L105,U105+V105-W105,0),IF(AD105&lt;L105,AA105+AB105-AC105,0)))))</x:f>
        <x:v>0</x:v>
      </x:c>
      <x:c r="N105" s="6" t="n">
        <x:f>ROUND(MAX(0,I105+J105-K105-M105),2)</x:f>
        <x:v>0</x:v>
      </x:c>
      <x:c r="O105" s="6" t="n">
        <x:f>T104</x:f>
        <x:v>0</x:v>
      </x:c>
      <x:c r="P105" s="6" t="n">
        <x:f>ROUND(O105*'Debt strategy'!$D$11/12,2)</x:f>
        <x:v>0</x:v>
      </x:c>
      <x:c r="Q105" s="6" t="n">
        <x:f>MIN(O105+P105,'Debt strategy'!$E$11)</x:f>
        <x:v>0</x:v>
      </x:c>
      <x:c r="R105" s="27" t="n">
        <x:f>IF(O105+P105-Q105&lt;=0,99,1+SUM(IF(AND(C105+D105-E105&gt;0,OR(C105+D105-E105&lt;O105+P105-Q105,AND(C105+D105-E105=O105+P105-Q105,0&lt;2))),1,0),IF(AND(I105+J105-K105&gt;0,OR(I105+J105-K105&lt;O105+P105-Q105,AND(I105+J105-K105=O105+P105-Q105,1&lt;2))),1,0),IF(AND(U105+V105-W105&gt;0,OR(U105+V105-W105&lt;O105+P105-Q105,AND(U105+V105-W105=O105+P105-Q105,3&lt;2))),1,0),IF(AND(AA105+AB105-AC105&gt;0,OR(AA105+AB105-AC105&lt;O105+P105-Q105,AND(AA105+AB105-AC105=O105+P105-Q105,4&lt;2))),1,0)))</x:f>
        <x:v>99</x:v>
      </x:c>
      <x:c r="S105" s="6" t="n">
        <x:f>IF('Debt strategy'!$C$16&gt;0,0,MIN(O105+P105-Q105,MAX(0,'Debt strategy'!$C$5-SUM(E105,K105,Q105,W105,AC105)-SUM(IF(F105&lt;R105,C105+D105-E105,0),IF(L105&lt;R105,I105+J105-K105,0),IF(X105&lt;R105,U105+V105-W105,0),IF(AD105&lt;R105,AA105+AB105-AC105,0)))))</x:f>
        <x:v>0</x:v>
      </x:c>
      <x:c r="T105" s="6" t="n">
        <x:f>ROUND(MAX(0,O105+P105-Q105-S105),2)</x:f>
        <x:v>0</x:v>
      </x:c>
      <x:c r="U105" s="6" t="n">
        <x:f>Z104</x:f>
        <x:v>0</x:v>
      </x:c>
      <x:c r="V105" s="6" t="n">
        <x:f>ROUND(U105*'Debt strategy'!$D$12/12,2)</x:f>
        <x:v>0</x:v>
      </x:c>
      <x:c r="W105" s="6" t="n">
        <x:f>MIN(U105+V105,'Debt strategy'!$E$12)</x:f>
        <x:v>0</x:v>
      </x:c>
      <x:c r="X105" s="27" t="n">
        <x:f>IF(U105+V105-W105&lt;=0,99,1+SUM(IF(AND(C105+D105-E105&gt;0,OR(C105+D105-E105&lt;U105+V105-W105,AND(C105+D105-E105=U105+V105-W105,0&lt;3))),1,0),IF(AND(I105+J105-K105&gt;0,OR(I105+J105-K105&lt;U105+V105-W105,AND(I105+J105-K105=U105+V105-W105,1&lt;3))),1,0),IF(AND(O105+P105-Q105&gt;0,OR(O105+P105-Q105&lt;U105+V105-W105,AND(O105+P105-Q105=U105+V105-W105,2&lt;3))),1,0),IF(AND(AA105+AB105-AC105&gt;0,OR(AA105+AB105-AC105&lt;U105+V105-W105,AND(AA105+AB105-AC105=U105+V105-W105,4&lt;3))),1,0)))</x:f>
        <x:v>99</x:v>
      </x:c>
      <x:c r="Y105" s="6" t="n">
        <x:f>IF('Debt strategy'!$C$16&gt;0,0,MIN(U105+V105-W105,MAX(0,'Debt strategy'!$C$5-SUM(E105,K105,Q105,W105,AC105)-SUM(IF(F105&lt;X105,C105+D105-E105,0),IF(L105&lt;X105,I105+J105-K105,0),IF(R105&lt;X105,O105+P105-Q105,0),IF(AD105&lt;X105,AA105+AB105-AC105,0)))))</x:f>
        <x:v>0</x:v>
      </x:c>
      <x:c r="Z105" s="6" t="n">
        <x:f>ROUND(MAX(0,U105+V105-W105-Y105),2)</x:f>
        <x:v>0</x:v>
      </x:c>
      <x:c r="AA105" s="6" t="n">
        <x:f>AF104</x:f>
        <x:v>0</x:v>
      </x:c>
      <x:c r="AB105" s="6" t="n">
        <x:f>ROUND(AA105*'Debt strategy'!$D$13/12,2)</x:f>
        <x:v>0</x:v>
      </x:c>
      <x:c r="AC105" s="6" t="n">
        <x:f>MIN(AA105+AB105,'Debt strategy'!$E$13)</x:f>
        <x:v>0</x:v>
      </x:c>
      <x:c r="AD105" s="27" t="n">
        <x:f>IF(AA105+AB105-AC105&lt;=0,99,1+SUM(IF(AND(C105+D105-E105&gt;0,OR(C105+D105-E105&lt;AA105+AB105-AC105,AND(C105+D105-E105=AA105+AB105-AC105,0&lt;4))),1,0),IF(AND(I105+J105-K105&gt;0,OR(I105+J105-K105&lt;AA105+AB105-AC105,AND(I105+J105-K105=AA105+AB105-AC105,1&lt;4))),1,0),IF(AND(O105+P105-Q105&gt;0,OR(O105+P105-Q105&lt;AA105+AB105-AC105,AND(O105+P105-Q105=AA105+AB105-AC105,2&lt;4))),1,0),IF(AND(U105+V105-W105&gt;0,OR(U105+V105-W105&lt;AA105+AB105-AC105,AND(U105+V105-W105=AA105+AB105-AC105,3&lt;4))),1,0)))</x:f>
        <x:v>99</x:v>
      </x:c>
      <x:c r="AE105" s="6" t="n">
        <x:f>IF('Debt strategy'!$C$16&gt;0,0,MIN(AA105+AB105-AC105,MAX(0,'Debt strategy'!$C$5-SUM(E105,K105,Q105,W105,AC105)-SUM(IF(F105&lt;AD105,C105+D105-E105,0),IF(L105&lt;AD105,I105+J105-K105,0),IF(R105&lt;AD105,O105+P105-Q105,0),IF(X105&lt;AD105,U105+V105-W105,0)))))</x:f>
        <x:v>0</x:v>
      </x:c>
      <x:c r="AF105" s="6" t="n">
        <x:f>ROUND(MAX(0,AA105+AB105-AC105-AE105),2)</x:f>
        <x:v>0</x:v>
      </x:c>
      <x:c r="AG105" s="6" t="n">
        <x:f>SUM(H105,N105,T105,Z105,AF105)</x:f>
        <x:v>0</x:v>
      </x:c>
      <x:c r="AH105" s="6" t="n">
        <x:f>SUM(D105,J105,P105,V105,AB105)+AH104</x:f>
        <x:v>1353.9499999999996</x:v>
      </x:c>
      <x:c r="AI105" s="2"/>
    </x:row>
    <x:row r="106" ht="23" customHeight="1">
      <x:c r="B106" s="2" t="n">
        <x:f>98</x:f>
        <x:v>98</x:v>
      </x:c>
      <x:c r="C106" s="6" t="n">
        <x:f>H105</x:f>
        <x:v>0</x:v>
      </x:c>
      <x:c r="D106" s="6" t="n">
        <x:f>ROUND(C106*'Debt strategy'!$D$9/12,2)</x:f>
        <x:v>0</x:v>
      </x:c>
      <x:c r="E106" s="6" t="n">
        <x:f>MIN(C106+D106,'Debt strategy'!$E$9)</x:f>
        <x:v>0</x:v>
      </x:c>
      <x:c r="F106" s="27" t="n">
        <x:f>IF(C106+D106-E106&lt;=0,99,1+SUM(IF(AND(I106+J106-K106&gt;0,OR(I106+J106-K106&lt;C106+D106-E106,AND(I106+J106-K106=C106+D106-E106,1&lt;0))),1,0),IF(AND(O106+P106-Q106&gt;0,OR(O106+P106-Q106&lt;C106+D106-E106,AND(O106+P106-Q106=C106+D106-E106,2&lt;0))),1,0),IF(AND(U106+V106-W106&gt;0,OR(U106+V106-W106&lt;C106+D106-E106,AND(U106+V106-W106=C106+D106-E106,3&lt;0))),1,0),IF(AND(AA106+AB106-AC106&gt;0,OR(AA106+AB106-AC106&lt;C106+D106-E106,AND(AA106+AB106-AC106=C106+D106-E106,4&lt;0))),1,0)))</x:f>
        <x:v>99</x:v>
      </x:c>
      <x:c r="G106" s="6" t="n">
        <x:f>IF('Debt strategy'!$C$16&gt;0,0,MIN(C106+D106-E106,MAX(0,'Debt strategy'!$C$5-SUM(E106,K106,Q106,W106,AC106)-SUM(IF(L106&lt;F106,I106+J106-K106,0),IF(R106&lt;F106,O106+P106-Q106,0),IF(X106&lt;F106,U106+V106-W106,0),IF(AD106&lt;F106,AA106+AB106-AC106,0)))))</x:f>
        <x:v>0</x:v>
      </x:c>
      <x:c r="H106" s="6" t="n">
        <x:f>ROUND(MAX(0,C106+D106-E106-G106),2)</x:f>
        <x:v>0</x:v>
      </x:c>
      <x:c r="I106" s="6" t="n">
        <x:f>N105</x:f>
        <x:v>0</x:v>
      </x:c>
      <x:c r="J106" s="6" t="n">
        <x:f>ROUND(I106*'Debt strategy'!$D$10/12,2)</x:f>
        <x:v>0</x:v>
      </x:c>
      <x:c r="K106" s="6" t="n">
        <x:f>MIN(I106+J106,'Debt strategy'!$E$10)</x:f>
        <x:v>0</x:v>
      </x:c>
      <x:c r="L106" s="27" t="n">
        <x:f>IF(I106+J106-K106&lt;=0,99,1+SUM(IF(AND(C106+D106-E106&gt;0,OR(C106+D106-E106&lt;I106+J106-K106,AND(C106+D106-E106=I106+J106-K106,0&lt;1))),1,0),IF(AND(O106+P106-Q106&gt;0,OR(O106+P106-Q106&lt;I106+J106-K106,AND(O106+P106-Q106=I106+J106-K106,2&lt;1))),1,0),IF(AND(U106+V106-W106&gt;0,OR(U106+V106-W106&lt;I106+J106-K106,AND(U106+V106-W106=I106+J106-K106,3&lt;1))),1,0),IF(AND(AA106+AB106-AC106&gt;0,OR(AA106+AB106-AC106&lt;I106+J106-K106,AND(AA106+AB106-AC106=I106+J106-K106,4&lt;1))),1,0)))</x:f>
        <x:v>99</x:v>
      </x:c>
      <x:c r="M106" s="6" t="n">
        <x:f>IF('Debt strategy'!$C$16&gt;0,0,MIN(I106+J106-K106,MAX(0,'Debt strategy'!$C$5-SUM(E106,K106,Q106,W106,AC106)-SUM(IF(F106&lt;L106,C106+D106-E106,0),IF(R106&lt;L106,O106+P106-Q106,0),IF(X106&lt;L106,U106+V106-W106,0),IF(AD106&lt;L106,AA106+AB106-AC106,0)))))</x:f>
        <x:v>0</x:v>
      </x:c>
      <x:c r="N106" s="6" t="n">
        <x:f>ROUND(MAX(0,I106+J106-K106-M106),2)</x:f>
        <x:v>0</x:v>
      </x:c>
      <x:c r="O106" s="6" t="n">
        <x:f>T105</x:f>
        <x:v>0</x:v>
      </x:c>
      <x:c r="P106" s="6" t="n">
        <x:f>ROUND(O106*'Debt strategy'!$D$11/12,2)</x:f>
        <x:v>0</x:v>
      </x:c>
      <x:c r="Q106" s="6" t="n">
        <x:f>MIN(O106+P106,'Debt strategy'!$E$11)</x:f>
        <x:v>0</x:v>
      </x:c>
      <x:c r="R106" s="27" t="n">
        <x:f>IF(O106+P106-Q106&lt;=0,99,1+SUM(IF(AND(C106+D106-E106&gt;0,OR(C106+D106-E106&lt;O106+P106-Q106,AND(C106+D106-E106=O106+P106-Q106,0&lt;2))),1,0),IF(AND(I106+J106-K106&gt;0,OR(I106+J106-K106&lt;O106+P106-Q106,AND(I106+J106-K106=O106+P106-Q106,1&lt;2))),1,0),IF(AND(U106+V106-W106&gt;0,OR(U106+V106-W106&lt;O106+P106-Q106,AND(U106+V106-W106=O106+P106-Q106,3&lt;2))),1,0),IF(AND(AA106+AB106-AC106&gt;0,OR(AA106+AB106-AC106&lt;O106+P106-Q106,AND(AA106+AB106-AC106=O106+P106-Q106,4&lt;2))),1,0)))</x:f>
        <x:v>99</x:v>
      </x:c>
      <x:c r="S106" s="6" t="n">
        <x:f>IF('Debt strategy'!$C$16&gt;0,0,MIN(O106+P106-Q106,MAX(0,'Debt strategy'!$C$5-SUM(E106,K106,Q106,W106,AC106)-SUM(IF(F106&lt;R106,C106+D106-E106,0),IF(L106&lt;R106,I106+J106-K106,0),IF(X106&lt;R106,U106+V106-W106,0),IF(AD106&lt;R106,AA106+AB106-AC106,0)))))</x:f>
        <x:v>0</x:v>
      </x:c>
      <x:c r="T106" s="6" t="n">
        <x:f>ROUND(MAX(0,O106+P106-Q106-S106),2)</x:f>
        <x:v>0</x:v>
      </x:c>
      <x:c r="U106" s="6" t="n">
        <x:f>Z105</x:f>
        <x:v>0</x:v>
      </x:c>
      <x:c r="V106" s="6" t="n">
        <x:f>ROUND(U106*'Debt strategy'!$D$12/12,2)</x:f>
        <x:v>0</x:v>
      </x:c>
      <x:c r="W106" s="6" t="n">
        <x:f>MIN(U106+V106,'Debt strategy'!$E$12)</x:f>
        <x:v>0</x:v>
      </x:c>
      <x:c r="X106" s="27" t="n">
        <x:f>IF(U106+V106-W106&lt;=0,99,1+SUM(IF(AND(C106+D106-E106&gt;0,OR(C106+D106-E106&lt;U106+V106-W106,AND(C106+D106-E106=U106+V106-W106,0&lt;3))),1,0),IF(AND(I106+J106-K106&gt;0,OR(I106+J106-K106&lt;U106+V106-W106,AND(I106+J106-K106=U106+V106-W106,1&lt;3))),1,0),IF(AND(O106+P106-Q106&gt;0,OR(O106+P106-Q106&lt;U106+V106-W106,AND(O106+P106-Q106=U106+V106-W106,2&lt;3))),1,0),IF(AND(AA106+AB106-AC106&gt;0,OR(AA106+AB106-AC106&lt;U106+V106-W106,AND(AA106+AB106-AC106=U106+V106-W106,4&lt;3))),1,0)))</x:f>
        <x:v>99</x:v>
      </x:c>
      <x:c r="Y106" s="6" t="n">
        <x:f>IF('Debt strategy'!$C$16&gt;0,0,MIN(U106+V106-W106,MAX(0,'Debt strategy'!$C$5-SUM(E106,K106,Q106,W106,AC106)-SUM(IF(F106&lt;X106,C106+D106-E106,0),IF(L106&lt;X106,I106+J106-K106,0),IF(R106&lt;X106,O106+P106-Q106,0),IF(AD106&lt;X106,AA106+AB106-AC106,0)))))</x:f>
        <x:v>0</x:v>
      </x:c>
      <x:c r="Z106" s="6" t="n">
        <x:f>ROUND(MAX(0,U106+V106-W106-Y106),2)</x:f>
        <x:v>0</x:v>
      </x:c>
      <x:c r="AA106" s="6" t="n">
        <x:f>AF105</x:f>
        <x:v>0</x:v>
      </x:c>
      <x:c r="AB106" s="6" t="n">
        <x:f>ROUND(AA106*'Debt strategy'!$D$13/12,2)</x:f>
        <x:v>0</x:v>
      </x:c>
      <x:c r="AC106" s="6" t="n">
        <x:f>MIN(AA106+AB106,'Debt strategy'!$E$13)</x:f>
        <x:v>0</x:v>
      </x:c>
      <x:c r="AD106" s="27" t="n">
        <x:f>IF(AA106+AB106-AC106&lt;=0,99,1+SUM(IF(AND(C106+D106-E106&gt;0,OR(C106+D106-E106&lt;AA106+AB106-AC106,AND(C106+D106-E106=AA106+AB106-AC106,0&lt;4))),1,0),IF(AND(I106+J106-K106&gt;0,OR(I106+J106-K106&lt;AA106+AB106-AC106,AND(I106+J106-K106=AA106+AB106-AC106,1&lt;4))),1,0),IF(AND(O106+P106-Q106&gt;0,OR(O106+P106-Q106&lt;AA106+AB106-AC106,AND(O106+P106-Q106=AA106+AB106-AC106,2&lt;4))),1,0),IF(AND(U106+V106-W106&gt;0,OR(U106+V106-W106&lt;AA106+AB106-AC106,AND(U106+V106-W106=AA106+AB106-AC106,3&lt;4))),1,0)))</x:f>
        <x:v>99</x:v>
      </x:c>
      <x:c r="AE106" s="6" t="n">
        <x:f>IF('Debt strategy'!$C$16&gt;0,0,MIN(AA106+AB106-AC106,MAX(0,'Debt strategy'!$C$5-SUM(E106,K106,Q106,W106,AC106)-SUM(IF(F106&lt;AD106,C106+D106-E106,0),IF(L106&lt;AD106,I106+J106-K106,0),IF(R106&lt;AD106,O106+P106-Q106,0),IF(X106&lt;AD106,U106+V106-W106,0)))))</x:f>
        <x:v>0</x:v>
      </x:c>
      <x:c r="AF106" s="6" t="n">
        <x:f>ROUND(MAX(0,AA106+AB106-AC106-AE106),2)</x:f>
        <x:v>0</x:v>
      </x:c>
      <x:c r="AG106" s="6" t="n">
        <x:f>SUM(H106,N106,T106,Z106,AF106)</x:f>
        <x:v>0</x:v>
      </x:c>
      <x:c r="AH106" s="6" t="n">
        <x:f>SUM(D106,J106,P106,V106,AB106)+AH105</x:f>
        <x:v>1353.9499999999996</x:v>
      </x:c>
      <x:c r="AI106" s="2"/>
    </x:row>
    <x:row r="107" ht="23" customHeight="1">
      <x:c r="B107" s="2" t="n">
        <x:f>99</x:f>
        <x:v>99</x:v>
      </x:c>
      <x:c r="C107" s="6" t="n">
        <x:f>H106</x:f>
        <x:v>0</x:v>
      </x:c>
      <x:c r="D107" s="6" t="n">
        <x:f>ROUND(C107*'Debt strategy'!$D$9/12,2)</x:f>
        <x:v>0</x:v>
      </x:c>
      <x:c r="E107" s="6" t="n">
        <x:f>MIN(C107+D107,'Debt strategy'!$E$9)</x:f>
        <x:v>0</x:v>
      </x:c>
      <x:c r="F107" s="27" t="n">
        <x:f>IF(C107+D107-E107&lt;=0,99,1+SUM(IF(AND(I107+J107-K107&gt;0,OR(I107+J107-K107&lt;C107+D107-E107,AND(I107+J107-K107=C107+D107-E107,1&lt;0))),1,0),IF(AND(O107+P107-Q107&gt;0,OR(O107+P107-Q107&lt;C107+D107-E107,AND(O107+P107-Q107=C107+D107-E107,2&lt;0))),1,0),IF(AND(U107+V107-W107&gt;0,OR(U107+V107-W107&lt;C107+D107-E107,AND(U107+V107-W107=C107+D107-E107,3&lt;0))),1,0),IF(AND(AA107+AB107-AC107&gt;0,OR(AA107+AB107-AC107&lt;C107+D107-E107,AND(AA107+AB107-AC107=C107+D107-E107,4&lt;0))),1,0)))</x:f>
        <x:v>99</x:v>
      </x:c>
      <x:c r="G107" s="6" t="n">
        <x:f>IF('Debt strategy'!$C$16&gt;0,0,MIN(C107+D107-E107,MAX(0,'Debt strategy'!$C$5-SUM(E107,K107,Q107,W107,AC107)-SUM(IF(L107&lt;F107,I107+J107-K107,0),IF(R107&lt;F107,O107+P107-Q107,0),IF(X107&lt;F107,U107+V107-W107,0),IF(AD107&lt;F107,AA107+AB107-AC107,0)))))</x:f>
        <x:v>0</x:v>
      </x:c>
      <x:c r="H107" s="6" t="n">
        <x:f>ROUND(MAX(0,C107+D107-E107-G107),2)</x:f>
        <x:v>0</x:v>
      </x:c>
      <x:c r="I107" s="6" t="n">
        <x:f>N106</x:f>
        <x:v>0</x:v>
      </x:c>
      <x:c r="J107" s="6" t="n">
        <x:f>ROUND(I107*'Debt strategy'!$D$10/12,2)</x:f>
        <x:v>0</x:v>
      </x:c>
      <x:c r="K107" s="6" t="n">
        <x:f>MIN(I107+J107,'Debt strategy'!$E$10)</x:f>
        <x:v>0</x:v>
      </x:c>
      <x:c r="L107" s="27" t="n">
        <x:f>IF(I107+J107-K107&lt;=0,99,1+SUM(IF(AND(C107+D107-E107&gt;0,OR(C107+D107-E107&lt;I107+J107-K107,AND(C107+D107-E107=I107+J107-K107,0&lt;1))),1,0),IF(AND(O107+P107-Q107&gt;0,OR(O107+P107-Q107&lt;I107+J107-K107,AND(O107+P107-Q107=I107+J107-K107,2&lt;1))),1,0),IF(AND(U107+V107-W107&gt;0,OR(U107+V107-W107&lt;I107+J107-K107,AND(U107+V107-W107=I107+J107-K107,3&lt;1))),1,0),IF(AND(AA107+AB107-AC107&gt;0,OR(AA107+AB107-AC107&lt;I107+J107-K107,AND(AA107+AB107-AC107=I107+J107-K107,4&lt;1))),1,0)))</x:f>
        <x:v>99</x:v>
      </x:c>
      <x:c r="M107" s="6" t="n">
        <x:f>IF('Debt strategy'!$C$16&gt;0,0,MIN(I107+J107-K107,MAX(0,'Debt strategy'!$C$5-SUM(E107,K107,Q107,W107,AC107)-SUM(IF(F107&lt;L107,C107+D107-E107,0),IF(R107&lt;L107,O107+P107-Q107,0),IF(X107&lt;L107,U107+V107-W107,0),IF(AD107&lt;L107,AA107+AB107-AC107,0)))))</x:f>
        <x:v>0</x:v>
      </x:c>
      <x:c r="N107" s="6" t="n">
        <x:f>ROUND(MAX(0,I107+J107-K107-M107),2)</x:f>
        <x:v>0</x:v>
      </x:c>
      <x:c r="O107" s="6" t="n">
        <x:f>T106</x:f>
        <x:v>0</x:v>
      </x:c>
      <x:c r="P107" s="6" t="n">
        <x:f>ROUND(O107*'Debt strategy'!$D$11/12,2)</x:f>
        <x:v>0</x:v>
      </x:c>
      <x:c r="Q107" s="6" t="n">
        <x:f>MIN(O107+P107,'Debt strategy'!$E$11)</x:f>
        <x:v>0</x:v>
      </x:c>
      <x:c r="R107" s="27" t="n">
        <x:f>IF(O107+P107-Q107&lt;=0,99,1+SUM(IF(AND(C107+D107-E107&gt;0,OR(C107+D107-E107&lt;O107+P107-Q107,AND(C107+D107-E107=O107+P107-Q107,0&lt;2))),1,0),IF(AND(I107+J107-K107&gt;0,OR(I107+J107-K107&lt;O107+P107-Q107,AND(I107+J107-K107=O107+P107-Q107,1&lt;2))),1,0),IF(AND(U107+V107-W107&gt;0,OR(U107+V107-W107&lt;O107+P107-Q107,AND(U107+V107-W107=O107+P107-Q107,3&lt;2))),1,0),IF(AND(AA107+AB107-AC107&gt;0,OR(AA107+AB107-AC107&lt;O107+P107-Q107,AND(AA107+AB107-AC107=O107+P107-Q107,4&lt;2))),1,0)))</x:f>
        <x:v>99</x:v>
      </x:c>
      <x:c r="S107" s="6" t="n">
        <x:f>IF('Debt strategy'!$C$16&gt;0,0,MIN(O107+P107-Q107,MAX(0,'Debt strategy'!$C$5-SUM(E107,K107,Q107,W107,AC107)-SUM(IF(F107&lt;R107,C107+D107-E107,0),IF(L107&lt;R107,I107+J107-K107,0),IF(X107&lt;R107,U107+V107-W107,0),IF(AD107&lt;R107,AA107+AB107-AC107,0)))))</x:f>
        <x:v>0</x:v>
      </x:c>
      <x:c r="T107" s="6" t="n">
        <x:f>ROUND(MAX(0,O107+P107-Q107-S107),2)</x:f>
        <x:v>0</x:v>
      </x:c>
      <x:c r="U107" s="6" t="n">
        <x:f>Z106</x:f>
        <x:v>0</x:v>
      </x:c>
      <x:c r="V107" s="6" t="n">
        <x:f>ROUND(U107*'Debt strategy'!$D$12/12,2)</x:f>
        <x:v>0</x:v>
      </x:c>
      <x:c r="W107" s="6" t="n">
        <x:f>MIN(U107+V107,'Debt strategy'!$E$12)</x:f>
        <x:v>0</x:v>
      </x:c>
      <x:c r="X107" s="27" t="n">
        <x:f>IF(U107+V107-W107&lt;=0,99,1+SUM(IF(AND(C107+D107-E107&gt;0,OR(C107+D107-E107&lt;U107+V107-W107,AND(C107+D107-E107=U107+V107-W107,0&lt;3))),1,0),IF(AND(I107+J107-K107&gt;0,OR(I107+J107-K107&lt;U107+V107-W107,AND(I107+J107-K107=U107+V107-W107,1&lt;3))),1,0),IF(AND(O107+P107-Q107&gt;0,OR(O107+P107-Q107&lt;U107+V107-W107,AND(O107+P107-Q107=U107+V107-W107,2&lt;3))),1,0),IF(AND(AA107+AB107-AC107&gt;0,OR(AA107+AB107-AC107&lt;U107+V107-W107,AND(AA107+AB107-AC107=U107+V107-W107,4&lt;3))),1,0)))</x:f>
        <x:v>99</x:v>
      </x:c>
      <x:c r="Y107" s="6" t="n">
        <x:f>IF('Debt strategy'!$C$16&gt;0,0,MIN(U107+V107-W107,MAX(0,'Debt strategy'!$C$5-SUM(E107,K107,Q107,W107,AC107)-SUM(IF(F107&lt;X107,C107+D107-E107,0),IF(L107&lt;X107,I107+J107-K107,0),IF(R107&lt;X107,O107+P107-Q107,0),IF(AD107&lt;X107,AA107+AB107-AC107,0)))))</x:f>
        <x:v>0</x:v>
      </x:c>
      <x:c r="Z107" s="6" t="n">
        <x:f>ROUND(MAX(0,U107+V107-W107-Y107),2)</x:f>
        <x:v>0</x:v>
      </x:c>
      <x:c r="AA107" s="6" t="n">
        <x:f>AF106</x:f>
        <x:v>0</x:v>
      </x:c>
      <x:c r="AB107" s="6" t="n">
        <x:f>ROUND(AA107*'Debt strategy'!$D$13/12,2)</x:f>
        <x:v>0</x:v>
      </x:c>
      <x:c r="AC107" s="6" t="n">
        <x:f>MIN(AA107+AB107,'Debt strategy'!$E$13)</x:f>
        <x:v>0</x:v>
      </x:c>
      <x:c r="AD107" s="27" t="n">
        <x:f>IF(AA107+AB107-AC107&lt;=0,99,1+SUM(IF(AND(C107+D107-E107&gt;0,OR(C107+D107-E107&lt;AA107+AB107-AC107,AND(C107+D107-E107=AA107+AB107-AC107,0&lt;4))),1,0),IF(AND(I107+J107-K107&gt;0,OR(I107+J107-K107&lt;AA107+AB107-AC107,AND(I107+J107-K107=AA107+AB107-AC107,1&lt;4))),1,0),IF(AND(O107+P107-Q107&gt;0,OR(O107+P107-Q107&lt;AA107+AB107-AC107,AND(O107+P107-Q107=AA107+AB107-AC107,2&lt;4))),1,0),IF(AND(U107+V107-W107&gt;0,OR(U107+V107-W107&lt;AA107+AB107-AC107,AND(U107+V107-W107=AA107+AB107-AC107,3&lt;4))),1,0)))</x:f>
        <x:v>99</x:v>
      </x:c>
      <x:c r="AE107" s="6" t="n">
        <x:f>IF('Debt strategy'!$C$16&gt;0,0,MIN(AA107+AB107-AC107,MAX(0,'Debt strategy'!$C$5-SUM(E107,K107,Q107,W107,AC107)-SUM(IF(F107&lt;AD107,C107+D107-E107,0),IF(L107&lt;AD107,I107+J107-K107,0),IF(R107&lt;AD107,O107+P107-Q107,0),IF(X107&lt;AD107,U107+V107-W107,0)))))</x:f>
        <x:v>0</x:v>
      </x:c>
      <x:c r="AF107" s="6" t="n">
        <x:f>ROUND(MAX(0,AA107+AB107-AC107-AE107),2)</x:f>
        <x:v>0</x:v>
      </x:c>
      <x:c r="AG107" s="6" t="n">
        <x:f>SUM(H107,N107,T107,Z107,AF107)</x:f>
        <x:v>0</x:v>
      </x:c>
      <x:c r="AH107" s="6" t="n">
        <x:f>SUM(D107,J107,P107,V107,AB107)+AH106</x:f>
        <x:v>1353.9499999999996</x:v>
      </x:c>
      <x:c r="AI107" s="2"/>
    </x:row>
    <x:row r="108" ht="23" customHeight="1">
      <x:c r="B108" s="2" t="n">
        <x:f>100</x:f>
        <x:v>100</x:v>
      </x:c>
      <x:c r="C108" s="6" t="n">
        <x:f>H107</x:f>
        <x:v>0</x:v>
      </x:c>
      <x:c r="D108" s="6" t="n">
        <x:f>ROUND(C108*'Debt strategy'!$D$9/12,2)</x:f>
        <x:v>0</x:v>
      </x:c>
      <x:c r="E108" s="6" t="n">
        <x:f>MIN(C108+D108,'Debt strategy'!$E$9)</x:f>
        <x:v>0</x:v>
      </x:c>
      <x:c r="F108" s="27" t="n">
        <x:f>IF(C108+D108-E108&lt;=0,99,1+SUM(IF(AND(I108+J108-K108&gt;0,OR(I108+J108-K108&lt;C108+D108-E108,AND(I108+J108-K108=C108+D108-E108,1&lt;0))),1,0),IF(AND(O108+P108-Q108&gt;0,OR(O108+P108-Q108&lt;C108+D108-E108,AND(O108+P108-Q108=C108+D108-E108,2&lt;0))),1,0),IF(AND(U108+V108-W108&gt;0,OR(U108+V108-W108&lt;C108+D108-E108,AND(U108+V108-W108=C108+D108-E108,3&lt;0))),1,0),IF(AND(AA108+AB108-AC108&gt;0,OR(AA108+AB108-AC108&lt;C108+D108-E108,AND(AA108+AB108-AC108=C108+D108-E108,4&lt;0))),1,0)))</x:f>
        <x:v>99</x:v>
      </x:c>
      <x:c r="G108" s="6" t="n">
        <x:f>IF('Debt strategy'!$C$16&gt;0,0,MIN(C108+D108-E108,MAX(0,'Debt strategy'!$C$5-SUM(E108,K108,Q108,W108,AC108)-SUM(IF(L108&lt;F108,I108+J108-K108,0),IF(R108&lt;F108,O108+P108-Q108,0),IF(X108&lt;F108,U108+V108-W108,0),IF(AD108&lt;F108,AA108+AB108-AC108,0)))))</x:f>
        <x:v>0</x:v>
      </x:c>
      <x:c r="H108" s="6" t="n">
        <x:f>ROUND(MAX(0,C108+D108-E108-G108),2)</x:f>
        <x:v>0</x:v>
      </x:c>
      <x:c r="I108" s="6" t="n">
        <x:f>N107</x:f>
        <x:v>0</x:v>
      </x:c>
      <x:c r="J108" s="6" t="n">
        <x:f>ROUND(I108*'Debt strategy'!$D$10/12,2)</x:f>
        <x:v>0</x:v>
      </x:c>
      <x:c r="K108" s="6" t="n">
        <x:f>MIN(I108+J108,'Debt strategy'!$E$10)</x:f>
        <x:v>0</x:v>
      </x:c>
      <x:c r="L108" s="27" t="n">
        <x:f>IF(I108+J108-K108&lt;=0,99,1+SUM(IF(AND(C108+D108-E108&gt;0,OR(C108+D108-E108&lt;I108+J108-K108,AND(C108+D108-E108=I108+J108-K108,0&lt;1))),1,0),IF(AND(O108+P108-Q108&gt;0,OR(O108+P108-Q108&lt;I108+J108-K108,AND(O108+P108-Q108=I108+J108-K108,2&lt;1))),1,0),IF(AND(U108+V108-W108&gt;0,OR(U108+V108-W108&lt;I108+J108-K108,AND(U108+V108-W108=I108+J108-K108,3&lt;1))),1,0),IF(AND(AA108+AB108-AC108&gt;0,OR(AA108+AB108-AC108&lt;I108+J108-K108,AND(AA108+AB108-AC108=I108+J108-K108,4&lt;1))),1,0)))</x:f>
        <x:v>99</x:v>
      </x:c>
      <x:c r="M108" s="6" t="n">
        <x:f>IF('Debt strategy'!$C$16&gt;0,0,MIN(I108+J108-K108,MAX(0,'Debt strategy'!$C$5-SUM(E108,K108,Q108,W108,AC108)-SUM(IF(F108&lt;L108,C108+D108-E108,0),IF(R108&lt;L108,O108+P108-Q108,0),IF(X108&lt;L108,U108+V108-W108,0),IF(AD108&lt;L108,AA108+AB108-AC108,0)))))</x:f>
        <x:v>0</x:v>
      </x:c>
      <x:c r="N108" s="6" t="n">
        <x:f>ROUND(MAX(0,I108+J108-K108-M108),2)</x:f>
        <x:v>0</x:v>
      </x:c>
      <x:c r="O108" s="6" t="n">
        <x:f>T107</x:f>
        <x:v>0</x:v>
      </x:c>
      <x:c r="P108" s="6" t="n">
        <x:f>ROUND(O108*'Debt strategy'!$D$11/12,2)</x:f>
        <x:v>0</x:v>
      </x:c>
      <x:c r="Q108" s="6" t="n">
        <x:f>MIN(O108+P108,'Debt strategy'!$E$11)</x:f>
        <x:v>0</x:v>
      </x:c>
      <x:c r="R108" s="27" t="n">
        <x:f>IF(O108+P108-Q108&lt;=0,99,1+SUM(IF(AND(C108+D108-E108&gt;0,OR(C108+D108-E108&lt;O108+P108-Q108,AND(C108+D108-E108=O108+P108-Q108,0&lt;2))),1,0),IF(AND(I108+J108-K108&gt;0,OR(I108+J108-K108&lt;O108+P108-Q108,AND(I108+J108-K108=O108+P108-Q108,1&lt;2))),1,0),IF(AND(U108+V108-W108&gt;0,OR(U108+V108-W108&lt;O108+P108-Q108,AND(U108+V108-W108=O108+P108-Q108,3&lt;2))),1,0),IF(AND(AA108+AB108-AC108&gt;0,OR(AA108+AB108-AC108&lt;O108+P108-Q108,AND(AA108+AB108-AC108=O108+P108-Q108,4&lt;2))),1,0)))</x:f>
        <x:v>99</x:v>
      </x:c>
      <x:c r="S108" s="6" t="n">
        <x:f>IF('Debt strategy'!$C$16&gt;0,0,MIN(O108+P108-Q108,MAX(0,'Debt strategy'!$C$5-SUM(E108,K108,Q108,W108,AC108)-SUM(IF(F108&lt;R108,C108+D108-E108,0),IF(L108&lt;R108,I108+J108-K108,0),IF(X108&lt;R108,U108+V108-W108,0),IF(AD108&lt;R108,AA108+AB108-AC108,0)))))</x:f>
        <x:v>0</x:v>
      </x:c>
      <x:c r="T108" s="6" t="n">
        <x:f>ROUND(MAX(0,O108+P108-Q108-S108),2)</x:f>
        <x:v>0</x:v>
      </x:c>
      <x:c r="U108" s="6" t="n">
        <x:f>Z107</x:f>
        <x:v>0</x:v>
      </x:c>
      <x:c r="V108" s="6" t="n">
        <x:f>ROUND(U108*'Debt strategy'!$D$12/12,2)</x:f>
        <x:v>0</x:v>
      </x:c>
      <x:c r="W108" s="6" t="n">
        <x:f>MIN(U108+V108,'Debt strategy'!$E$12)</x:f>
        <x:v>0</x:v>
      </x:c>
      <x:c r="X108" s="27" t="n">
        <x:f>IF(U108+V108-W108&lt;=0,99,1+SUM(IF(AND(C108+D108-E108&gt;0,OR(C108+D108-E108&lt;U108+V108-W108,AND(C108+D108-E108=U108+V108-W108,0&lt;3))),1,0),IF(AND(I108+J108-K108&gt;0,OR(I108+J108-K108&lt;U108+V108-W108,AND(I108+J108-K108=U108+V108-W108,1&lt;3))),1,0),IF(AND(O108+P108-Q108&gt;0,OR(O108+P108-Q108&lt;U108+V108-W108,AND(O108+P108-Q108=U108+V108-W108,2&lt;3))),1,0),IF(AND(AA108+AB108-AC108&gt;0,OR(AA108+AB108-AC108&lt;U108+V108-W108,AND(AA108+AB108-AC108=U108+V108-W108,4&lt;3))),1,0)))</x:f>
        <x:v>99</x:v>
      </x:c>
      <x:c r="Y108" s="6" t="n">
        <x:f>IF('Debt strategy'!$C$16&gt;0,0,MIN(U108+V108-W108,MAX(0,'Debt strategy'!$C$5-SUM(E108,K108,Q108,W108,AC108)-SUM(IF(F108&lt;X108,C108+D108-E108,0),IF(L108&lt;X108,I108+J108-K108,0),IF(R108&lt;X108,O108+P108-Q108,0),IF(AD108&lt;X108,AA108+AB108-AC108,0)))))</x:f>
        <x:v>0</x:v>
      </x:c>
      <x:c r="Z108" s="6" t="n">
        <x:f>ROUND(MAX(0,U108+V108-W108-Y108),2)</x:f>
        <x:v>0</x:v>
      </x:c>
      <x:c r="AA108" s="6" t="n">
        <x:f>AF107</x:f>
        <x:v>0</x:v>
      </x:c>
      <x:c r="AB108" s="6" t="n">
        <x:f>ROUND(AA108*'Debt strategy'!$D$13/12,2)</x:f>
        <x:v>0</x:v>
      </x:c>
      <x:c r="AC108" s="6" t="n">
        <x:f>MIN(AA108+AB108,'Debt strategy'!$E$13)</x:f>
        <x:v>0</x:v>
      </x:c>
      <x:c r="AD108" s="27" t="n">
        <x:f>IF(AA108+AB108-AC108&lt;=0,99,1+SUM(IF(AND(C108+D108-E108&gt;0,OR(C108+D108-E108&lt;AA108+AB108-AC108,AND(C108+D108-E108=AA108+AB108-AC108,0&lt;4))),1,0),IF(AND(I108+J108-K108&gt;0,OR(I108+J108-K108&lt;AA108+AB108-AC108,AND(I108+J108-K108=AA108+AB108-AC108,1&lt;4))),1,0),IF(AND(O108+P108-Q108&gt;0,OR(O108+P108-Q108&lt;AA108+AB108-AC108,AND(O108+P108-Q108=AA108+AB108-AC108,2&lt;4))),1,0),IF(AND(U108+V108-W108&gt;0,OR(U108+V108-W108&lt;AA108+AB108-AC108,AND(U108+V108-W108=AA108+AB108-AC108,3&lt;4))),1,0)))</x:f>
        <x:v>99</x:v>
      </x:c>
      <x:c r="AE108" s="6" t="n">
        <x:f>IF('Debt strategy'!$C$16&gt;0,0,MIN(AA108+AB108-AC108,MAX(0,'Debt strategy'!$C$5-SUM(E108,K108,Q108,W108,AC108)-SUM(IF(F108&lt;AD108,C108+D108-E108,0),IF(L108&lt;AD108,I108+J108-K108,0),IF(R108&lt;AD108,O108+P108-Q108,0),IF(X108&lt;AD108,U108+V108-W108,0)))))</x:f>
        <x:v>0</x:v>
      </x:c>
      <x:c r="AF108" s="6" t="n">
        <x:f>ROUND(MAX(0,AA108+AB108-AC108-AE108),2)</x:f>
        <x:v>0</x:v>
      </x:c>
      <x:c r="AG108" s="6" t="n">
        <x:f>SUM(H108,N108,T108,Z108,AF108)</x:f>
        <x:v>0</x:v>
      </x:c>
      <x:c r="AH108" s="6" t="n">
        <x:f>SUM(D108,J108,P108,V108,AB108)+AH107</x:f>
        <x:v>1353.9499999999996</x:v>
      </x:c>
      <x:c r="AI108" s="2"/>
    </x:row>
    <x:row r="109" ht="23" customHeight="1">
      <x:c r="B109" s="2" t="n">
        <x:f>101</x:f>
        <x:v>101</x:v>
      </x:c>
      <x:c r="C109" s="6" t="n">
        <x:f>H108</x:f>
        <x:v>0</x:v>
      </x:c>
      <x:c r="D109" s="6" t="n">
        <x:f>ROUND(C109*'Debt strategy'!$D$9/12,2)</x:f>
        <x:v>0</x:v>
      </x:c>
      <x:c r="E109" s="6" t="n">
        <x:f>MIN(C109+D109,'Debt strategy'!$E$9)</x:f>
        <x:v>0</x:v>
      </x:c>
      <x:c r="F109" s="27" t="n">
        <x:f>IF(C109+D109-E109&lt;=0,99,1+SUM(IF(AND(I109+J109-K109&gt;0,OR(I109+J109-K109&lt;C109+D109-E109,AND(I109+J109-K109=C109+D109-E109,1&lt;0))),1,0),IF(AND(O109+P109-Q109&gt;0,OR(O109+P109-Q109&lt;C109+D109-E109,AND(O109+P109-Q109=C109+D109-E109,2&lt;0))),1,0),IF(AND(U109+V109-W109&gt;0,OR(U109+V109-W109&lt;C109+D109-E109,AND(U109+V109-W109=C109+D109-E109,3&lt;0))),1,0),IF(AND(AA109+AB109-AC109&gt;0,OR(AA109+AB109-AC109&lt;C109+D109-E109,AND(AA109+AB109-AC109=C109+D109-E109,4&lt;0))),1,0)))</x:f>
        <x:v>99</x:v>
      </x:c>
      <x:c r="G109" s="6" t="n">
        <x:f>IF('Debt strategy'!$C$16&gt;0,0,MIN(C109+D109-E109,MAX(0,'Debt strategy'!$C$5-SUM(E109,K109,Q109,W109,AC109)-SUM(IF(L109&lt;F109,I109+J109-K109,0),IF(R109&lt;F109,O109+P109-Q109,0),IF(X109&lt;F109,U109+V109-W109,0),IF(AD109&lt;F109,AA109+AB109-AC109,0)))))</x:f>
        <x:v>0</x:v>
      </x:c>
      <x:c r="H109" s="6" t="n">
        <x:f>ROUND(MAX(0,C109+D109-E109-G109),2)</x:f>
        <x:v>0</x:v>
      </x:c>
      <x:c r="I109" s="6" t="n">
        <x:f>N108</x:f>
        <x:v>0</x:v>
      </x:c>
      <x:c r="J109" s="6" t="n">
        <x:f>ROUND(I109*'Debt strategy'!$D$10/12,2)</x:f>
        <x:v>0</x:v>
      </x:c>
      <x:c r="K109" s="6" t="n">
        <x:f>MIN(I109+J109,'Debt strategy'!$E$10)</x:f>
        <x:v>0</x:v>
      </x:c>
      <x:c r="L109" s="27" t="n">
        <x:f>IF(I109+J109-K109&lt;=0,99,1+SUM(IF(AND(C109+D109-E109&gt;0,OR(C109+D109-E109&lt;I109+J109-K109,AND(C109+D109-E109=I109+J109-K109,0&lt;1))),1,0),IF(AND(O109+P109-Q109&gt;0,OR(O109+P109-Q109&lt;I109+J109-K109,AND(O109+P109-Q109=I109+J109-K109,2&lt;1))),1,0),IF(AND(U109+V109-W109&gt;0,OR(U109+V109-W109&lt;I109+J109-K109,AND(U109+V109-W109=I109+J109-K109,3&lt;1))),1,0),IF(AND(AA109+AB109-AC109&gt;0,OR(AA109+AB109-AC109&lt;I109+J109-K109,AND(AA109+AB109-AC109=I109+J109-K109,4&lt;1))),1,0)))</x:f>
        <x:v>99</x:v>
      </x:c>
      <x:c r="M109" s="6" t="n">
        <x:f>IF('Debt strategy'!$C$16&gt;0,0,MIN(I109+J109-K109,MAX(0,'Debt strategy'!$C$5-SUM(E109,K109,Q109,W109,AC109)-SUM(IF(F109&lt;L109,C109+D109-E109,0),IF(R109&lt;L109,O109+P109-Q109,0),IF(X109&lt;L109,U109+V109-W109,0),IF(AD109&lt;L109,AA109+AB109-AC109,0)))))</x:f>
        <x:v>0</x:v>
      </x:c>
      <x:c r="N109" s="6" t="n">
        <x:f>ROUND(MAX(0,I109+J109-K109-M109),2)</x:f>
        <x:v>0</x:v>
      </x:c>
      <x:c r="O109" s="6" t="n">
        <x:f>T108</x:f>
        <x:v>0</x:v>
      </x:c>
      <x:c r="P109" s="6" t="n">
        <x:f>ROUND(O109*'Debt strategy'!$D$11/12,2)</x:f>
        <x:v>0</x:v>
      </x:c>
      <x:c r="Q109" s="6" t="n">
        <x:f>MIN(O109+P109,'Debt strategy'!$E$11)</x:f>
        <x:v>0</x:v>
      </x:c>
      <x:c r="R109" s="27" t="n">
        <x:f>IF(O109+P109-Q109&lt;=0,99,1+SUM(IF(AND(C109+D109-E109&gt;0,OR(C109+D109-E109&lt;O109+P109-Q109,AND(C109+D109-E109=O109+P109-Q109,0&lt;2))),1,0),IF(AND(I109+J109-K109&gt;0,OR(I109+J109-K109&lt;O109+P109-Q109,AND(I109+J109-K109=O109+P109-Q109,1&lt;2))),1,0),IF(AND(U109+V109-W109&gt;0,OR(U109+V109-W109&lt;O109+P109-Q109,AND(U109+V109-W109=O109+P109-Q109,3&lt;2))),1,0),IF(AND(AA109+AB109-AC109&gt;0,OR(AA109+AB109-AC109&lt;O109+P109-Q109,AND(AA109+AB109-AC109=O109+P109-Q109,4&lt;2))),1,0)))</x:f>
        <x:v>99</x:v>
      </x:c>
      <x:c r="S109" s="6" t="n">
        <x:f>IF('Debt strategy'!$C$16&gt;0,0,MIN(O109+P109-Q109,MAX(0,'Debt strategy'!$C$5-SUM(E109,K109,Q109,W109,AC109)-SUM(IF(F109&lt;R109,C109+D109-E109,0),IF(L109&lt;R109,I109+J109-K109,0),IF(X109&lt;R109,U109+V109-W109,0),IF(AD109&lt;R109,AA109+AB109-AC109,0)))))</x:f>
        <x:v>0</x:v>
      </x:c>
      <x:c r="T109" s="6" t="n">
        <x:f>ROUND(MAX(0,O109+P109-Q109-S109),2)</x:f>
        <x:v>0</x:v>
      </x:c>
      <x:c r="U109" s="6" t="n">
        <x:f>Z108</x:f>
        <x:v>0</x:v>
      </x:c>
      <x:c r="V109" s="6" t="n">
        <x:f>ROUND(U109*'Debt strategy'!$D$12/12,2)</x:f>
        <x:v>0</x:v>
      </x:c>
      <x:c r="W109" s="6" t="n">
        <x:f>MIN(U109+V109,'Debt strategy'!$E$12)</x:f>
        <x:v>0</x:v>
      </x:c>
      <x:c r="X109" s="27" t="n">
        <x:f>IF(U109+V109-W109&lt;=0,99,1+SUM(IF(AND(C109+D109-E109&gt;0,OR(C109+D109-E109&lt;U109+V109-W109,AND(C109+D109-E109=U109+V109-W109,0&lt;3))),1,0),IF(AND(I109+J109-K109&gt;0,OR(I109+J109-K109&lt;U109+V109-W109,AND(I109+J109-K109=U109+V109-W109,1&lt;3))),1,0),IF(AND(O109+P109-Q109&gt;0,OR(O109+P109-Q109&lt;U109+V109-W109,AND(O109+P109-Q109=U109+V109-W109,2&lt;3))),1,0),IF(AND(AA109+AB109-AC109&gt;0,OR(AA109+AB109-AC109&lt;U109+V109-W109,AND(AA109+AB109-AC109=U109+V109-W109,4&lt;3))),1,0)))</x:f>
        <x:v>99</x:v>
      </x:c>
      <x:c r="Y109" s="6" t="n">
        <x:f>IF('Debt strategy'!$C$16&gt;0,0,MIN(U109+V109-W109,MAX(0,'Debt strategy'!$C$5-SUM(E109,K109,Q109,W109,AC109)-SUM(IF(F109&lt;X109,C109+D109-E109,0),IF(L109&lt;X109,I109+J109-K109,0),IF(R109&lt;X109,O109+P109-Q109,0),IF(AD109&lt;X109,AA109+AB109-AC109,0)))))</x:f>
        <x:v>0</x:v>
      </x:c>
      <x:c r="Z109" s="6" t="n">
        <x:f>ROUND(MAX(0,U109+V109-W109-Y109),2)</x:f>
        <x:v>0</x:v>
      </x:c>
      <x:c r="AA109" s="6" t="n">
        <x:f>AF108</x:f>
        <x:v>0</x:v>
      </x:c>
      <x:c r="AB109" s="6" t="n">
        <x:f>ROUND(AA109*'Debt strategy'!$D$13/12,2)</x:f>
        <x:v>0</x:v>
      </x:c>
      <x:c r="AC109" s="6" t="n">
        <x:f>MIN(AA109+AB109,'Debt strategy'!$E$13)</x:f>
        <x:v>0</x:v>
      </x:c>
      <x:c r="AD109" s="27" t="n">
        <x:f>IF(AA109+AB109-AC109&lt;=0,99,1+SUM(IF(AND(C109+D109-E109&gt;0,OR(C109+D109-E109&lt;AA109+AB109-AC109,AND(C109+D109-E109=AA109+AB109-AC109,0&lt;4))),1,0),IF(AND(I109+J109-K109&gt;0,OR(I109+J109-K109&lt;AA109+AB109-AC109,AND(I109+J109-K109=AA109+AB109-AC109,1&lt;4))),1,0),IF(AND(O109+P109-Q109&gt;0,OR(O109+P109-Q109&lt;AA109+AB109-AC109,AND(O109+P109-Q109=AA109+AB109-AC109,2&lt;4))),1,0),IF(AND(U109+V109-W109&gt;0,OR(U109+V109-W109&lt;AA109+AB109-AC109,AND(U109+V109-W109=AA109+AB109-AC109,3&lt;4))),1,0)))</x:f>
        <x:v>99</x:v>
      </x:c>
      <x:c r="AE109" s="6" t="n">
        <x:f>IF('Debt strategy'!$C$16&gt;0,0,MIN(AA109+AB109-AC109,MAX(0,'Debt strategy'!$C$5-SUM(E109,K109,Q109,W109,AC109)-SUM(IF(F109&lt;AD109,C109+D109-E109,0),IF(L109&lt;AD109,I109+J109-K109,0),IF(R109&lt;AD109,O109+P109-Q109,0),IF(X109&lt;AD109,U109+V109-W109,0)))))</x:f>
        <x:v>0</x:v>
      </x:c>
      <x:c r="AF109" s="6" t="n">
        <x:f>ROUND(MAX(0,AA109+AB109-AC109-AE109),2)</x:f>
        <x:v>0</x:v>
      </x:c>
      <x:c r="AG109" s="6" t="n">
        <x:f>SUM(H109,N109,T109,Z109,AF109)</x:f>
        <x:v>0</x:v>
      </x:c>
      <x:c r="AH109" s="6" t="n">
        <x:f>SUM(D109,J109,P109,V109,AB109)+AH108</x:f>
        <x:v>1353.9499999999996</x:v>
      </x:c>
      <x:c r="AI109" s="2"/>
    </x:row>
    <x:row r="110" ht="23" customHeight="1">
      <x:c r="B110" s="2" t="n">
        <x:f>102</x:f>
        <x:v>102</x:v>
      </x:c>
      <x:c r="C110" s="6" t="n">
        <x:f>H109</x:f>
        <x:v>0</x:v>
      </x:c>
      <x:c r="D110" s="6" t="n">
        <x:f>ROUND(C110*'Debt strategy'!$D$9/12,2)</x:f>
        <x:v>0</x:v>
      </x:c>
      <x:c r="E110" s="6" t="n">
        <x:f>MIN(C110+D110,'Debt strategy'!$E$9)</x:f>
        <x:v>0</x:v>
      </x:c>
      <x:c r="F110" s="27" t="n">
        <x:f>IF(C110+D110-E110&lt;=0,99,1+SUM(IF(AND(I110+J110-K110&gt;0,OR(I110+J110-K110&lt;C110+D110-E110,AND(I110+J110-K110=C110+D110-E110,1&lt;0))),1,0),IF(AND(O110+P110-Q110&gt;0,OR(O110+P110-Q110&lt;C110+D110-E110,AND(O110+P110-Q110=C110+D110-E110,2&lt;0))),1,0),IF(AND(U110+V110-W110&gt;0,OR(U110+V110-W110&lt;C110+D110-E110,AND(U110+V110-W110=C110+D110-E110,3&lt;0))),1,0),IF(AND(AA110+AB110-AC110&gt;0,OR(AA110+AB110-AC110&lt;C110+D110-E110,AND(AA110+AB110-AC110=C110+D110-E110,4&lt;0))),1,0)))</x:f>
        <x:v>99</x:v>
      </x:c>
      <x:c r="G110" s="6" t="n">
        <x:f>IF('Debt strategy'!$C$16&gt;0,0,MIN(C110+D110-E110,MAX(0,'Debt strategy'!$C$5-SUM(E110,K110,Q110,W110,AC110)-SUM(IF(L110&lt;F110,I110+J110-K110,0),IF(R110&lt;F110,O110+P110-Q110,0),IF(X110&lt;F110,U110+V110-W110,0),IF(AD110&lt;F110,AA110+AB110-AC110,0)))))</x:f>
        <x:v>0</x:v>
      </x:c>
      <x:c r="H110" s="6" t="n">
        <x:f>ROUND(MAX(0,C110+D110-E110-G110),2)</x:f>
        <x:v>0</x:v>
      </x:c>
      <x:c r="I110" s="6" t="n">
        <x:f>N109</x:f>
        <x:v>0</x:v>
      </x:c>
      <x:c r="J110" s="6" t="n">
        <x:f>ROUND(I110*'Debt strategy'!$D$10/12,2)</x:f>
        <x:v>0</x:v>
      </x:c>
      <x:c r="K110" s="6" t="n">
        <x:f>MIN(I110+J110,'Debt strategy'!$E$10)</x:f>
        <x:v>0</x:v>
      </x:c>
      <x:c r="L110" s="27" t="n">
        <x:f>IF(I110+J110-K110&lt;=0,99,1+SUM(IF(AND(C110+D110-E110&gt;0,OR(C110+D110-E110&lt;I110+J110-K110,AND(C110+D110-E110=I110+J110-K110,0&lt;1))),1,0),IF(AND(O110+P110-Q110&gt;0,OR(O110+P110-Q110&lt;I110+J110-K110,AND(O110+P110-Q110=I110+J110-K110,2&lt;1))),1,0),IF(AND(U110+V110-W110&gt;0,OR(U110+V110-W110&lt;I110+J110-K110,AND(U110+V110-W110=I110+J110-K110,3&lt;1))),1,0),IF(AND(AA110+AB110-AC110&gt;0,OR(AA110+AB110-AC110&lt;I110+J110-K110,AND(AA110+AB110-AC110=I110+J110-K110,4&lt;1))),1,0)))</x:f>
        <x:v>99</x:v>
      </x:c>
      <x:c r="M110" s="6" t="n">
        <x:f>IF('Debt strategy'!$C$16&gt;0,0,MIN(I110+J110-K110,MAX(0,'Debt strategy'!$C$5-SUM(E110,K110,Q110,W110,AC110)-SUM(IF(F110&lt;L110,C110+D110-E110,0),IF(R110&lt;L110,O110+P110-Q110,0),IF(X110&lt;L110,U110+V110-W110,0),IF(AD110&lt;L110,AA110+AB110-AC110,0)))))</x:f>
        <x:v>0</x:v>
      </x:c>
      <x:c r="N110" s="6" t="n">
        <x:f>ROUND(MAX(0,I110+J110-K110-M110),2)</x:f>
        <x:v>0</x:v>
      </x:c>
      <x:c r="O110" s="6" t="n">
        <x:f>T109</x:f>
        <x:v>0</x:v>
      </x:c>
      <x:c r="P110" s="6" t="n">
        <x:f>ROUND(O110*'Debt strategy'!$D$11/12,2)</x:f>
        <x:v>0</x:v>
      </x:c>
      <x:c r="Q110" s="6" t="n">
        <x:f>MIN(O110+P110,'Debt strategy'!$E$11)</x:f>
        <x:v>0</x:v>
      </x:c>
      <x:c r="R110" s="27" t="n">
        <x:f>IF(O110+P110-Q110&lt;=0,99,1+SUM(IF(AND(C110+D110-E110&gt;0,OR(C110+D110-E110&lt;O110+P110-Q110,AND(C110+D110-E110=O110+P110-Q110,0&lt;2))),1,0),IF(AND(I110+J110-K110&gt;0,OR(I110+J110-K110&lt;O110+P110-Q110,AND(I110+J110-K110=O110+P110-Q110,1&lt;2))),1,0),IF(AND(U110+V110-W110&gt;0,OR(U110+V110-W110&lt;O110+P110-Q110,AND(U110+V110-W110=O110+P110-Q110,3&lt;2))),1,0),IF(AND(AA110+AB110-AC110&gt;0,OR(AA110+AB110-AC110&lt;O110+P110-Q110,AND(AA110+AB110-AC110=O110+P110-Q110,4&lt;2))),1,0)))</x:f>
        <x:v>99</x:v>
      </x:c>
      <x:c r="S110" s="6" t="n">
        <x:f>IF('Debt strategy'!$C$16&gt;0,0,MIN(O110+P110-Q110,MAX(0,'Debt strategy'!$C$5-SUM(E110,K110,Q110,W110,AC110)-SUM(IF(F110&lt;R110,C110+D110-E110,0),IF(L110&lt;R110,I110+J110-K110,0),IF(X110&lt;R110,U110+V110-W110,0),IF(AD110&lt;R110,AA110+AB110-AC110,0)))))</x:f>
        <x:v>0</x:v>
      </x:c>
      <x:c r="T110" s="6" t="n">
        <x:f>ROUND(MAX(0,O110+P110-Q110-S110),2)</x:f>
        <x:v>0</x:v>
      </x:c>
      <x:c r="U110" s="6" t="n">
        <x:f>Z109</x:f>
        <x:v>0</x:v>
      </x:c>
      <x:c r="V110" s="6" t="n">
        <x:f>ROUND(U110*'Debt strategy'!$D$12/12,2)</x:f>
        <x:v>0</x:v>
      </x:c>
      <x:c r="W110" s="6" t="n">
        <x:f>MIN(U110+V110,'Debt strategy'!$E$12)</x:f>
        <x:v>0</x:v>
      </x:c>
      <x:c r="X110" s="27" t="n">
        <x:f>IF(U110+V110-W110&lt;=0,99,1+SUM(IF(AND(C110+D110-E110&gt;0,OR(C110+D110-E110&lt;U110+V110-W110,AND(C110+D110-E110=U110+V110-W110,0&lt;3))),1,0),IF(AND(I110+J110-K110&gt;0,OR(I110+J110-K110&lt;U110+V110-W110,AND(I110+J110-K110=U110+V110-W110,1&lt;3))),1,0),IF(AND(O110+P110-Q110&gt;0,OR(O110+P110-Q110&lt;U110+V110-W110,AND(O110+P110-Q110=U110+V110-W110,2&lt;3))),1,0),IF(AND(AA110+AB110-AC110&gt;0,OR(AA110+AB110-AC110&lt;U110+V110-W110,AND(AA110+AB110-AC110=U110+V110-W110,4&lt;3))),1,0)))</x:f>
        <x:v>99</x:v>
      </x:c>
      <x:c r="Y110" s="6" t="n">
        <x:f>IF('Debt strategy'!$C$16&gt;0,0,MIN(U110+V110-W110,MAX(0,'Debt strategy'!$C$5-SUM(E110,K110,Q110,W110,AC110)-SUM(IF(F110&lt;X110,C110+D110-E110,0),IF(L110&lt;X110,I110+J110-K110,0),IF(R110&lt;X110,O110+P110-Q110,0),IF(AD110&lt;X110,AA110+AB110-AC110,0)))))</x:f>
        <x:v>0</x:v>
      </x:c>
      <x:c r="Z110" s="6" t="n">
        <x:f>ROUND(MAX(0,U110+V110-W110-Y110),2)</x:f>
        <x:v>0</x:v>
      </x:c>
      <x:c r="AA110" s="6" t="n">
        <x:f>AF109</x:f>
        <x:v>0</x:v>
      </x:c>
      <x:c r="AB110" s="6" t="n">
        <x:f>ROUND(AA110*'Debt strategy'!$D$13/12,2)</x:f>
        <x:v>0</x:v>
      </x:c>
      <x:c r="AC110" s="6" t="n">
        <x:f>MIN(AA110+AB110,'Debt strategy'!$E$13)</x:f>
        <x:v>0</x:v>
      </x:c>
      <x:c r="AD110" s="27" t="n">
        <x:f>IF(AA110+AB110-AC110&lt;=0,99,1+SUM(IF(AND(C110+D110-E110&gt;0,OR(C110+D110-E110&lt;AA110+AB110-AC110,AND(C110+D110-E110=AA110+AB110-AC110,0&lt;4))),1,0),IF(AND(I110+J110-K110&gt;0,OR(I110+J110-K110&lt;AA110+AB110-AC110,AND(I110+J110-K110=AA110+AB110-AC110,1&lt;4))),1,0),IF(AND(O110+P110-Q110&gt;0,OR(O110+P110-Q110&lt;AA110+AB110-AC110,AND(O110+P110-Q110=AA110+AB110-AC110,2&lt;4))),1,0),IF(AND(U110+V110-W110&gt;0,OR(U110+V110-W110&lt;AA110+AB110-AC110,AND(U110+V110-W110=AA110+AB110-AC110,3&lt;4))),1,0)))</x:f>
        <x:v>99</x:v>
      </x:c>
      <x:c r="AE110" s="6" t="n">
        <x:f>IF('Debt strategy'!$C$16&gt;0,0,MIN(AA110+AB110-AC110,MAX(0,'Debt strategy'!$C$5-SUM(E110,K110,Q110,W110,AC110)-SUM(IF(F110&lt;AD110,C110+D110-E110,0),IF(L110&lt;AD110,I110+J110-K110,0),IF(R110&lt;AD110,O110+P110-Q110,0),IF(X110&lt;AD110,U110+V110-W110,0)))))</x:f>
        <x:v>0</x:v>
      </x:c>
      <x:c r="AF110" s="6" t="n">
        <x:f>ROUND(MAX(0,AA110+AB110-AC110-AE110),2)</x:f>
        <x:v>0</x:v>
      </x:c>
      <x:c r="AG110" s="6" t="n">
        <x:f>SUM(H110,N110,T110,Z110,AF110)</x:f>
        <x:v>0</x:v>
      </x:c>
      <x:c r="AH110" s="6" t="n">
        <x:f>SUM(D110,J110,P110,V110,AB110)+AH109</x:f>
        <x:v>1353.9499999999996</x:v>
      </x:c>
      <x:c r="AI110" s="2"/>
    </x:row>
    <x:row r="111" ht="23" customHeight="1">
      <x:c r="B111" s="2" t="n">
        <x:f>103</x:f>
        <x:v>103</x:v>
      </x:c>
      <x:c r="C111" s="6" t="n">
        <x:f>H110</x:f>
        <x:v>0</x:v>
      </x:c>
      <x:c r="D111" s="6" t="n">
        <x:f>ROUND(C111*'Debt strategy'!$D$9/12,2)</x:f>
        <x:v>0</x:v>
      </x:c>
      <x:c r="E111" s="6" t="n">
        <x:f>MIN(C111+D111,'Debt strategy'!$E$9)</x:f>
        <x:v>0</x:v>
      </x:c>
      <x:c r="F111" s="27" t="n">
        <x:f>IF(C111+D111-E111&lt;=0,99,1+SUM(IF(AND(I111+J111-K111&gt;0,OR(I111+J111-K111&lt;C111+D111-E111,AND(I111+J111-K111=C111+D111-E111,1&lt;0))),1,0),IF(AND(O111+P111-Q111&gt;0,OR(O111+P111-Q111&lt;C111+D111-E111,AND(O111+P111-Q111=C111+D111-E111,2&lt;0))),1,0),IF(AND(U111+V111-W111&gt;0,OR(U111+V111-W111&lt;C111+D111-E111,AND(U111+V111-W111=C111+D111-E111,3&lt;0))),1,0),IF(AND(AA111+AB111-AC111&gt;0,OR(AA111+AB111-AC111&lt;C111+D111-E111,AND(AA111+AB111-AC111=C111+D111-E111,4&lt;0))),1,0)))</x:f>
        <x:v>99</x:v>
      </x:c>
      <x:c r="G111" s="6" t="n">
        <x:f>IF('Debt strategy'!$C$16&gt;0,0,MIN(C111+D111-E111,MAX(0,'Debt strategy'!$C$5-SUM(E111,K111,Q111,W111,AC111)-SUM(IF(L111&lt;F111,I111+J111-K111,0),IF(R111&lt;F111,O111+P111-Q111,0),IF(X111&lt;F111,U111+V111-W111,0),IF(AD111&lt;F111,AA111+AB111-AC111,0)))))</x:f>
        <x:v>0</x:v>
      </x:c>
      <x:c r="H111" s="6" t="n">
        <x:f>ROUND(MAX(0,C111+D111-E111-G111),2)</x:f>
        <x:v>0</x:v>
      </x:c>
      <x:c r="I111" s="6" t="n">
        <x:f>N110</x:f>
        <x:v>0</x:v>
      </x:c>
      <x:c r="J111" s="6" t="n">
        <x:f>ROUND(I111*'Debt strategy'!$D$10/12,2)</x:f>
        <x:v>0</x:v>
      </x:c>
      <x:c r="K111" s="6" t="n">
        <x:f>MIN(I111+J111,'Debt strategy'!$E$10)</x:f>
        <x:v>0</x:v>
      </x:c>
      <x:c r="L111" s="27" t="n">
        <x:f>IF(I111+J111-K111&lt;=0,99,1+SUM(IF(AND(C111+D111-E111&gt;0,OR(C111+D111-E111&lt;I111+J111-K111,AND(C111+D111-E111=I111+J111-K111,0&lt;1))),1,0),IF(AND(O111+P111-Q111&gt;0,OR(O111+P111-Q111&lt;I111+J111-K111,AND(O111+P111-Q111=I111+J111-K111,2&lt;1))),1,0),IF(AND(U111+V111-W111&gt;0,OR(U111+V111-W111&lt;I111+J111-K111,AND(U111+V111-W111=I111+J111-K111,3&lt;1))),1,0),IF(AND(AA111+AB111-AC111&gt;0,OR(AA111+AB111-AC111&lt;I111+J111-K111,AND(AA111+AB111-AC111=I111+J111-K111,4&lt;1))),1,0)))</x:f>
        <x:v>99</x:v>
      </x:c>
      <x:c r="M111" s="6" t="n">
        <x:f>IF('Debt strategy'!$C$16&gt;0,0,MIN(I111+J111-K111,MAX(0,'Debt strategy'!$C$5-SUM(E111,K111,Q111,W111,AC111)-SUM(IF(F111&lt;L111,C111+D111-E111,0),IF(R111&lt;L111,O111+P111-Q111,0),IF(X111&lt;L111,U111+V111-W111,0),IF(AD111&lt;L111,AA111+AB111-AC111,0)))))</x:f>
        <x:v>0</x:v>
      </x:c>
      <x:c r="N111" s="6" t="n">
        <x:f>ROUND(MAX(0,I111+J111-K111-M111),2)</x:f>
        <x:v>0</x:v>
      </x:c>
      <x:c r="O111" s="6" t="n">
        <x:f>T110</x:f>
        <x:v>0</x:v>
      </x:c>
      <x:c r="P111" s="6" t="n">
        <x:f>ROUND(O111*'Debt strategy'!$D$11/12,2)</x:f>
        <x:v>0</x:v>
      </x:c>
      <x:c r="Q111" s="6" t="n">
        <x:f>MIN(O111+P111,'Debt strategy'!$E$11)</x:f>
        <x:v>0</x:v>
      </x:c>
      <x:c r="R111" s="27" t="n">
        <x:f>IF(O111+P111-Q111&lt;=0,99,1+SUM(IF(AND(C111+D111-E111&gt;0,OR(C111+D111-E111&lt;O111+P111-Q111,AND(C111+D111-E111=O111+P111-Q111,0&lt;2))),1,0),IF(AND(I111+J111-K111&gt;0,OR(I111+J111-K111&lt;O111+P111-Q111,AND(I111+J111-K111=O111+P111-Q111,1&lt;2))),1,0),IF(AND(U111+V111-W111&gt;0,OR(U111+V111-W111&lt;O111+P111-Q111,AND(U111+V111-W111=O111+P111-Q111,3&lt;2))),1,0),IF(AND(AA111+AB111-AC111&gt;0,OR(AA111+AB111-AC111&lt;O111+P111-Q111,AND(AA111+AB111-AC111=O111+P111-Q111,4&lt;2))),1,0)))</x:f>
        <x:v>99</x:v>
      </x:c>
      <x:c r="S111" s="6" t="n">
        <x:f>IF('Debt strategy'!$C$16&gt;0,0,MIN(O111+P111-Q111,MAX(0,'Debt strategy'!$C$5-SUM(E111,K111,Q111,W111,AC111)-SUM(IF(F111&lt;R111,C111+D111-E111,0),IF(L111&lt;R111,I111+J111-K111,0),IF(X111&lt;R111,U111+V111-W111,0),IF(AD111&lt;R111,AA111+AB111-AC111,0)))))</x:f>
        <x:v>0</x:v>
      </x:c>
      <x:c r="T111" s="6" t="n">
        <x:f>ROUND(MAX(0,O111+P111-Q111-S111),2)</x:f>
        <x:v>0</x:v>
      </x:c>
      <x:c r="U111" s="6" t="n">
        <x:f>Z110</x:f>
        <x:v>0</x:v>
      </x:c>
      <x:c r="V111" s="6" t="n">
        <x:f>ROUND(U111*'Debt strategy'!$D$12/12,2)</x:f>
        <x:v>0</x:v>
      </x:c>
      <x:c r="W111" s="6" t="n">
        <x:f>MIN(U111+V111,'Debt strategy'!$E$12)</x:f>
        <x:v>0</x:v>
      </x:c>
      <x:c r="X111" s="27" t="n">
        <x:f>IF(U111+V111-W111&lt;=0,99,1+SUM(IF(AND(C111+D111-E111&gt;0,OR(C111+D111-E111&lt;U111+V111-W111,AND(C111+D111-E111=U111+V111-W111,0&lt;3))),1,0),IF(AND(I111+J111-K111&gt;0,OR(I111+J111-K111&lt;U111+V111-W111,AND(I111+J111-K111=U111+V111-W111,1&lt;3))),1,0),IF(AND(O111+P111-Q111&gt;0,OR(O111+P111-Q111&lt;U111+V111-W111,AND(O111+P111-Q111=U111+V111-W111,2&lt;3))),1,0),IF(AND(AA111+AB111-AC111&gt;0,OR(AA111+AB111-AC111&lt;U111+V111-W111,AND(AA111+AB111-AC111=U111+V111-W111,4&lt;3))),1,0)))</x:f>
        <x:v>99</x:v>
      </x:c>
      <x:c r="Y111" s="6" t="n">
        <x:f>IF('Debt strategy'!$C$16&gt;0,0,MIN(U111+V111-W111,MAX(0,'Debt strategy'!$C$5-SUM(E111,K111,Q111,W111,AC111)-SUM(IF(F111&lt;X111,C111+D111-E111,0),IF(L111&lt;X111,I111+J111-K111,0),IF(R111&lt;X111,O111+P111-Q111,0),IF(AD111&lt;X111,AA111+AB111-AC111,0)))))</x:f>
        <x:v>0</x:v>
      </x:c>
      <x:c r="Z111" s="6" t="n">
        <x:f>ROUND(MAX(0,U111+V111-W111-Y111),2)</x:f>
        <x:v>0</x:v>
      </x:c>
      <x:c r="AA111" s="6" t="n">
        <x:f>AF110</x:f>
        <x:v>0</x:v>
      </x:c>
      <x:c r="AB111" s="6" t="n">
        <x:f>ROUND(AA111*'Debt strategy'!$D$13/12,2)</x:f>
        <x:v>0</x:v>
      </x:c>
      <x:c r="AC111" s="6" t="n">
        <x:f>MIN(AA111+AB111,'Debt strategy'!$E$13)</x:f>
        <x:v>0</x:v>
      </x:c>
      <x:c r="AD111" s="27" t="n">
        <x:f>IF(AA111+AB111-AC111&lt;=0,99,1+SUM(IF(AND(C111+D111-E111&gt;0,OR(C111+D111-E111&lt;AA111+AB111-AC111,AND(C111+D111-E111=AA111+AB111-AC111,0&lt;4))),1,0),IF(AND(I111+J111-K111&gt;0,OR(I111+J111-K111&lt;AA111+AB111-AC111,AND(I111+J111-K111=AA111+AB111-AC111,1&lt;4))),1,0),IF(AND(O111+P111-Q111&gt;0,OR(O111+P111-Q111&lt;AA111+AB111-AC111,AND(O111+P111-Q111=AA111+AB111-AC111,2&lt;4))),1,0),IF(AND(U111+V111-W111&gt;0,OR(U111+V111-W111&lt;AA111+AB111-AC111,AND(U111+V111-W111=AA111+AB111-AC111,3&lt;4))),1,0)))</x:f>
        <x:v>99</x:v>
      </x:c>
      <x:c r="AE111" s="6" t="n">
        <x:f>IF('Debt strategy'!$C$16&gt;0,0,MIN(AA111+AB111-AC111,MAX(0,'Debt strategy'!$C$5-SUM(E111,K111,Q111,W111,AC111)-SUM(IF(F111&lt;AD111,C111+D111-E111,0),IF(L111&lt;AD111,I111+J111-K111,0),IF(R111&lt;AD111,O111+P111-Q111,0),IF(X111&lt;AD111,U111+V111-W111,0)))))</x:f>
        <x:v>0</x:v>
      </x:c>
      <x:c r="AF111" s="6" t="n">
        <x:f>ROUND(MAX(0,AA111+AB111-AC111-AE111),2)</x:f>
        <x:v>0</x:v>
      </x:c>
      <x:c r="AG111" s="6" t="n">
        <x:f>SUM(H111,N111,T111,Z111,AF111)</x:f>
        <x:v>0</x:v>
      </x:c>
      <x:c r="AH111" s="6" t="n">
        <x:f>SUM(D111,J111,P111,V111,AB111)+AH110</x:f>
        <x:v>1353.9499999999996</x:v>
      </x:c>
      <x:c r="AI111" s="2"/>
    </x:row>
    <x:row r="112" ht="23" customHeight="1">
      <x:c r="B112" s="2" t="n">
        <x:f>104</x:f>
        <x:v>104</x:v>
      </x:c>
      <x:c r="C112" s="6" t="n">
        <x:f>H111</x:f>
        <x:v>0</x:v>
      </x:c>
      <x:c r="D112" s="6" t="n">
        <x:f>ROUND(C112*'Debt strategy'!$D$9/12,2)</x:f>
        <x:v>0</x:v>
      </x:c>
      <x:c r="E112" s="6" t="n">
        <x:f>MIN(C112+D112,'Debt strategy'!$E$9)</x:f>
        <x:v>0</x:v>
      </x:c>
      <x:c r="F112" s="27" t="n">
        <x:f>IF(C112+D112-E112&lt;=0,99,1+SUM(IF(AND(I112+J112-K112&gt;0,OR(I112+J112-K112&lt;C112+D112-E112,AND(I112+J112-K112=C112+D112-E112,1&lt;0))),1,0),IF(AND(O112+P112-Q112&gt;0,OR(O112+P112-Q112&lt;C112+D112-E112,AND(O112+P112-Q112=C112+D112-E112,2&lt;0))),1,0),IF(AND(U112+V112-W112&gt;0,OR(U112+V112-W112&lt;C112+D112-E112,AND(U112+V112-W112=C112+D112-E112,3&lt;0))),1,0),IF(AND(AA112+AB112-AC112&gt;0,OR(AA112+AB112-AC112&lt;C112+D112-E112,AND(AA112+AB112-AC112=C112+D112-E112,4&lt;0))),1,0)))</x:f>
        <x:v>99</x:v>
      </x:c>
      <x:c r="G112" s="6" t="n">
        <x:f>IF('Debt strategy'!$C$16&gt;0,0,MIN(C112+D112-E112,MAX(0,'Debt strategy'!$C$5-SUM(E112,K112,Q112,W112,AC112)-SUM(IF(L112&lt;F112,I112+J112-K112,0),IF(R112&lt;F112,O112+P112-Q112,0),IF(X112&lt;F112,U112+V112-W112,0),IF(AD112&lt;F112,AA112+AB112-AC112,0)))))</x:f>
        <x:v>0</x:v>
      </x:c>
      <x:c r="H112" s="6" t="n">
        <x:f>ROUND(MAX(0,C112+D112-E112-G112),2)</x:f>
        <x:v>0</x:v>
      </x:c>
      <x:c r="I112" s="6" t="n">
        <x:f>N111</x:f>
        <x:v>0</x:v>
      </x:c>
      <x:c r="J112" s="6" t="n">
        <x:f>ROUND(I112*'Debt strategy'!$D$10/12,2)</x:f>
        <x:v>0</x:v>
      </x:c>
      <x:c r="K112" s="6" t="n">
        <x:f>MIN(I112+J112,'Debt strategy'!$E$10)</x:f>
        <x:v>0</x:v>
      </x:c>
      <x:c r="L112" s="27" t="n">
        <x:f>IF(I112+J112-K112&lt;=0,99,1+SUM(IF(AND(C112+D112-E112&gt;0,OR(C112+D112-E112&lt;I112+J112-K112,AND(C112+D112-E112=I112+J112-K112,0&lt;1))),1,0),IF(AND(O112+P112-Q112&gt;0,OR(O112+P112-Q112&lt;I112+J112-K112,AND(O112+P112-Q112=I112+J112-K112,2&lt;1))),1,0),IF(AND(U112+V112-W112&gt;0,OR(U112+V112-W112&lt;I112+J112-K112,AND(U112+V112-W112=I112+J112-K112,3&lt;1))),1,0),IF(AND(AA112+AB112-AC112&gt;0,OR(AA112+AB112-AC112&lt;I112+J112-K112,AND(AA112+AB112-AC112=I112+J112-K112,4&lt;1))),1,0)))</x:f>
        <x:v>99</x:v>
      </x:c>
      <x:c r="M112" s="6" t="n">
        <x:f>IF('Debt strategy'!$C$16&gt;0,0,MIN(I112+J112-K112,MAX(0,'Debt strategy'!$C$5-SUM(E112,K112,Q112,W112,AC112)-SUM(IF(F112&lt;L112,C112+D112-E112,0),IF(R112&lt;L112,O112+P112-Q112,0),IF(X112&lt;L112,U112+V112-W112,0),IF(AD112&lt;L112,AA112+AB112-AC112,0)))))</x:f>
        <x:v>0</x:v>
      </x:c>
      <x:c r="N112" s="6" t="n">
        <x:f>ROUND(MAX(0,I112+J112-K112-M112),2)</x:f>
        <x:v>0</x:v>
      </x:c>
      <x:c r="O112" s="6" t="n">
        <x:f>T111</x:f>
        <x:v>0</x:v>
      </x:c>
      <x:c r="P112" s="6" t="n">
        <x:f>ROUND(O112*'Debt strategy'!$D$11/12,2)</x:f>
        <x:v>0</x:v>
      </x:c>
      <x:c r="Q112" s="6" t="n">
        <x:f>MIN(O112+P112,'Debt strategy'!$E$11)</x:f>
        <x:v>0</x:v>
      </x:c>
      <x:c r="R112" s="27" t="n">
        <x:f>IF(O112+P112-Q112&lt;=0,99,1+SUM(IF(AND(C112+D112-E112&gt;0,OR(C112+D112-E112&lt;O112+P112-Q112,AND(C112+D112-E112=O112+P112-Q112,0&lt;2))),1,0),IF(AND(I112+J112-K112&gt;0,OR(I112+J112-K112&lt;O112+P112-Q112,AND(I112+J112-K112=O112+P112-Q112,1&lt;2))),1,0),IF(AND(U112+V112-W112&gt;0,OR(U112+V112-W112&lt;O112+P112-Q112,AND(U112+V112-W112=O112+P112-Q112,3&lt;2))),1,0),IF(AND(AA112+AB112-AC112&gt;0,OR(AA112+AB112-AC112&lt;O112+P112-Q112,AND(AA112+AB112-AC112=O112+P112-Q112,4&lt;2))),1,0)))</x:f>
        <x:v>99</x:v>
      </x:c>
      <x:c r="S112" s="6" t="n">
        <x:f>IF('Debt strategy'!$C$16&gt;0,0,MIN(O112+P112-Q112,MAX(0,'Debt strategy'!$C$5-SUM(E112,K112,Q112,W112,AC112)-SUM(IF(F112&lt;R112,C112+D112-E112,0),IF(L112&lt;R112,I112+J112-K112,0),IF(X112&lt;R112,U112+V112-W112,0),IF(AD112&lt;R112,AA112+AB112-AC112,0)))))</x:f>
        <x:v>0</x:v>
      </x:c>
      <x:c r="T112" s="6" t="n">
        <x:f>ROUND(MAX(0,O112+P112-Q112-S112),2)</x:f>
        <x:v>0</x:v>
      </x:c>
      <x:c r="U112" s="6" t="n">
        <x:f>Z111</x:f>
        <x:v>0</x:v>
      </x:c>
      <x:c r="V112" s="6" t="n">
        <x:f>ROUND(U112*'Debt strategy'!$D$12/12,2)</x:f>
        <x:v>0</x:v>
      </x:c>
      <x:c r="W112" s="6" t="n">
        <x:f>MIN(U112+V112,'Debt strategy'!$E$12)</x:f>
        <x:v>0</x:v>
      </x:c>
      <x:c r="X112" s="27" t="n">
        <x:f>IF(U112+V112-W112&lt;=0,99,1+SUM(IF(AND(C112+D112-E112&gt;0,OR(C112+D112-E112&lt;U112+V112-W112,AND(C112+D112-E112=U112+V112-W112,0&lt;3))),1,0),IF(AND(I112+J112-K112&gt;0,OR(I112+J112-K112&lt;U112+V112-W112,AND(I112+J112-K112=U112+V112-W112,1&lt;3))),1,0),IF(AND(O112+P112-Q112&gt;0,OR(O112+P112-Q112&lt;U112+V112-W112,AND(O112+P112-Q112=U112+V112-W112,2&lt;3))),1,0),IF(AND(AA112+AB112-AC112&gt;0,OR(AA112+AB112-AC112&lt;U112+V112-W112,AND(AA112+AB112-AC112=U112+V112-W112,4&lt;3))),1,0)))</x:f>
        <x:v>99</x:v>
      </x:c>
      <x:c r="Y112" s="6" t="n">
        <x:f>IF('Debt strategy'!$C$16&gt;0,0,MIN(U112+V112-W112,MAX(0,'Debt strategy'!$C$5-SUM(E112,K112,Q112,W112,AC112)-SUM(IF(F112&lt;X112,C112+D112-E112,0),IF(L112&lt;X112,I112+J112-K112,0),IF(R112&lt;X112,O112+P112-Q112,0),IF(AD112&lt;X112,AA112+AB112-AC112,0)))))</x:f>
        <x:v>0</x:v>
      </x:c>
      <x:c r="Z112" s="6" t="n">
        <x:f>ROUND(MAX(0,U112+V112-W112-Y112),2)</x:f>
        <x:v>0</x:v>
      </x:c>
      <x:c r="AA112" s="6" t="n">
        <x:f>AF111</x:f>
        <x:v>0</x:v>
      </x:c>
      <x:c r="AB112" s="6" t="n">
        <x:f>ROUND(AA112*'Debt strategy'!$D$13/12,2)</x:f>
        <x:v>0</x:v>
      </x:c>
      <x:c r="AC112" s="6" t="n">
        <x:f>MIN(AA112+AB112,'Debt strategy'!$E$13)</x:f>
        <x:v>0</x:v>
      </x:c>
      <x:c r="AD112" s="27" t="n">
        <x:f>IF(AA112+AB112-AC112&lt;=0,99,1+SUM(IF(AND(C112+D112-E112&gt;0,OR(C112+D112-E112&lt;AA112+AB112-AC112,AND(C112+D112-E112=AA112+AB112-AC112,0&lt;4))),1,0),IF(AND(I112+J112-K112&gt;0,OR(I112+J112-K112&lt;AA112+AB112-AC112,AND(I112+J112-K112=AA112+AB112-AC112,1&lt;4))),1,0),IF(AND(O112+P112-Q112&gt;0,OR(O112+P112-Q112&lt;AA112+AB112-AC112,AND(O112+P112-Q112=AA112+AB112-AC112,2&lt;4))),1,0),IF(AND(U112+V112-W112&gt;0,OR(U112+V112-W112&lt;AA112+AB112-AC112,AND(U112+V112-W112=AA112+AB112-AC112,3&lt;4))),1,0)))</x:f>
        <x:v>99</x:v>
      </x:c>
      <x:c r="AE112" s="6" t="n">
        <x:f>IF('Debt strategy'!$C$16&gt;0,0,MIN(AA112+AB112-AC112,MAX(0,'Debt strategy'!$C$5-SUM(E112,K112,Q112,W112,AC112)-SUM(IF(F112&lt;AD112,C112+D112-E112,0),IF(L112&lt;AD112,I112+J112-K112,0),IF(R112&lt;AD112,O112+P112-Q112,0),IF(X112&lt;AD112,U112+V112-W112,0)))))</x:f>
        <x:v>0</x:v>
      </x:c>
      <x:c r="AF112" s="6" t="n">
        <x:f>ROUND(MAX(0,AA112+AB112-AC112-AE112),2)</x:f>
        <x:v>0</x:v>
      </x:c>
      <x:c r="AG112" s="6" t="n">
        <x:f>SUM(H112,N112,T112,Z112,AF112)</x:f>
        <x:v>0</x:v>
      </x:c>
      <x:c r="AH112" s="6" t="n">
        <x:f>SUM(D112,J112,P112,V112,AB112)+AH111</x:f>
        <x:v>1353.9499999999996</x:v>
      </x:c>
      <x:c r="AI112" s="2"/>
    </x:row>
    <x:row r="113" ht="23" customHeight="1">
      <x:c r="B113" s="2" t="n">
        <x:f>105</x:f>
        <x:v>105</x:v>
      </x:c>
      <x:c r="C113" s="6" t="n">
        <x:f>H112</x:f>
        <x:v>0</x:v>
      </x:c>
      <x:c r="D113" s="6" t="n">
        <x:f>ROUND(C113*'Debt strategy'!$D$9/12,2)</x:f>
        <x:v>0</x:v>
      </x:c>
      <x:c r="E113" s="6" t="n">
        <x:f>MIN(C113+D113,'Debt strategy'!$E$9)</x:f>
        <x:v>0</x:v>
      </x:c>
      <x:c r="F113" s="27" t="n">
        <x:f>IF(C113+D113-E113&lt;=0,99,1+SUM(IF(AND(I113+J113-K113&gt;0,OR(I113+J113-K113&lt;C113+D113-E113,AND(I113+J113-K113=C113+D113-E113,1&lt;0))),1,0),IF(AND(O113+P113-Q113&gt;0,OR(O113+P113-Q113&lt;C113+D113-E113,AND(O113+P113-Q113=C113+D113-E113,2&lt;0))),1,0),IF(AND(U113+V113-W113&gt;0,OR(U113+V113-W113&lt;C113+D113-E113,AND(U113+V113-W113=C113+D113-E113,3&lt;0))),1,0),IF(AND(AA113+AB113-AC113&gt;0,OR(AA113+AB113-AC113&lt;C113+D113-E113,AND(AA113+AB113-AC113=C113+D113-E113,4&lt;0))),1,0)))</x:f>
        <x:v>99</x:v>
      </x:c>
      <x:c r="G113" s="6" t="n">
        <x:f>IF('Debt strategy'!$C$16&gt;0,0,MIN(C113+D113-E113,MAX(0,'Debt strategy'!$C$5-SUM(E113,K113,Q113,W113,AC113)-SUM(IF(L113&lt;F113,I113+J113-K113,0),IF(R113&lt;F113,O113+P113-Q113,0),IF(X113&lt;F113,U113+V113-W113,0),IF(AD113&lt;F113,AA113+AB113-AC113,0)))))</x:f>
        <x:v>0</x:v>
      </x:c>
      <x:c r="H113" s="6" t="n">
        <x:f>ROUND(MAX(0,C113+D113-E113-G113),2)</x:f>
        <x:v>0</x:v>
      </x:c>
      <x:c r="I113" s="6" t="n">
        <x:f>N112</x:f>
        <x:v>0</x:v>
      </x:c>
      <x:c r="J113" s="6" t="n">
        <x:f>ROUND(I113*'Debt strategy'!$D$10/12,2)</x:f>
        <x:v>0</x:v>
      </x:c>
      <x:c r="K113" s="6" t="n">
        <x:f>MIN(I113+J113,'Debt strategy'!$E$10)</x:f>
        <x:v>0</x:v>
      </x:c>
      <x:c r="L113" s="27" t="n">
        <x:f>IF(I113+J113-K113&lt;=0,99,1+SUM(IF(AND(C113+D113-E113&gt;0,OR(C113+D113-E113&lt;I113+J113-K113,AND(C113+D113-E113=I113+J113-K113,0&lt;1))),1,0),IF(AND(O113+P113-Q113&gt;0,OR(O113+P113-Q113&lt;I113+J113-K113,AND(O113+P113-Q113=I113+J113-K113,2&lt;1))),1,0),IF(AND(U113+V113-W113&gt;0,OR(U113+V113-W113&lt;I113+J113-K113,AND(U113+V113-W113=I113+J113-K113,3&lt;1))),1,0),IF(AND(AA113+AB113-AC113&gt;0,OR(AA113+AB113-AC113&lt;I113+J113-K113,AND(AA113+AB113-AC113=I113+J113-K113,4&lt;1))),1,0)))</x:f>
        <x:v>99</x:v>
      </x:c>
      <x:c r="M113" s="6" t="n">
        <x:f>IF('Debt strategy'!$C$16&gt;0,0,MIN(I113+J113-K113,MAX(0,'Debt strategy'!$C$5-SUM(E113,K113,Q113,W113,AC113)-SUM(IF(F113&lt;L113,C113+D113-E113,0),IF(R113&lt;L113,O113+P113-Q113,0),IF(X113&lt;L113,U113+V113-W113,0),IF(AD113&lt;L113,AA113+AB113-AC113,0)))))</x:f>
        <x:v>0</x:v>
      </x:c>
      <x:c r="N113" s="6" t="n">
        <x:f>ROUND(MAX(0,I113+J113-K113-M113),2)</x:f>
        <x:v>0</x:v>
      </x:c>
      <x:c r="O113" s="6" t="n">
        <x:f>T112</x:f>
        <x:v>0</x:v>
      </x:c>
      <x:c r="P113" s="6" t="n">
        <x:f>ROUND(O113*'Debt strategy'!$D$11/12,2)</x:f>
        <x:v>0</x:v>
      </x:c>
      <x:c r="Q113" s="6" t="n">
        <x:f>MIN(O113+P113,'Debt strategy'!$E$11)</x:f>
        <x:v>0</x:v>
      </x:c>
      <x:c r="R113" s="27" t="n">
        <x:f>IF(O113+P113-Q113&lt;=0,99,1+SUM(IF(AND(C113+D113-E113&gt;0,OR(C113+D113-E113&lt;O113+P113-Q113,AND(C113+D113-E113=O113+P113-Q113,0&lt;2))),1,0),IF(AND(I113+J113-K113&gt;0,OR(I113+J113-K113&lt;O113+P113-Q113,AND(I113+J113-K113=O113+P113-Q113,1&lt;2))),1,0),IF(AND(U113+V113-W113&gt;0,OR(U113+V113-W113&lt;O113+P113-Q113,AND(U113+V113-W113=O113+P113-Q113,3&lt;2))),1,0),IF(AND(AA113+AB113-AC113&gt;0,OR(AA113+AB113-AC113&lt;O113+P113-Q113,AND(AA113+AB113-AC113=O113+P113-Q113,4&lt;2))),1,0)))</x:f>
        <x:v>99</x:v>
      </x:c>
      <x:c r="S113" s="6" t="n">
        <x:f>IF('Debt strategy'!$C$16&gt;0,0,MIN(O113+P113-Q113,MAX(0,'Debt strategy'!$C$5-SUM(E113,K113,Q113,W113,AC113)-SUM(IF(F113&lt;R113,C113+D113-E113,0),IF(L113&lt;R113,I113+J113-K113,0),IF(X113&lt;R113,U113+V113-W113,0),IF(AD113&lt;R113,AA113+AB113-AC113,0)))))</x:f>
        <x:v>0</x:v>
      </x:c>
      <x:c r="T113" s="6" t="n">
        <x:f>ROUND(MAX(0,O113+P113-Q113-S113),2)</x:f>
        <x:v>0</x:v>
      </x:c>
      <x:c r="U113" s="6" t="n">
        <x:f>Z112</x:f>
        <x:v>0</x:v>
      </x:c>
      <x:c r="V113" s="6" t="n">
        <x:f>ROUND(U113*'Debt strategy'!$D$12/12,2)</x:f>
        <x:v>0</x:v>
      </x:c>
      <x:c r="W113" s="6" t="n">
        <x:f>MIN(U113+V113,'Debt strategy'!$E$12)</x:f>
        <x:v>0</x:v>
      </x:c>
      <x:c r="X113" s="27" t="n">
        <x:f>IF(U113+V113-W113&lt;=0,99,1+SUM(IF(AND(C113+D113-E113&gt;0,OR(C113+D113-E113&lt;U113+V113-W113,AND(C113+D113-E113=U113+V113-W113,0&lt;3))),1,0),IF(AND(I113+J113-K113&gt;0,OR(I113+J113-K113&lt;U113+V113-W113,AND(I113+J113-K113=U113+V113-W113,1&lt;3))),1,0),IF(AND(O113+P113-Q113&gt;0,OR(O113+P113-Q113&lt;U113+V113-W113,AND(O113+P113-Q113=U113+V113-W113,2&lt;3))),1,0),IF(AND(AA113+AB113-AC113&gt;0,OR(AA113+AB113-AC113&lt;U113+V113-W113,AND(AA113+AB113-AC113=U113+V113-W113,4&lt;3))),1,0)))</x:f>
        <x:v>99</x:v>
      </x:c>
      <x:c r="Y113" s="6" t="n">
        <x:f>IF('Debt strategy'!$C$16&gt;0,0,MIN(U113+V113-W113,MAX(0,'Debt strategy'!$C$5-SUM(E113,K113,Q113,W113,AC113)-SUM(IF(F113&lt;X113,C113+D113-E113,0),IF(L113&lt;X113,I113+J113-K113,0),IF(R113&lt;X113,O113+P113-Q113,0),IF(AD113&lt;X113,AA113+AB113-AC113,0)))))</x:f>
        <x:v>0</x:v>
      </x:c>
      <x:c r="Z113" s="6" t="n">
        <x:f>ROUND(MAX(0,U113+V113-W113-Y113),2)</x:f>
        <x:v>0</x:v>
      </x:c>
      <x:c r="AA113" s="6" t="n">
        <x:f>AF112</x:f>
        <x:v>0</x:v>
      </x:c>
      <x:c r="AB113" s="6" t="n">
        <x:f>ROUND(AA113*'Debt strategy'!$D$13/12,2)</x:f>
        <x:v>0</x:v>
      </x:c>
      <x:c r="AC113" s="6" t="n">
        <x:f>MIN(AA113+AB113,'Debt strategy'!$E$13)</x:f>
        <x:v>0</x:v>
      </x:c>
      <x:c r="AD113" s="27" t="n">
        <x:f>IF(AA113+AB113-AC113&lt;=0,99,1+SUM(IF(AND(C113+D113-E113&gt;0,OR(C113+D113-E113&lt;AA113+AB113-AC113,AND(C113+D113-E113=AA113+AB113-AC113,0&lt;4))),1,0),IF(AND(I113+J113-K113&gt;0,OR(I113+J113-K113&lt;AA113+AB113-AC113,AND(I113+J113-K113=AA113+AB113-AC113,1&lt;4))),1,0),IF(AND(O113+P113-Q113&gt;0,OR(O113+P113-Q113&lt;AA113+AB113-AC113,AND(O113+P113-Q113=AA113+AB113-AC113,2&lt;4))),1,0),IF(AND(U113+V113-W113&gt;0,OR(U113+V113-W113&lt;AA113+AB113-AC113,AND(U113+V113-W113=AA113+AB113-AC113,3&lt;4))),1,0)))</x:f>
        <x:v>99</x:v>
      </x:c>
      <x:c r="AE113" s="6" t="n">
        <x:f>IF('Debt strategy'!$C$16&gt;0,0,MIN(AA113+AB113-AC113,MAX(0,'Debt strategy'!$C$5-SUM(E113,K113,Q113,W113,AC113)-SUM(IF(F113&lt;AD113,C113+D113-E113,0),IF(L113&lt;AD113,I113+J113-K113,0),IF(R113&lt;AD113,O113+P113-Q113,0),IF(X113&lt;AD113,U113+V113-W113,0)))))</x:f>
        <x:v>0</x:v>
      </x:c>
      <x:c r="AF113" s="6" t="n">
        <x:f>ROUND(MAX(0,AA113+AB113-AC113-AE113),2)</x:f>
        <x:v>0</x:v>
      </x:c>
      <x:c r="AG113" s="6" t="n">
        <x:f>SUM(H113,N113,T113,Z113,AF113)</x:f>
        <x:v>0</x:v>
      </x:c>
      <x:c r="AH113" s="6" t="n">
        <x:f>SUM(D113,J113,P113,V113,AB113)+AH112</x:f>
        <x:v>1353.9499999999996</x:v>
      </x:c>
      <x:c r="AI113" s="2"/>
    </x:row>
    <x:row r="114" ht="23" customHeight="1">
      <x:c r="B114" s="2" t="n">
        <x:f>106</x:f>
        <x:v>106</x:v>
      </x:c>
      <x:c r="C114" s="6" t="n">
        <x:f>H113</x:f>
        <x:v>0</x:v>
      </x:c>
      <x:c r="D114" s="6" t="n">
        <x:f>ROUND(C114*'Debt strategy'!$D$9/12,2)</x:f>
        <x:v>0</x:v>
      </x:c>
      <x:c r="E114" s="6" t="n">
        <x:f>MIN(C114+D114,'Debt strategy'!$E$9)</x:f>
        <x:v>0</x:v>
      </x:c>
      <x:c r="F114" s="27" t="n">
        <x:f>IF(C114+D114-E114&lt;=0,99,1+SUM(IF(AND(I114+J114-K114&gt;0,OR(I114+J114-K114&lt;C114+D114-E114,AND(I114+J114-K114=C114+D114-E114,1&lt;0))),1,0),IF(AND(O114+P114-Q114&gt;0,OR(O114+P114-Q114&lt;C114+D114-E114,AND(O114+P114-Q114=C114+D114-E114,2&lt;0))),1,0),IF(AND(U114+V114-W114&gt;0,OR(U114+V114-W114&lt;C114+D114-E114,AND(U114+V114-W114=C114+D114-E114,3&lt;0))),1,0),IF(AND(AA114+AB114-AC114&gt;0,OR(AA114+AB114-AC114&lt;C114+D114-E114,AND(AA114+AB114-AC114=C114+D114-E114,4&lt;0))),1,0)))</x:f>
        <x:v>99</x:v>
      </x:c>
      <x:c r="G114" s="6" t="n">
        <x:f>IF('Debt strategy'!$C$16&gt;0,0,MIN(C114+D114-E114,MAX(0,'Debt strategy'!$C$5-SUM(E114,K114,Q114,W114,AC114)-SUM(IF(L114&lt;F114,I114+J114-K114,0),IF(R114&lt;F114,O114+P114-Q114,0),IF(X114&lt;F114,U114+V114-W114,0),IF(AD114&lt;F114,AA114+AB114-AC114,0)))))</x:f>
        <x:v>0</x:v>
      </x:c>
      <x:c r="H114" s="6" t="n">
        <x:f>ROUND(MAX(0,C114+D114-E114-G114),2)</x:f>
        <x:v>0</x:v>
      </x:c>
      <x:c r="I114" s="6" t="n">
        <x:f>N113</x:f>
        <x:v>0</x:v>
      </x:c>
      <x:c r="J114" s="6" t="n">
        <x:f>ROUND(I114*'Debt strategy'!$D$10/12,2)</x:f>
        <x:v>0</x:v>
      </x:c>
      <x:c r="K114" s="6" t="n">
        <x:f>MIN(I114+J114,'Debt strategy'!$E$10)</x:f>
        <x:v>0</x:v>
      </x:c>
      <x:c r="L114" s="27" t="n">
        <x:f>IF(I114+J114-K114&lt;=0,99,1+SUM(IF(AND(C114+D114-E114&gt;0,OR(C114+D114-E114&lt;I114+J114-K114,AND(C114+D114-E114=I114+J114-K114,0&lt;1))),1,0),IF(AND(O114+P114-Q114&gt;0,OR(O114+P114-Q114&lt;I114+J114-K114,AND(O114+P114-Q114=I114+J114-K114,2&lt;1))),1,0),IF(AND(U114+V114-W114&gt;0,OR(U114+V114-W114&lt;I114+J114-K114,AND(U114+V114-W114=I114+J114-K114,3&lt;1))),1,0),IF(AND(AA114+AB114-AC114&gt;0,OR(AA114+AB114-AC114&lt;I114+J114-K114,AND(AA114+AB114-AC114=I114+J114-K114,4&lt;1))),1,0)))</x:f>
        <x:v>99</x:v>
      </x:c>
      <x:c r="M114" s="6" t="n">
        <x:f>IF('Debt strategy'!$C$16&gt;0,0,MIN(I114+J114-K114,MAX(0,'Debt strategy'!$C$5-SUM(E114,K114,Q114,W114,AC114)-SUM(IF(F114&lt;L114,C114+D114-E114,0),IF(R114&lt;L114,O114+P114-Q114,0),IF(X114&lt;L114,U114+V114-W114,0),IF(AD114&lt;L114,AA114+AB114-AC114,0)))))</x:f>
        <x:v>0</x:v>
      </x:c>
      <x:c r="N114" s="6" t="n">
        <x:f>ROUND(MAX(0,I114+J114-K114-M114),2)</x:f>
        <x:v>0</x:v>
      </x:c>
      <x:c r="O114" s="6" t="n">
        <x:f>T113</x:f>
        <x:v>0</x:v>
      </x:c>
      <x:c r="P114" s="6" t="n">
        <x:f>ROUND(O114*'Debt strategy'!$D$11/12,2)</x:f>
        <x:v>0</x:v>
      </x:c>
      <x:c r="Q114" s="6" t="n">
        <x:f>MIN(O114+P114,'Debt strategy'!$E$11)</x:f>
        <x:v>0</x:v>
      </x:c>
      <x:c r="R114" s="27" t="n">
        <x:f>IF(O114+P114-Q114&lt;=0,99,1+SUM(IF(AND(C114+D114-E114&gt;0,OR(C114+D114-E114&lt;O114+P114-Q114,AND(C114+D114-E114=O114+P114-Q114,0&lt;2))),1,0),IF(AND(I114+J114-K114&gt;0,OR(I114+J114-K114&lt;O114+P114-Q114,AND(I114+J114-K114=O114+P114-Q114,1&lt;2))),1,0),IF(AND(U114+V114-W114&gt;0,OR(U114+V114-W114&lt;O114+P114-Q114,AND(U114+V114-W114=O114+P114-Q114,3&lt;2))),1,0),IF(AND(AA114+AB114-AC114&gt;0,OR(AA114+AB114-AC114&lt;O114+P114-Q114,AND(AA114+AB114-AC114=O114+P114-Q114,4&lt;2))),1,0)))</x:f>
        <x:v>99</x:v>
      </x:c>
      <x:c r="S114" s="6" t="n">
        <x:f>IF('Debt strategy'!$C$16&gt;0,0,MIN(O114+P114-Q114,MAX(0,'Debt strategy'!$C$5-SUM(E114,K114,Q114,W114,AC114)-SUM(IF(F114&lt;R114,C114+D114-E114,0),IF(L114&lt;R114,I114+J114-K114,0),IF(X114&lt;R114,U114+V114-W114,0),IF(AD114&lt;R114,AA114+AB114-AC114,0)))))</x:f>
        <x:v>0</x:v>
      </x:c>
      <x:c r="T114" s="6" t="n">
        <x:f>ROUND(MAX(0,O114+P114-Q114-S114),2)</x:f>
        <x:v>0</x:v>
      </x:c>
      <x:c r="U114" s="6" t="n">
        <x:f>Z113</x:f>
        <x:v>0</x:v>
      </x:c>
      <x:c r="V114" s="6" t="n">
        <x:f>ROUND(U114*'Debt strategy'!$D$12/12,2)</x:f>
        <x:v>0</x:v>
      </x:c>
      <x:c r="W114" s="6" t="n">
        <x:f>MIN(U114+V114,'Debt strategy'!$E$12)</x:f>
        <x:v>0</x:v>
      </x:c>
      <x:c r="X114" s="27" t="n">
        <x:f>IF(U114+V114-W114&lt;=0,99,1+SUM(IF(AND(C114+D114-E114&gt;0,OR(C114+D114-E114&lt;U114+V114-W114,AND(C114+D114-E114=U114+V114-W114,0&lt;3))),1,0),IF(AND(I114+J114-K114&gt;0,OR(I114+J114-K114&lt;U114+V114-W114,AND(I114+J114-K114=U114+V114-W114,1&lt;3))),1,0),IF(AND(O114+P114-Q114&gt;0,OR(O114+P114-Q114&lt;U114+V114-W114,AND(O114+P114-Q114=U114+V114-W114,2&lt;3))),1,0),IF(AND(AA114+AB114-AC114&gt;0,OR(AA114+AB114-AC114&lt;U114+V114-W114,AND(AA114+AB114-AC114=U114+V114-W114,4&lt;3))),1,0)))</x:f>
        <x:v>99</x:v>
      </x:c>
      <x:c r="Y114" s="6" t="n">
        <x:f>IF('Debt strategy'!$C$16&gt;0,0,MIN(U114+V114-W114,MAX(0,'Debt strategy'!$C$5-SUM(E114,K114,Q114,W114,AC114)-SUM(IF(F114&lt;X114,C114+D114-E114,0),IF(L114&lt;X114,I114+J114-K114,0),IF(R114&lt;X114,O114+P114-Q114,0),IF(AD114&lt;X114,AA114+AB114-AC114,0)))))</x:f>
        <x:v>0</x:v>
      </x:c>
      <x:c r="Z114" s="6" t="n">
        <x:f>ROUND(MAX(0,U114+V114-W114-Y114),2)</x:f>
        <x:v>0</x:v>
      </x:c>
      <x:c r="AA114" s="6" t="n">
        <x:f>AF113</x:f>
        <x:v>0</x:v>
      </x:c>
      <x:c r="AB114" s="6" t="n">
        <x:f>ROUND(AA114*'Debt strategy'!$D$13/12,2)</x:f>
        <x:v>0</x:v>
      </x:c>
      <x:c r="AC114" s="6" t="n">
        <x:f>MIN(AA114+AB114,'Debt strategy'!$E$13)</x:f>
        <x:v>0</x:v>
      </x:c>
      <x:c r="AD114" s="27" t="n">
        <x:f>IF(AA114+AB114-AC114&lt;=0,99,1+SUM(IF(AND(C114+D114-E114&gt;0,OR(C114+D114-E114&lt;AA114+AB114-AC114,AND(C114+D114-E114=AA114+AB114-AC114,0&lt;4))),1,0),IF(AND(I114+J114-K114&gt;0,OR(I114+J114-K114&lt;AA114+AB114-AC114,AND(I114+J114-K114=AA114+AB114-AC114,1&lt;4))),1,0),IF(AND(O114+P114-Q114&gt;0,OR(O114+P114-Q114&lt;AA114+AB114-AC114,AND(O114+P114-Q114=AA114+AB114-AC114,2&lt;4))),1,0),IF(AND(U114+V114-W114&gt;0,OR(U114+V114-W114&lt;AA114+AB114-AC114,AND(U114+V114-W114=AA114+AB114-AC114,3&lt;4))),1,0)))</x:f>
        <x:v>99</x:v>
      </x:c>
      <x:c r="AE114" s="6" t="n">
        <x:f>IF('Debt strategy'!$C$16&gt;0,0,MIN(AA114+AB114-AC114,MAX(0,'Debt strategy'!$C$5-SUM(E114,K114,Q114,W114,AC114)-SUM(IF(F114&lt;AD114,C114+D114-E114,0),IF(L114&lt;AD114,I114+J114-K114,0),IF(R114&lt;AD114,O114+P114-Q114,0),IF(X114&lt;AD114,U114+V114-W114,0)))))</x:f>
        <x:v>0</x:v>
      </x:c>
      <x:c r="AF114" s="6" t="n">
        <x:f>ROUND(MAX(0,AA114+AB114-AC114-AE114),2)</x:f>
        <x:v>0</x:v>
      </x:c>
      <x:c r="AG114" s="6" t="n">
        <x:f>SUM(H114,N114,T114,Z114,AF114)</x:f>
        <x:v>0</x:v>
      </x:c>
      <x:c r="AH114" s="6" t="n">
        <x:f>SUM(D114,J114,P114,V114,AB114)+AH113</x:f>
        <x:v>1353.9499999999996</x:v>
      </x:c>
      <x:c r="AI114" s="2"/>
    </x:row>
    <x:row r="115" ht="23" customHeight="1">
      <x:c r="B115" s="2" t="n">
        <x:f>107</x:f>
        <x:v>107</x:v>
      </x:c>
      <x:c r="C115" s="6" t="n">
        <x:f>H114</x:f>
        <x:v>0</x:v>
      </x:c>
      <x:c r="D115" s="6" t="n">
        <x:f>ROUND(C115*'Debt strategy'!$D$9/12,2)</x:f>
        <x:v>0</x:v>
      </x:c>
      <x:c r="E115" s="6" t="n">
        <x:f>MIN(C115+D115,'Debt strategy'!$E$9)</x:f>
        <x:v>0</x:v>
      </x:c>
      <x:c r="F115" s="27" t="n">
        <x:f>IF(C115+D115-E115&lt;=0,99,1+SUM(IF(AND(I115+J115-K115&gt;0,OR(I115+J115-K115&lt;C115+D115-E115,AND(I115+J115-K115=C115+D115-E115,1&lt;0))),1,0),IF(AND(O115+P115-Q115&gt;0,OR(O115+P115-Q115&lt;C115+D115-E115,AND(O115+P115-Q115=C115+D115-E115,2&lt;0))),1,0),IF(AND(U115+V115-W115&gt;0,OR(U115+V115-W115&lt;C115+D115-E115,AND(U115+V115-W115=C115+D115-E115,3&lt;0))),1,0),IF(AND(AA115+AB115-AC115&gt;0,OR(AA115+AB115-AC115&lt;C115+D115-E115,AND(AA115+AB115-AC115=C115+D115-E115,4&lt;0))),1,0)))</x:f>
        <x:v>99</x:v>
      </x:c>
      <x:c r="G115" s="6" t="n">
        <x:f>IF('Debt strategy'!$C$16&gt;0,0,MIN(C115+D115-E115,MAX(0,'Debt strategy'!$C$5-SUM(E115,K115,Q115,W115,AC115)-SUM(IF(L115&lt;F115,I115+J115-K115,0),IF(R115&lt;F115,O115+P115-Q115,0),IF(X115&lt;F115,U115+V115-W115,0),IF(AD115&lt;F115,AA115+AB115-AC115,0)))))</x:f>
        <x:v>0</x:v>
      </x:c>
      <x:c r="H115" s="6" t="n">
        <x:f>ROUND(MAX(0,C115+D115-E115-G115),2)</x:f>
        <x:v>0</x:v>
      </x:c>
      <x:c r="I115" s="6" t="n">
        <x:f>N114</x:f>
        <x:v>0</x:v>
      </x:c>
      <x:c r="J115" s="6" t="n">
        <x:f>ROUND(I115*'Debt strategy'!$D$10/12,2)</x:f>
        <x:v>0</x:v>
      </x:c>
      <x:c r="K115" s="6" t="n">
        <x:f>MIN(I115+J115,'Debt strategy'!$E$10)</x:f>
        <x:v>0</x:v>
      </x:c>
      <x:c r="L115" s="27" t="n">
        <x:f>IF(I115+J115-K115&lt;=0,99,1+SUM(IF(AND(C115+D115-E115&gt;0,OR(C115+D115-E115&lt;I115+J115-K115,AND(C115+D115-E115=I115+J115-K115,0&lt;1))),1,0),IF(AND(O115+P115-Q115&gt;0,OR(O115+P115-Q115&lt;I115+J115-K115,AND(O115+P115-Q115=I115+J115-K115,2&lt;1))),1,0),IF(AND(U115+V115-W115&gt;0,OR(U115+V115-W115&lt;I115+J115-K115,AND(U115+V115-W115=I115+J115-K115,3&lt;1))),1,0),IF(AND(AA115+AB115-AC115&gt;0,OR(AA115+AB115-AC115&lt;I115+J115-K115,AND(AA115+AB115-AC115=I115+J115-K115,4&lt;1))),1,0)))</x:f>
        <x:v>99</x:v>
      </x:c>
      <x:c r="M115" s="6" t="n">
        <x:f>IF('Debt strategy'!$C$16&gt;0,0,MIN(I115+J115-K115,MAX(0,'Debt strategy'!$C$5-SUM(E115,K115,Q115,W115,AC115)-SUM(IF(F115&lt;L115,C115+D115-E115,0),IF(R115&lt;L115,O115+P115-Q115,0),IF(X115&lt;L115,U115+V115-W115,0),IF(AD115&lt;L115,AA115+AB115-AC115,0)))))</x:f>
        <x:v>0</x:v>
      </x:c>
      <x:c r="N115" s="6" t="n">
        <x:f>ROUND(MAX(0,I115+J115-K115-M115),2)</x:f>
        <x:v>0</x:v>
      </x:c>
      <x:c r="O115" s="6" t="n">
        <x:f>T114</x:f>
        <x:v>0</x:v>
      </x:c>
      <x:c r="P115" s="6" t="n">
        <x:f>ROUND(O115*'Debt strategy'!$D$11/12,2)</x:f>
        <x:v>0</x:v>
      </x:c>
      <x:c r="Q115" s="6" t="n">
        <x:f>MIN(O115+P115,'Debt strategy'!$E$11)</x:f>
        <x:v>0</x:v>
      </x:c>
      <x:c r="R115" s="27" t="n">
        <x:f>IF(O115+P115-Q115&lt;=0,99,1+SUM(IF(AND(C115+D115-E115&gt;0,OR(C115+D115-E115&lt;O115+P115-Q115,AND(C115+D115-E115=O115+P115-Q115,0&lt;2))),1,0),IF(AND(I115+J115-K115&gt;0,OR(I115+J115-K115&lt;O115+P115-Q115,AND(I115+J115-K115=O115+P115-Q115,1&lt;2))),1,0),IF(AND(U115+V115-W115&gt;0,OR(U115+V115-W115&lt;O115+P115-Q115,AND(U115+V115-W115=O115+P115-Q115,3&lt;2))),1,0),IF(AND(AA115+AB115-AC115&gt;0,OR(AA115+AB115-AC115&lt;O115+P115-Q115,AND(AA115+AB115-AC115=O115+P115-Q115,4&lt;2))),1,0)))</x:f>
        <x:v>99</x:v>
      </x:c>
      <x:c r="S115" s="6" t="n">
        <x:f>IF('Debt strategy'!$C$16&gt;0,0,MIN(O115+P115-Q115,MAX(0,'Debt strategy'!$C$5-SUM(E115,K115,Q115,W115,AC115)-SUM(IF(F115&lt;R115,C115+D115-E115,0),IF(L115&lt;R115,I115+J115-K115,0),IF(X115&lt;R115,U115+V115-W115,0),IF(AD115&lt;R115,AA115+AB115-AC115,0)))))</x:f>
        <x:v>0</x:v>
      </x:c>
      <x:c r="T115" s="6" t="n">
        <x:f>ROUND(MAX(0,O115+P115-Q115-S115),2)</x:f>
        <x:v>0</x:v>
      </x:c>
      <x:c r="U115" s="6" t="n">
        <x:f>Z114</x:f>
        <x:v>0</x:v>
      </x:c>
      <x:c r="V115" s="6" t="n">
        <x:f>ROUND(U115*'Debt strategy'!$D$12/12,2)</x:f>
        <x:v>0</x:v>
      </x:c>
      <x:c r="W115" s="6" t="n">
        <x:f>MIN(U115+V115,'Debt strategy'!$E$12)</x:f>
        <x:v>0</x:v>
      </x:c>
      <x:c r="X115" s="27" t="n">
        <x:f>IF(U115+V115-W115&lt;=0,99,1+SUM(IF(AND(C115+D115-E115&gt;0,OR(C115+D115-E115&lt;U115+V115-W115,AND(C115+D115-E115=U115+V115-W115,0&lt;3))),1,0),IF(AND(I115+J115-K115&gt;0,OR(I115+J115-K115&lt;U115+V115-W115,AND(I115+J115-K115=U115+V115-W115,1&lt;3))),1,0),IF(AND(O115+P115-Q115&gt;0,OR(O115+P115-Q115&lt;U115+V115-W115,AND(O115+P115-Q115=U115+V115-W115,2&lt;3))),1,0),IF(AND(AA115+AB115-AC115&gt;0,OR(AA115+AB115-AC115&lt;U115+V115-W115,AND(AA115+AB115-AC115=U115+V115-W115,4&lt;3))),1,0)))</x:f>
        <x:v>99</x:v>
      </x:c>
      <x:c r="Y115" s="6" t="n">
        <x:f>IF('Debt strategy'!$C$16&gt;0,0,MIN(U115+V115-W115,MAX(0,'Debt strategy'!$C$5-SUM(E115,K115,Q115,W115,AC115)-SUM(IF(F115&lt;X115,C115+D115-E115,0),IF(L115&lt;X115,I115+J115-K115,0),IF(R115&lt;X115,O115+P115-Q115,0),IF(AD115&lt;X115,AA115+AB115-AC115,0)))))</x:f>
        <x:v>0</x:v>
      </x:c>
      <x:c r="Z115" s="6" t="n">
        <x:f>ROUND(MAX(0,U115+V115-W115-Y115),2)</x:f>
        <x:v>0</x:v>
      </x:c>
      <x:c r="AA115" s="6" t="n">
        <x:f>AF114</x:f>
        <x:v>0</x:v>
      </x:c>
      <x:c r="AB115" s="6" t="n">
        <x:f>ROUND(AA115*'Debt strategy'!$D$13/12,2)</x:f>
        <x:v>0</x:v>
      </x:c>
      <x:c r="AC115" s="6" t="n">
        <x:f>MIN(AA115+AB115,'Debt strategy'!$E$13)</x:f>
        <x:v>0</x:v>
      </x:c>
      <x:c r="AD115" s="27" t="n">
        <x:f>IF(AA115+AB115-AC115&lt;=0,99,1+SUM(IF(AND(C115+D115-E115&gt;0,OR(C115+D115-E115&lt;AA115+AB115-AC115,AND(C115+D115-E115=AA115+AB115-AC115,0&lt;4))),1,0),IF(AND(I115+J115-K115&gt;0,OR(I115+J115-K115&lt;AA115+AB115-AC115,AND(I115+J115-K115=AA115+AB115-AC115,1&lt;4))),1,0),IF(AND(O115+P115-Q115&gt;0,OR(O115+P115-Q115&lt;AA115+AB115-AC115,AND(O115+P115-Q115=AA115+AB115-AC115,2&lt;4))),1,0),IF(AND(U115+V115-W115&gt;0,OR(U115+V115-W115&lt;AA115+AB115-AC115,AND(U115+V115-W115=AA115+AB115-AC115,3&lt;4))),1,0)))</x:f>
        <x:v>99</x:v>
      </x:c>
      <x:c r="AE115" s="6" t="n">
        <x:f>IF('Debt strategy'!$C$16&gt;0,0,MIN(AA115+AB115-AC115,MAX(0,'Debt strategy'!$C$5-SUM(E115,K115,Q115,W115,AC115)-SUM(IF(F115&lt;AD115,C115+D115-E115,0),IF(L115&lt;AD115,I115+J115-K115,0),IF(R115&lt;AD115,O115+P115-Q115,0),IF(X115&lt;AD115,U115+V115-W115,0)))))</x:f>
        <x:v>0</x:v>
      </x:c>
      <x:c r="AF115" s="6" t="n">
        <x:f>ROUND(MAX(0,AA115+AB115-AC115-AE115),2)</x:f>
        <x:v>0</x:v>
      </x:c>
      <x:c r="AG115" s="6" t="n">
        <x:f>SUM(H115,N115,T115,Z115,AF115)</x:f>
        <x:v>0</x:v>
      </x:c>
      <x:c r="AH115" s="6" t="n">
        <x:f>SUM(D115,J115,P115,V115,AB115)+AH114</x:f>
        <x:v>1353.9499999999996</x:v>
      </x:c>
      <x:c r="AI115" s="2"/>
    </x:row>
    <x:row r="116" ht="23" customHeight="1">
      <x:c r="B116" s="2" t="n">
        <x:f>108</x:f>
        <x:v>108</x:v>
      </x:c>
      <x:c r="C116" s="6" t="n">
        <x:f>H115</x:f>
        <x:v>0</x:v>
      </x:c>
      <x:c r="D116" s="6" t="n">
        <x:f>ROUND(C116*'Debt strategy'!$D$9/12,2)</x:f>
        <x:v>0</x:v>
      </x:c>
      <x:c r="E116" s="6" t="n">
        <x:f>MIN(C116+D116,'Debt strategy'!$E$9)</x:f>
        <x:v>0</x:v>
      </x:c>
      <x:c r="F116" s="27" t="n">
        <x:f>IF(C116+D116-E116&lt;=0,99,1+SUM(IF(AND(I116+J116-K116&gt;0,OR(I116+J116-K116&lt;C116+D116-E116,AND(I116+J116-K116=C116+D116-E116,1&lt;0))),1,0),IF(AND(O116+P116-Q116&gt;0,OR(O116+P116-Q116&lt;C116+D116-E116,AND(O116+P116-Q116=C116+D116-E116,2&lt;0))),1,0),IF(AND(U116+V116-W116&gt;0,OR(U116+V116-W116&lt;C116+D116-E116,AND(U116+V116-W116=C116+D116-E116,3&lt;0))),1,0),IF(AND(AA116+AB116-AC116&gt;0,OR(AA116+AB116-AC116&lt;C116+D116-E116,AND(AA116+AB116-AC116=C116+D116-E116,4&lt;0))),1,0)))</x:f>
        <x:v>99</x:v>
      </x:c>
      <x:c r="G116" s="6" t="n">
        <x:f>IF('Debt strategy'!$C$16&gt;0,0,MIN(C116+D116-E116,MAX(0,'Debt strategy'!$C$5-SUM(E116,K116,Q116,W116,AC116)-SUM(IF(L116&lt;F116,I116+J116-K116,0),IF(R116&lt;F116,O116+P116-Q116,0),IF(X116&lt;F116,U116+V116-W116,0),IF(AD116&lt;F116,AA116+AB116-AC116,0)))))</x:f>
        <x:v>0</x:v>
      </x:c>
      <x:c r="H116" s="6" t="n">
        <x:f>ROUND(MAX(0,C116+D116-E116-G116),2)</x:f>
        <x:v>0</x:v>
      </x:c>
      <x:c r="I116" s="6" t="n">
        <x:f>N115</x:f>
        <x:v>0</x:v>
      </x:c>
      <x:c r="J116" s="6" t="n">
        <x:f>ROUND(I116*'Debt strategy'!$D$10/12,2)</x:f>
        <x:v>0</x:v>
      </x:c>
      <x:c r="K116" s="6" t="n">
        <x:f>MIN(I116+J116,'Debt strategy'!$E$10)</x:f>
        <x:v>0</x:v>
      </x:c>
      <x:c r="L116" s="27" t="n">
        <x:f>IF(I116+J116-K116&lt;=0,99,1+SUM(IF(AND(C116+D116-E116&gt;0,OR(C116+D116-E116&lt;I116+J116-K116,AND(C116+D116-E116=I116+J116-K116,0&lt;1))),1,0),IF(AND(O116+P116-Q116&gt;0,OR(O116+P116-Q116&lt;I116+J116-K116,AND(O116+P116-Q116=I116+J116-K116,2&lt;1))),1,0),IF(AND(U116+V116-W116&gt;0,OR(U116+V116-W116&lt;I116+J116-K116,AND(U116+V116-W116=I116+J116-K116,3&lt;1))),1,0),IF(AND(AA116+AB116-AC116&gt;0,OR(AA116+AB116-AC116&lt;I116+J116-K116,AND(AA116+AB116-AC116=I116+J116-K116,4&lt;1))),1,0)))</x:f>
        <x:v>99</x:v>
      </x:c>
      <x:c r="M116" s="6" t="n">
        <x:f>IF('Debt strategy'!$C$16&gt;0,0,MIN(I116+J116-K116,MAX(0,'Debt strategy'!$C$5-SUM(E116,K116,Q116,W116,AC116)-SUM(IF(F116&lt;L116,C116+D116-E116,0),IF(R116&lt;L116,O116+P116-Q116,0),IF(X116&lt;L116,U116+V116-W116,0),IF(AD116&lt;L116,AA116+AB116-AC116,0)))))</x:f>
        <x:v>0</x:v>
      </x:c>
      <x:c r="N116" s="6" t="n">
        <x:f>ROUND(MAX(0,I116+J116-K116-M116),2)</x:f>
        <x:v>0</x:v>
      </x:c>
      <x:c r="O116" s="6" t="n">
        <x:f>T115</x:f>
        <x:v>0</x:v>
      </x:c>
      <x:c r="P116" s="6" t="n">
        <x:f>ROUND(O116*'Debt strategy'!$D$11/12,2)</x:f>
        <x:v>0</x:v>
      </x:c>
      <x:c r="Q116" s="6" t="n">
        <x:f>MIN(O116+P116,'Debt strategy'!$E$11)</x:f>
        <x:v>0</x:v>
      </x:c>
      <x:c r="R116" s="27" t="n">
        <x:f>IF(O116+P116-Q116&lt;=0,99,1+SUM(IF(AND(C116+D116-E116&gt;0,OR(C116+D116-E116&lt;O116+P116-Q116,AND(C116+D116-E116=O116+P116-Q116,0&lt;2))),1,0),IF(AND(I116+J116-K116&gt;0,OR(I116+J116-K116&lt;O116+P116-Q116,AND(I116+J116-K116=O116+P116-Q116,1&lt;2))),1,0),IF(AND(U116+V116-W116&gt;0,OR(U116+V116-W116&lt;O116+P116-Q116,AND(U116+V116-W116=O116+P116-Q116,3&lt;2))),1,0),IF(AND(AA116+AB116-AC116&gt;0,OR(AA116+AB116-AC116&lt;O116+P116-Q116,AND(AA116+AB116-AC116=O116+P116-Q116,4&lt;2))),1,0)))</x:f>
        <x:v>99</x:v>
      </x:c>
      <x:c r="S116" s="6" t="n">
        <x:f>IF('Debt strategy'!$C$16&gt;0,0,MIN(O116+P116-Q116,MAX(0,'Debt strategy'!$C$5-SUM(E116,K116,Q116,W116,AC116)-SUM(IF(F116&lt;R116,C116+D116-E116,0),IF(L116&lt;R116,I116+J116-K116,0),IF(X116&lt;R116,U116+V116-W116,0),IF(AD116&lt;R116,AA116+AB116-AC116,0)))))</x:f>
        <x:v>0</x:v>
      </x:c>
      <x:c r="T116" s="6" t="n">
        <x:f>ROUND(MAX(0,O116+P116-Q116-S116),2)</x:f>
        <x:v>0</x:v>
      </x:c>
      <x:c r="U116" s="6" t="n">
        <x:f>Z115</x:f>
        <x:v>0</x:v>
      </x:c>
      <x:c r="V116" s="6" t="n">
        <x:f>ROUND(U116*'Debt strategy'!$D$12/12,2)</x:f>
        <x:v>0</x:v>
      </x:c>
      <x:c r="W116" s="6" t="n">
        <x:f>MIN(U116+V116,'Debt strategy'!$E$12)</x:f>
        <x:v>0</x:v>
      </x:c>
      <x:c r="X116" s="27" t="n">
        <x:f>IF(U116+V116-W116&lt;=0,99,1+SUM(IF(AND(C116+D116-E116&gt;0,OR(C116+D116-E116&lt;U116+V116-W116,AND(C116+D116-E116=U116+V116-W116,0&lt;3))),1,0),IF(AND(I116+J116-K116&gt;0,OR(I116+J116-K116&lt;U116+V116-W116,AND(I116+J116-K116=U116+V116-W116,1&lt;3))),1,0),IF(AND(O116+P116-Q116&gt;0,OR(O116+P116-Q116&lt;U116+V116-W116,AND(O116+P116-Q116=U116+V116-W116,2&lt;3))),1,0),IF(AND(AA116+AB116-AC116&gt;0,OR(AA116+AB116-AC116&lt;U116+V116-W116,AND(AA116+AB116-AC116=U116+V116-W116,4&lt;3))),1,0)))</x:f>
        <x:v>99</x:v>
      </x:c>
      <x:c r="Y116" s="6" t="n">
        <x:f>IF('Debt strategy'!$C$16&gt;0,0,MIN(U116+V116-W116,MAX(0,'Debt strategy'!$C$5-SUM(E116,K116,Q116,W116,AC116)-SUM(IF(F116&lt;X116,C116+D116-E116,0),IF(L116&lt;X116,I116+J116-K116,0),IF(R116&lt;X116,O116+P116-Q116,0),IF(AD116&lt;X116,AA116+AB116-AC116,0)))))</x:f>
        <x:v>0</x:v>
      </x:c>
      <x:c r="Z116" s="6" t="n">
        <x:f>ROUND(MAX(0,U116+V116-W116-Y116),2)</x:f>
        <x:v>0</x:v>
      </x:c>
      <x:c r="AA116" s="6" t="n">
        <x:f>AF115</x:f>
        <x:v>0</x:v>
      </x:c>
      <x:c r="AB116" s="6" t="n">
        <x:f>ROUND(AA116*'Debt strategy'!$D$13/12,2)</x:f>
        <x:v>0</x:v>
      </x:c>
      <x:c r="AC116" s="6" t="n">
        <x:f>MIN(AA116+AB116,'Debt strategy'!$E$13)</x:f>
        <x:v>0</x:v>
      </x:c>
      <x:c r="AD116" s="27" t="n">
        <x:f>IF(AA116+AB116-AC116&lt;=0,99,1+SUM(IF(AND(C116+D116-E116&gt;0,OR(C116+D116-E116&lt;AA116+AB116-AC116,AND(C116+D116-E116=AA116+AB116-AC116,0&lt;4))),1,0),IF(AND(I116+J116-K116&gt;0,OR(I116+J116-K116&lt;AA116+AB116-AC116,AND(I116+J116-K116=AA116+AB116-AC116,1&lt;4))),1,0),IF(AND(O116+P116-Q116&gt;0,OR(O116+P116-Q116&lt;AA116+AB116-AC116,AND(O116+P116-Q116=AA116+AB116-AC116,2&lt;4))),1,0),IF(AND(U116+V116-W116&gt;0,OR(U116+V116-W116&lt;AA116+AB116-AC116,AND(U116+V116-W116=AA116+AB116-AC116,3&lt;4))),1,0)))</x:f>
        <x:v>99</x:v>
      </x:c>
      <x:c r="AE116" s="6" t="n">
        <x:f>IF('Debt strategy'!$C$16&gt;0,0,MIN(AA116+AB116-AC116,MAX(0,'Debt strategy'!$C$5-SUM(E116,K116,Q116,W116,AC116)-SUM(IF(F116&lt;AD116,C116+D116-E116,0),IF(L116&lt;AD116,I116+J116-K116,0),IF(R116&lt;AD116,O116+P116-Q116,0),IF(X116&lt;AD116,U116+V116-W116,0)))))</x:f>
        <x:v>0</x:v>
      </x:c>
      <x:c r="AF116" s="6" t="n">
        <x:f>ROUND(MAX(0,AA116+AB116-AC116-AE116),2)</x:f>
        <x:v>0</x:v>
      </x:c>
      <x:c r="AG116" s="6" t="n">
        <x:f>SUM(H116,N116,T116,Z116,AF116)</x:f>
        <x:v>0</x:v>
      </x:c>
      <x:c r="AH116" s="6" t="n">
        <x:f>SUM(D116,J116,P116,V116,AB116)+AH115</x:f>
        <x:v>1353.9499999999996</x:v>
      </x:c>
      <x:c r="AI116" s="2"/>
    </x:row>
    <x:row r="117" ht="23" customHeight="1">
      <x:c r="B117" s="2" t="n">
        <x:f>109</x:f>
        <x:v>109</x:v>
      </x:c>
      <x:c r="C117" s="6" t="n">
        <x:f>H116</x:f>
        <x:v>0</x:v>
      </x:c>
      <x:c r="D117" s="6" t="n">
        <x:f>ROUND(C117*'Debt strategy'!$D$9/12,2)</x:f>
        <x:v>0</x:v>
      </x:c>
      <x:c r="E117" s="6" t="n">
        <x:f>MIN(C117+D117,'Debt strategy'!$E$9)</x:f>
        <x:v>0</x:v>
      </x:c>
      <x:c r="F117" s="27" t="n">
        <x:f>IF(C117+D117-E117&lt;=0,99,1+SUM(IF(AND(I117+J117-K117&gt;0,OR(I117+J117-K117&lt;C117+D117-E117,AND(I117+J117-K117=C117+D117-E117,1&lt;0))),1,0),IF(AND(O117+P117-Q117&gt;0,OR(O117+P117-Q117&lt;C117+D117-E117,AND(O117+P117-Q117=C117+D117-E117,2&lt;0))),1,0),IF(AND(U117+V117-W117&gt;0,OR(U117+V117-W117&lt;C117+D117-E117,AND(U117+V117-W117=C117+D117-E117,3&lt;0))),1,0),IF(AND(AA117+AB117-AC117&gt;0,OR(AA117+AB117-AC117&lt;C117+D117-E117,AND(AA117+AB117-AC117=C117+D117-E117,4&lt;0))),1,0)))</x:f>
        <x:v>99</x:v>
      </x:c>
      <x:c r="G117" s="6" t="n">
        <x:f>IF('Debt strategy'!$C$16&gt;0,0,MIN(C117+D117-E117,MAX(0,'Debt strategy'!$C$5-SUM(E117,K117,Q117,W117,AC117)-SUM(IF(L117&lt;F117,I117+J117-K117,0),IF(R117&lt;F117,O117+P117-Q117,0),IF(X117&lt;F117,U117+V117-W117,0),IF(AD117&lt;F117,AA117+AB117-AC117,0)))))</x:f>
        <x:v>0</x:v>
      </x:c>
      <x:c r="H117" s="6" t="n">
        <x:f>ROUND(MAX(0,C117+D117-E117-G117),2)</x:f>
        <x:v>0</x:v>
      </x:c>
      <x:c r="I117" s="6" t="n">
        <x:f>N116</x:f>
        <x:v>0</x:v>
      </x:c>
      <x:c r="J117" s="6" t="n">
        <x:f>ROUND(I117*'Debt strategy'!$D$10/12,2)</x:f>
        <x:v>0</x:v>
      </x:c>
      <x:c r="K117" s="6" t="n">
        <x:f>MIN(I117+J117,'Debt strategy'!$E$10)</x:f>
        <x:v>0</x:v>
      </x:c>
      <x:c r="L117" s="27" t="n">
        <x:f>IF(I117+J117-K117&lt;=0,99,1+SUM(IF(AND(C117+D117-E117&gt;0,OR(C117+D117-E117&lt;I117+J117-K117,AND(C117+D117-E117=I117+J117-K117,0&lt;1))),1,0),IF(AND(O117+P117-Q117&gt;0,OR(O117+P117-Q117&lt;I117+J117-K117,AND(O117+P117-Q117=I117+J117-K117,2&lt;1))),1,0),IF(AND(U117+V117-W117&gt;0,OR(U117+V117-W117&lt;I117+J117-K117,AND(U117+V117-W117=I117+J117-K117,3&lt;1))),1,0),IF(AND(AA117+AB117-AC117&gt;0,OR(AA117+AB117-AC117&lt;I117+J117-K117,AND(AA117+AB117-AC117=I117+J117-K117,4&lt;1))),1,0)))</x:f>
        <x:v>99</x:v>
      </x:c>
      <x:c r="M117" s="6" t="n">
        <x:f>IF('Debt strategy'!$C$16&gt;0,0,MIN(I117+J117-K117,MAX(0,'Debt strategy'!$C$5-SUM(E117,K117,Q117,W117,AC117)-SUM(IF(F117&lt;L117,C117+D117-E117,0),IF(R117&lt;L117,O117+P117-Q117,0),IF(X117&lt;L117,U117+V117-W117,0),IF(AD117&lt;L117,AA117+AB117-AC117,0)))))</x:f>
        <x:v>0</x:v>
      </x:c>
      <x:c r="N117" s="6" t="n">
        <x:f>ROUND(MAX(0,I117+J117-K117-M117),2)</x:f>
        <x:v>0</x:v>
      </x:c>
      <x:c r="O117" s="6" t="n">
        <x:f>T116</x:f>
        <x:v>0</x:v>
      </x:c>
      <x:c r="P117" s="6" t="n">
        <x:f>ROUND(O117*'Debt strategy'!$D$11/12,2)</x:f>
        <x:v>0</x:v>
      </x:c>
      <x:c r="Q117" s="6" t="n">
        <x:f>MIN(O117+P117,'Debt strategy'!$E$11)</x:f>
        <x:v>0</x:v>
      </x:c>
      <x:c r="R117" s="27" t="n">
        <x:f>IF(O117+P117-Q117&lt;=0,99,1+SUM(IF(AND(C117+D117-E117&gt;0,OR(C117+D117-E117&lt;O117+P117-Q117,AND(C117+D117-E117=O117+P117-Q117,0&lt;2))),1,0),IF(AND(I117+J117-K117&gt;0,OR(I117+J117-K117&lt;O117+P117-Q117,AND(I117+J117-K117=O117+P117-Q117,1&lt;2))),1,0),IF(AND(U117+V117-W117&gt;0,OR(U117+V117-W117&lt;O117+P117-Q117,AND(U117+V117-W117=O117+P117-Q117,3&lt;2))),1,0),IF(AND(AA117+AB117-AC117&gt;0,OR(AA117+AB117-AC117&lt;O117+P117-Q117,AND(AA117+AB117-AC117=O117+P117-Q117,4&lt;2))),1,0)))</x:f>
        <x:v>99</x:v>
      </x:c>
      <x:c r="S117" s="6" t="n">
        <x:f>IF('Debt strategy'!$C$16&gt;0,0,MIN(O117+P117-Q117,MAX(0,'Debt strategy'!$C$5-SUM(E117,K117,Q117,W117,AC117)-SUM(IF(F117&lt;R117,C117+D117-E117,0),IF(L117&lt;R117,I117+J117-K117,0),IF(X117&lt;R117,U117+V117-W117,0),IF(AD117&lt;R117,AA117+AB117-AC117,0)))))</x:f>
        <x:v>0</x:v>
      </x:c>
      <x:c r="T117" s="6" t="n">
        <x:f>ROUND(MAX(0,O117+P117-Q117-S117),2)</x:f>
        <x:v>0</x:v>
      </x:c>
      <x:c r="U117" s="6" t="n">
        <x:f>Z116</x:f>
        <x:v>0</x:v>
      </x:c>
      <x:c r="V117" s="6" t="n">
        <x:f>ROUND(U117*'Debt strategy'!$D$12/12,2)</x:f>
        <x:v>0</x:v>
      </x:c>
      <x:c r="W117" s="6" t="n">
        <x:f>MIN(U117+V117,'Debt strategy'!$E$12)</x:f>
        <x:v>0</x:v>
      </x:c>
      <x:c r="X117" s="27" t="n">
        <x:f>IF(U117+V117-W117&lt;=0,99,1+SUM(IF(AND(C117+D117-E117&gt;0,OR(C117+D117-E117&lt;U117+V117-W117,AND(C117+D117-E117=U117+V117-W117,0&lt;3))),1,0),IF(AND(I117+J117-K117&gt;0,OR(I117+J117-K117&lt;U117+V117-W117,AND(I117+J117-K117=U117+V117-W117,1&lt;3))),1,0),IF(AND(O117+P117-Q117&gt;0,OR(O117+P117-Q117&lt;U117+V117-W117,AND(O117+P117-Q117=U117+V117-W117,2&lt;3))),1,0),IF(AND(AA117+AB117-AC117&gt;0,OR(AA117+AB117-AC117&lt;U117+V117-W117,AND(AA117+AB117-AC117=U117+V117-W117,4&lt;3))),1,0)))</x:f>
        <x:v>99</x:v>
      </x:c>
      <x:c r="Y117" s="6" t="n">
        <x:f>IF('Debt strategy'!$C$16&gt;0,0,MIN(U117+V117-W117,MAX(0,'Debt strategy'!$C$5-SUM(E117,K117,Q117,W117,AC117)-SUM(IF(F117&lt;X117,C117+D117-E117,0),IF(L117&lt;X117,I117+J117-K117,0),IF(R117&lt;X117,O117+P117-Q117,0),IF(AD117&lt;X117,AA117+AB117-AC117,0)))))</x:f>
        <x:v>0</x:v>
      </x:c>
      <x:c r="Z117" s="6" t="n">
        <x:f>ROUND(MAX(0,U117+V117-W117-Y117),2)</x:f>
        <x:v>0</x:v>
      </x:c>
      <x:c r="AA117" s="6" t="n">
        <x:f>AF116</x:f>
        <x:v>0</x:v>
      </x:c>
      <x:c r="AB117" s="6" t="n">
        <x:f>ROUND(AA117*'Debt strategy'!$D$13/12,2)</x:f>
        <x:v>0</x:v>
      </x:c>
      <x:c r="AC117" s="6" t="n">
        <x:f>MIN(AA117+AB117,'Debt strategy'!$E$13)</x:f>
        <x:v>0</x:v>
      </x:c>
      <x:c r="AD117" s="27" t="n">
        <x:f>IF(AA117+AB117-AC117&lt;=0,99,1+SUM(IF(AND(C117+D117-E117&gt;0,OR(C117+D117-E117&lt;AA117+AB117-AC117,AND(C117+D117-E117=AA117+AB117-AC117,0&lt;4))),1,0),IF(AND(I117+J117-K117&gt;0,OR(I117+J117-K117&lt;AA117+AB117-AC117,AND(I117+J117-K117=AA117+AB117-AC117,1&lt;4))),1,0),IF(AND(O117+P117-Q117&gt;0,OR(O117+P117-Q117&lt;AA117+AB117-AC117,AND(O117+P117-Q117=AA117+AB117-AC117,2&lt;4))),1,0),IF(AND(U117+V117-W117&gt;0,OR(U117+V117-W117&lt;AA117+AB117-AC117,AND(U117+V117-W117=AA117+AB117-AC117,3&lt;4))),1,0)))</x:f>
        <x:v>99</x:v>
      </x:c>
      <x:c r="AE117" s="6" t="n">
        <x:f>IF('Debt strategy'!$C$16&gt;0,0,MIN(AA117+AB117-AC117,MAX(0,'Debt strategy'!$C$5-SUM(E117,K117,Q117,W117,AC117)-SUM(IF(F117&lt;AD117,C117+D117-E117,0),IF(L117&lt;AD117,I117+J117-K117,0),IF(R117&lt;AD117,O117+P117-Q117,0),IF(X117&lt;AD117,U117+V117-W117,0)))))</x:f>
        <x:v>0</x:v>
      </x:c>
      <x:c r="AF117" s="6" t="n">
        <x:f>ROUND(MAX(0,AA117+AB117-AC117-AE117),2)</x:f>
        <x:v>0</x:v>
      </x:c>
      <x:c r="AG117" s="6" t="n">
        <x:f>SUM(H117,N117,T117,Z117,AF117)</x:f>
        <x:v>0</x:v>
      </x:c>
      <x:c r="AH117" s="6" t="n">
        <x:f>SUM(D117,J117,P117,V117,AB117)+AH116</x:f>
        <x:v>1353.9499999999996</x:v>
      </x:c>
      <x:c r="AI117" s="2"/>
    </x:row>
    <x:row r="118" ht="23" customHeight="1">
      <x:c r="B118" s="2" t="n">
        <x:f>110</x:f>
        <x:v>110</x:v>
      </x:c>
      <x:c r="C118" s="6" t="n">
        <x:f>H117</x:f>
        <x:v>0</x:v>
      </x:c>
      <x:c r="D118" s="6" t="n">
        <x:f>ROUND(C118*'Debt strategy'!$D$9/12,2)</x:f>
        <x:v>0</x:v>
      </x:c>
      <x:c r="E118" s="6" t="n">
        <x:f>MIN(C118+D118,'Debt strategy'!$E$9)</x:f>
        <x:v>0</x:v>
      </x:c>
      <x:c r="F118" s="27" t="n">
        <x:f>IF(C118+D118-E118&lt;=0,99,1+SUM(IF(AND(I118+J118-K118&gt;0,OR(I118+J118-K118&lt;C118+D118-E118,AND(I118+J118-K118=C118+D118-E118,1&lt;0))),1,0),IF(AND(O118+P118-Q118&gt;0,OR(O118+P118-Q118&lt;C118+D118-E118,AND(O118+P118-Q118=C118+D118-E118,2&lt;0))),1,0),IF(AND(U118+V118-W118&gt;0,OR(U118+V118-W118&lt;C118+D118-E118,AND(U118+V118-W118=C118+D118-E118,3&lt;0))),1,0),IF(AND(AA118+AB118-AC118&gt;0,OR(AA118+AB118-AC118&lt;C118+D118-E118,AND(AA118+AB118-AC118=C118+D118-E118,4&lt;0))),1,0)))</x:f>
        <x:v>99</x:v>
      </x:c>
      <x:c r="G118" s="6" t="n">
        <x:f>IF('Debt strategy'!$C$16&gt;0,0,MIN(C118+D118-E118,MAX(0,'Debt strategy'!$C$5-SUM(E118,K118,Q118,W118,AC118)-SUM(IF(L118&lt;F118,I118+J118-K118,0),IF(R118&lt;F118,O118+P118-Q118,0),IF(X118&lt;F118,U118+V118-W118,0),IF(AD118&lt;F118,AA118+AB118-AC118,0)))))</x:f>
        <x:v>0</x:v>
      </x:c>
      <x:c r="H118" s="6" t="n">
        <x:f>ROUND(MAX(0,C118+D118-E118-G118),2)</x:f>
        <x:v>0</x:v>
      </x:c>
      <x:c r="I118" s="6" t="n">
        <x:f>N117</x:f>
        <x:v>0</x:v>
      </x:c>
      <x:c r="J118" s="6" t="n">
        <x:f>ROUND(I118*'Debt strategy'!$D$10/12,2)</x:f>
        <x:v>0</x:v>
      </x:c>
      <x:c r="K118" s="6" t="n">
        <x:f>MIN(I118+J118,'Debt strategy'!$E$10)</x:f>
        <x:v>0</x:v>
      </x:c>
      <x:c r="L118" s="27" t="n">
        <x:f>IF(I118+J118-K118&lt;=0,99,1+SUM(IF(AND(C118+D118-E118&gt;0,OR(C118+D118-E118&lt;I118+J118-K118,AND(C118+D118-E118=I118+J118-K118,0&lt;1))),1,0),IF(AND(O118+P118-Q118&gt;0,OR(O118+P118-Q118&lt;I118+J118-K118,AND(O118+P118-Q118=I118+J118-K118,2&lt;1))),1,0),IF(AND(U118+V118-W118&gt;0,OR(U118+V118-W118&lt;I118+J118-K118,AND(U118+V118-W118=I118+J118-K118,3&lt;1))),1,0),IF(AND(AA118+AB118-AC118&gt;0,OR(AA118+AB118-AC118&lt;I118+J118-K118,AND(AA118+AB118-AC118=I118+J118-K118,4&lt;1))),1,0)))</x:f>
        <x:v>99</x:v>
      </x:c>
      <x:c r="M118" s="6" t="n">
        <x:f>IF('Debt strategy'!$C$16&gt;0,0,MIN(I118+J118-K118,MAX(0,'Debt strategy'!$C$5-SUM(E118,K118,Q118,W118,AC118)-SUM(IF(F118&lt;L118,C118+D118-E118,0),IF(R118&lt;L118,O118+P118-Q118,0),IF(X118&lt;L118,U118+V118-W118,0),IF(AD118&lt;L118,AA118+AB118-AC118,0)))))</x:f>
        <x:v>0</x:v>
      </x:c>
      <x:c r="N118" s="6" t="n">
        <x:f>ROUND(MAX(0,I118+J118-K118-M118),2)</x:f>
        <x:v>0</x:v>
      </x:c>
      <x:c r="O118" s="6" t="n">
        <x:f>T117</x:f>
        <x:v>0</x:v>
      </x:c>
      <x:c r="P118" s="6" t="n">
        <x:f>ROUND(O118*'Debt strategy'!$D$11/12,2)</x:f>
        <x:v>0</x:v>
      </x:c>
      <x:c r="Q118" s="6" t="n">
        <x:f>MIN(O118+P118,'Debt strategy'!$E$11)</x:f>
        <x:v>0</x:v>
      </x:c>
      <x:c r="R118" s="27" t="n">
        <x:f>IF(O118+P118-Q118&lt;=0,99,1+SUM(IF(AND(C118+D118-E118&gt;0,OR(C118+D118-E118&lt;O118+P118-Q118,AND(C118+D118-E118=O118+P118-Q118,0&lt;2))),1,0),IF(AND(I118+J118-K118&gt;0,OR(I118+J118-K118&lt;O118+P118-Q118,AND(I118+J118-K118=O118+P118-Q118,1&lt;2))),1,0),IF(AND(U118+V118-W118&gt;0,OR(U118+V118-W118&lt;O118+P118-Q118,AND(U118+V118-W118=O118+P118-Q118,3&lt;2))),1,0),IF(AND(AA118+AB118-AC118&gt;0,OR(AA118+AB118-AC118&lt;O118+P118-Q118,AND(AA118+AB118-AC118=O118+P118-Q118,4&lt;2))),1,0)))</x:f>
        <x:v>99</x:v>
      </x:c>
      <x:c r="S118" s="6" t="n">
        <x:f>IF('Debt strategy'!$C$16&gt;0,0,MIN(O118+P118-Q118,MAX(0,'Debt strategy'!$C$5-SUM(E118,K118,Q118,W118,AC118)-SUM(IF(F118&lt;R118,C118+D118-E118,0),IF(L118&lt;R118,I118+J118-K118,0),IF(X118&lt;R118,U118+V118-W118,0),IF(AD118&lt;R118,AA118+AB118-AC118,0)))))</x:f>
        <x:v>0</x:v>
      </x:c>
      <x:c r="T118" s="6" t="n">
        <x:f>ROUND(MAX(0,O118+P118-Q118-S118),2)</x:f>
        <x:v>0</x:v>
      </x:c>
      <x:c r="U118" s="6" t="n">
        <x:f>Z117</x:f>
        <x:v>0</x:v>
      </x:c>
      <x:c r="V118" s="6" t="n">
        <x:f>ROUND(U118*'Debt strategy'!$D$12/12,2)</x:f>
        <x:v>0</x:v>
      </x:c>
      <x:c r="W118" s="6" t="n">
        <x:f>MIN(U118+V118,'Debt strategy'!$E$12)</x:f>
        <x:v>0</x:v>
      </x:c>
      <x:c r="X118" s="27" t="n">
        <x:f>IF(U118+V118-W118&lt;=0,99,1+SUM(IF(AND(C118+D118-E118&gt;0,OR(C118+D118-E118&lt;U118+V118-W118,AND(C118+D118-E118=U118+V118-W118,0&lt;3))),1,0),IF(AND(I118+J118-K118&gt;0,OR(I118+J118-K118&lt;U118+V118-W118,AND(I118+J118-K118=U118+V118-W118,1&lt;3))),1,0),IF(AND(O118+P118-Q118&gt;0,OR(O118+P118-Q118&lt;U118+V118-W118,AND(O118+P118-Q118=U118+V118-W118,2&lt;3))),1,0),IF(AND(AA118+AB118-AC118&gt;0,OR(AA118+AB118-AC118&lt;U118+V118-W118,AND(AA118+AB118-AC118=U118+V118-W118,4&lt;3))),1,0)))</x:f>
        <x:v>99</x:v>
      </x:c>
      <x:c r="Y118" s="6" t="n">
        <x:f>IF('Debt strategy'!$C$16&gt;0,0,MIN(U118+V118-W118,MAX(0,'Debt strategy'!$C$5-SUM(E118,K118,Q118,W118,AC118)-SUM(IF(F118&lt;X118,C118+D118-E118,0),IF(L118&lt;X118,I118+J118-K118,0),IF(R118&lt;X118,O118+P118-Q118,0),IF(AD118&lt;X118,AA118+AB118-AC118,0)))))</x:f>
        <x:v>0</x:v>
      </x:c>
      <x:c r="Z118" s="6" t="n">
        <x:f>ROUND(MAX(0,U118+V118-W118-Y118),2)</x:f>
        <x:v>0</x:v>
      </x:c>
      <x:c r="AA118" s="6" t="n">
        <x:f>AF117</x:f>
        <x:v>0</x:v>
      </x:c>
      <x:c r="AB118" s="6" t="n">
        <x:f>ROUND(AA118*'Debt strategy'!$D$13/12,2)</x:f>
        <x:v>0</x:v>
      </x:c>
      <x:c r="AC118" s="6" t="n">
        <x:f>MIN(AA118+AB118,'Debt strategy'!$E$13)</x:f>
        <x:v>0</x:v>
      </x:c>
      <x:c r="AD118" s="27" t="n">
        <x:f>IF(AA118+AB118-AC118&lt;=0,99,1+SUM(IF(AND(C118+D118-E118&gt;0,OR(C118+D118-E118&lt;AA118+AB118-AC118,AND(C118+D118-E118=AA118+AB118-AC118,0&lt;4))),1,0),IF(AND(I118+J118-K118&gt;0,OR(I118+J118-K118&lt;AA118+AB118-AC118,AND(I118+J118-K118=AA118+AB118-AC118,1&lt;4))),1,0),IF(AND(O118+P118-Q118&gt;0,OR(O118+P118-Q118&lt;AA118+AB118-AC118,AND(O118+P118-Q118=AA118+AB118-AC118,2&lt;4))),1,0),IF(AND(U118+V118-W118&gt;0,OR(U118+V118-W118&lt;AA118+AB118-AC118,AND(U118+V118-W118=AA118+AB118-AC118,3&lt;4))),1,0)))</x:f>
        <x:v>99</x:v>
      </x:c>
      <x:c r="AE118" s="6" t="n">
        <x:f>IF('Debt strategy'!$C$16&gt;0,0,MIN(AA118+AB118-AC118,MAX(0,'Debt strategy'!$C$5-SUM(E118,K118,Q118,W118,AC118)-SUM(IF(F118&lt;AD118,C118+D118-E118,0),IF(L118&lt;AD118,I118+J118-K118,0),IF(R118&lt;AD118,O118+P118-Q118,0),IF(X118&lt;AD118,U118+V118-W118,0)))))</x:f>
        <x:v>0</x:v>
      </x:c>
      <x:c r="AF118" s="6" t="n">
        <x:f>ROUND(MAX(0,AA118+AB118-AC118-AE118),2)</x:f>
        <x:v>0</x:v>
      </x:c>
      <x:c r="AG118" s="6" t="n">
        <x:f>SUM(H118,N118,T118,Z118,AF118)</x:f>
        <x:v>0</x:v>
      </x:c>
      <x:c r="AH118" s="6" t="n">
        <x:f>SUM(D118,J118,P118,V118,AB118)+AH117</x:f>
        <x:v>1353.9499999999996</x:v>
      </x:c>
      <x:c r="AI118" s="2"/>
    </x:row>
    <x:row r="119" ht="23" customHeight="1">
      <x:c r="B119" s="2" t="n">
        <x:f>111</x:f>
        <x:v>111</x:v>
      </x:c>
      <x:c r="C119" s="6" t="n">
        <x:f>H118</x:f>
        <x:v>0</x:v>
      </x:c>
      <x:c r="D119" s="6" t="n">
        <x:f>ROUND(C119*'Debt strategy'!$D$9/12,2)</x:f>
        <x:v>0</x:v>
      </x:c>
      <x:c r="E119" s="6" t="n">
        <x:f>MIN(C119+D119,'Debt strategy'!$E$9)</x:f>
        <x:v>0</x:v>
      </x:c>
      <x:c r="F119" s="27" t="n">
        <x:f>IF(C119+D119-E119&lt;=0,99,1+SUM(IF(AND(I119+J119-K119&gt;0,OR(I119+J119-K119&lt;C119+D119-E119,AND(I119+J119-K119=C119+D119-E119,1&lt;0))),1,0),IF(AND(O119+P119-Q119&gt;0,OR(O119+P119-Q119&lt;C119+D119-E119,AND(O119+P119-Q119=C119+D119-E119,2&lt;0))),1,0),IF(AND(U119+V119-W119&gt;0,OR(U119+V119-W119&lt;C119+D119-E119,AND(U119+V119-W119=C119+D119-E119,3&lt;0))),1,0),IF(AND(AA119+AB119-AC119&gt;0,OR(AA119+AB119-AC119&lt;C119+D119-E119,AND(AA119+AB119-AC119=C119+D119-E119,4&lt;0))),1,0)))</x:f>
        <x:v>99</x:v>
      </x:c>
      <x:c r="G119" s="6" t="n">
        <x:f>IF('Debt strategy'!$C$16&gt;0,0,MIN(C119+D119-E119,MAX(0,'Debt strategy'!$C$5-SUM(E119,K119,Q119,W119,AC119)-SUM(IF(L119&lt;F119,I119+J119-K119,0),IF(R119&lt;F119,O119+P119-Q119,0),IF(X119&lt;F119,U119+V119-W119,0),IF(AD119&lt;F119,AA119+AB119-AC119,0)))))</x:f>
        <x:v>0</x:v>
      </x:c>
      <x:c r="H119" s="6" t="n">
        <x:f>ROUND(MAX(0,C119+D119-E119-G119),2)</x:f>
        <x:v>0</x:v>
      </x:c>
      <x:c r="I119" s="6" t="n">
        <x:f>N118</x:f>
        <x:v>0</x:v>
      </x:c>
      <x:c r="J119" s="6" t="n">
        <x:f>ROUND(I119*'Debt strategy'!$D$10/12,2)</x:f>
        <x:v>0</x:v>
      </x:c>
      <x:c r="K119" s="6" t="n">
        <x:f>MIN(I119+J119,'Debt strategy'!$E$10)</x:f>
        <x:v>0</x:v>
      </x:c>
      <x:c r="L119" s="27" t="n">
        <x:f>IF(I119+J119-K119&lt;=0,99,1+SUM(IF(AND(C119+D119-E119&gt;0,OR(C119+D119-E119&lt;I119+J119-K119,AND(C119+D119-E119=I119+J119-K119,0&lt;1))),1,0),IF(AND(O119+P119-Q119&gt;0,OR(O119+P119-Q119&lt;I119+J119-K119,AND(O119+P119-Q119=I119+J119-K119,2&lt;1))),1,0),IF(AND(U119+V119-W119&gt;0,OR(U119+V119-W119&lt;I119+J119-K119,AND(U119+V119-W119=I119+J119-K119,3&lt;1))),1,0),IF(AND(AA119+AB119-AC119&gt;0,OR(AA119+AB119-AC119&lt;I119+J119-K119,AND(AA119+AB119-AC119=I119+J119-K119,4&lt;1))),1,0)))</x:f>
        <x:v>99</x:v>
      </x:c>
      <x:c r="M119" s="6" t="n">
        <x:f>IF('Debt strategy'!$C$16&gt;0,0,MIN(I119+J119-K119,MAX(0,'Debt strategy'!$C$5-SUM(E119,K119,Q119,W119,AC119)-SUM(IF(F119&lt;L119,C119+D119-E119,0),IF(R119&lt;L119,O119+P119-Q119,0),IF(X119&lt;L119,U119+V119-W119,0),IF(AD119&lt;L119,AA119+AB119-AC119,0)))))</x:f>
        <x:v>0</x:v>
      </x:c>
      <x:c r="N119" s="6" t="n">
        <x:f>ROUND(MAX(0,I119+J119-K119-M119),2)</x:f>
        <x:v>0</x:v>
      </x:c>
      <x:c r="O119" s="6" t="n">
        <x:f>T118</x:f>
        <x:v>0</x:v>
      </x:c>
      <x:c r="P119" s="6" t="n">
        <x:f>ROUND(O119*'Debt strategy'!$D$11/12,2)</x:f>
        <x:v>0</x:v>
      </x:c>
      <x:c r="Q119" s="6" t="n">
        <x:f>MIN(O119+P119,'Debt strategy'!$E$11)</x:f>
        <x:v>0</x:v>
      </x:c>
      <x:c r="R119" s="27" t="n">
        <x:f>IF(O119+P119-Q119&lt;=0,99,1+SUM(IF(AND(C119+D119-E119&gt;0,OR(C119+D119-E119&lt;O119+P119-Q119,AND(C119+D119-E119=O119+P119-Q119,0&lt;2))),1,0),IF(AND(I119+J119-K119&gt;0,OR(I119+J119-K119&lt;O119+P119-Q119,AND(I119+J119-K119=O119+P119-Q119,1&lt;2))),1,0),IF(AND(U119+V119-W119&gt;0,OR(U119+V119-W119&lt;O119+P119-Q119,AND(U119+V119-W119=O119+P119-Q119,3&lt;2))),1,0),IF(AND(AA119+AB119-AC119&gt;0,OR(AA119+AB119-AC119&lt;O119+P119-Q119,AND(AA119+AB119-AC119=O119+P119-Q119,4&lt;2))),1,0)))</x:f>
        <x:v>99</x:v>
      </x:c>
      <x:c r="S119" s="6" t="n">
        <x:f>IF('Debt strategy'!$C$16&gt;0,0,MIN(O119+P119-Q119,MAX(0,'Debt strategy'!$C$5-SUM(E119,K119,Q119,W119,AC119)-SUM(IF(F119&lt;R119,C119+D119-E119,0),IF(L119&lt;R119,I119+J119-K119,0),IF(X119&lt;R119,U119+V119-W119,0),IF(AD119&lt;R119,AA119+AB119-AC119,0)))))</x:f>
        <x:v>0</x:v>
      </x:c>
      <x:c r="T119" s="6" t="n">
        <x:f>ROUND(MAX(0,O119+P119-Q119-S119),2)</x:f>
        <x:v>0</x:v>
      </x:c>
      <x:c r="U119" s="6" t="n">
        <x:f>Z118</x:f>
        <x:v>0</x:v>
      </x:c>
      <x:c r="V119" s="6" t="n">
        <x:f>ROUND(U119*'Debt strategy'!$D$12/12,2)</x:f>
        <x:v>0</x:v>
      </x:c>
      <x:c r="W119" s="6" t="n">
        <x:f>MIN(U119+V119,'Debt strategy'!$E$12)</x:f>
        <x:v>0</x:v>
      </x:c>
      <x:c r="X119" s="27" t="n">
        <x:f>IF(U119+V119-W119&lt;=0,99,1+SUM(IF(AND(C119+D119-E119&gt;0,OR(C119+D119-E119&lt;U119+V119-W119,AND(C119+D119-E119=U119+V119-W119,0&lt;3))),1,0),IF(AND(I119+J119-K119&gt;0,OR(I119+J119-K119&lt;U119+V119-W119,AND(I119+J119-K119=U119+V119-W119,1&lt;3))),1,0),IF(AND(O119+P119-Q119&gt;0,OR(O119+P119-Q119&lt;U119+V119-W119,AND(O119+P119-Q119=U119+V119-W119,2&lt;3))),1,0),IF(AND(AA119+AB119-AC119&gt;0,OR(AA119+AB119-AC119&lt;U119+V119-W119,AND(AA119+AB119-AC119=U119+V119-W119,4&lt;3))),1,0)))</x:f>
        <x:v>99</x:v>
      </x:c>
      <x:c r="Y119" s="6" t="n">
        <x:f>IF('Debt strategy'!$C$16&gt;0,0,MIN(U119+V119-W119,MAX(0,'Debt strategy'!$C$5-SUM(E119,K119,Q119,W119,AC119)-SUM(IF(F119&lt;X119,C119+D119-E119,0),IF(L119&lt;X119,I119+J119-K119,0),IF(R119&lt;X119,O119+P119-Q119,0),IF(AD119&lt;X119,AA119+AB119-AC119,0)))))</x:f>
        <x:v>0</x:v>
      </x:c>
      <x:c r="Z119" s="6" t="n">
        <x:f>ROUND(MAX(0,U119+V119-W119-Y119),2)</x:f>
        <x:v>0</x:v>
      </x:c>
      <x:c r="AA119" s="6" t="n">
        <x:f>AF118</x:f>
        <x:v>0</x:v>
      </x:c>
      <x:c r="AB119" s="6" t="n">
        <x:f>ROUND(AA119*'Debt strategy'!$D$13/12,2)</x:f>
        <x:v>0</x:v>
      </x:c>
      <x:c r="AC119" s="6" t="n">
        <x:f>MIN(AA119+AB119,'Debt strategy'!$E$13)</x:f>
        <x:v>0</x:v>
      </x:c>
      <x:c r="AD119" s="27" t="n">
        <x:f>IF(AA119+AB119-AC119&lt;=0,99,1+SUM(IF(AND(C119+D119-E119&gt;0,OR(C119+D119-E119&lt;AA119+AB119-AC119,AND(C119+D119-E119=AA119+AB119-AC119,0&lt;4))),1,0),IF(AND(I119+J119-K119&gt;0,OR(I119+J119-K119&lt;AA119+AB119-AC119,AND(I119+J119-K119=AA119+AB119-AC119,1&lt;4))),1,0),IF(AND(O119+P119-Q119&gt;0,OR(O119+P119-Q119&lt;AA119+AB119-AC119,AND(O119+P119-Q119=AA119+AB119-AC119,2&lt;4))),1,0),IF(AND(U119+V119-W119&gt;0,OR(U119+V119-W119&lt;AA119+AB119-AC119,AND(U119+V119-W119=AA119+AB119-AC119,3&lt;4))),1,0)))</x:f>
        <x:v>99</x:v>
      </x:c>
      <x:c r="AE119" s="6" t="n">
        <x:f>IF('Debt strategy'!$C$16&gt;0,0,MIN(AA119+AB119-AC119,MAX(0,'Debt strategy'!$C$5-SUM(E119,K119,Q119,W119,AC119)-SUM(IF(F119&lt;AD119,C119+D119-E119,0),IF(L119&lt;AD119,I119+J119-K119,0),IF(R119&lt;AD119,O119+P119-Q119,0),IF(X119&lt;AD119,U119+V119-W119,0)))))</x:f>
        <x:v>0</x:v>
      </x:c>
      <x:c r="AF119" s="6" t="n">
        <x:f>ROUND(MAX(0,AA119+AB119-AC119-AE119),2)</x:f>
        <x:v>0</x:v>
      </x:c>
      <x:c r="AG119" s="6" t="n">
        <x:f>SUM(H119,N119,T119,Z119,AF119)</x:f>
        <x:v>0</x:v>
      </x:c>
      <x:c r="AH119" s="6" t="n">
        <x:f>SUM(D119,J119,P119,V119,AB119)+AH118</x:f>
        <x:v>1353.9499999999996</x:v>
      </x:c>
      <x:c r="AI119" s="2"/>
    </x:row>
    <x:row r="120" ht="23" customHeight="1">
      <x:c r="B120" s="2" t="n">
        <x:f>112</x:f>
        <x:v>112</x:v>
      </x:c>
      <x:c r="C120" s="6" t="n">
        <x:f>H119</x:f>
        <x:v>0</x:v>
      </x:c>
      <x:c r="D120" s="6" t="n">
        <x:f>ROUND(C120*'Debt strategy'!$D$9/12,2)</x:f>
        <x:v>0</x:v>
      </x:c>
      <x:c r="E120" s="6" t="n">
        <x:f>MIN(C120+D120,'Debt strategy'!$E$9)</x:f>
        <x:v>0</x:v>
      </x:c>
      <x:c r="F120" s="27" t="n">
        <x:f>IF(C120+D120-E120&lt;=0,99,1+SUM(IF(AND(I120+J120-K120&gt;0,OR(I120+J120-K120&lt;C120+D120-E120,AND(I120+J120-K120=C120+D120-E120,1&lt;0))),1,0),IF(AND(O120+P120-Q120&gt;0,OR(O120+P120-Q120&lt;C120+D120-E120,AND(O120+P120-Q120=C120+D120-E120,2&lt;0))),1,0),IF(AND(U120+V120-W120&gt;0,OR(U120+V120-W120&lt;C120+D120-E120,AND(U120+V120-W120=C120+D120-E120,3&lt;0))),1,0),IF(AND(AA120+AB120-AC120&gt;0,OR(AA120+AB120-AC120&lt;C120+D120-E120,AND(AA120+AB120-AC120=C120+D120-E120,4&lt;0))),1,0)))</x:f>
        <x:v>99</x:v>
      </x:c>
      <x:c r="G120" s="6" t="n">
        <x:f>IF('Debt strategy'!$C$16&gt;0,0,MIN(C120+D120-E120,MAX(0,'Debt strategy'!$C$5-SUM(E120,K120,Q120,W120,AC120)-SUM(IF(L120&lt;F120,I120+J120-K120,0),IF(R120&lt;F120,O120+P120-Q120,0),IF(X120&lt;F120,U120+V120-W120,0),IF(AD120&lt;F120,AA120+AB120-AC120,0)))))</x:f>
        <x:v>0</x:v>
      </x:c>
      <x:c r="H120" s="6" t="n">
        <x:f>ROUND(MAX(0,C120+D120-E120-G120),2)</x:f>
        <x:v>0</x:v>
      </x:c>
      <x:c r="I120" s="6" t="n">
        <x:f>N119</x:f>
        <x:v>0</x:v>
      </x:c>
      <x:c r="J120" s="6" t="n">
        <x:f>ROUND(I120*'Debt strategy'!$D$10/12,2)</x:f>
        <x:v>0</x:v>
      </x:c>
      <x:c r="K120" s="6" t="n">
        <x:f>MIN(I120+J120,'Debt strategy'!$E$10)</x:f>
        <x:v>0</x:v>
      </x:c>
      <x:c r="L120" s="27" t="n">
        <x:f>IF(I120+J120-K120&lt;=0,99,1+SUM(IF(AND(C120+D120-E120&gt;0,OR(C120+D120-E120&lt;I120+J120-K120,AND(C120+D120-E120=I120+J120-K120,0&lt;1))),1,0),IF(AND(O120+P120-Q120&gt;0,OR(O120+P120-Q120&lt;I120+J120-K120,AND(O120+P120-Q120=I120+J120-K120,2&lt;1))),1,0),IF(AND(U120+V120-W120&gt;0,OR(U120+V120-W120&lt;I120+J120-K120,AND(U120+V120-W120=I120+J120-K120,3&lt;1))),1,0),IF(AND(AA120+AB120-AC120&gt;0,OR(AA120+AB120-AC120&lt;I120+J120-K120,AND(AA120+AB120-AC120=I120+J120-K120,4&lt;1))),1,0)))</x:f>
        <x:v>99</x:v>
      </x:c>
      <x:c r="M120" s="6" t="n">
        <x:f>IF('Debt strategy'!$C$16&gt;0,0,MIN(I120+J120-K120,MAX(0,'Debt strategy'!$C$5-SUM(E120,K120,Q120,W120,AC120)-SUM(IF(F120&lt;L120,C120+D120-E120,0),IF(R120&lt;L120,O120+P120-Q120,0),IF(X120&lt;L120,U120+V120-W120,0),IF(AD120&lt;L120,AA120+AB120-AC120,0)))))</x:f>
        <x:v>0</x:v>
      </x:c>
      <x:c r="N120" s="6" t="n">
        <x:f>ROUND(MAX(0,I120+J120-K120-M120),2)</x:f>
        <x:v>0</x:v>
      </x:c>
      <x:c r="O120" s="6" t="n">
        <x:f>T119</x:f>
        <x:v>0</x:v>
      </x:c>
      <x:c r="P120" s="6" t="n">
        <x:f>ROUND(O120*'Debt strategy'!$D$11/12,2)</x:f>
        <x:v>0</x:v>
      </x:c>
      <x:c r="Q120" s="6" t="n">
        <x:f>MIN(O120+P120,'Debt strategy'!$E$11)</x:f>
        <x:v>0</x:v>
      </x:c>
      <x:c r="R120" s="27" t="n">
        <x:f>IF(O120+P120-Q120&lt;=0,99,1+SUM(IF(AND(C120+D120-E120&gt;0,OR(C120+D120-E120&lt;O120+P120-Q120,AND(C120+D120-E120=O120+P120-Q120,0&lt;2))),1,0),IF(AND(I120+J120-K120&gt;0,OR(I120+J120-K120&lt;O120+P120-Q120,AND(I120+J120-K120=O120+P120-Q120,1&lt;2))),1,0),IF(AND(U120+V120-W120&gt;0,OR(U120+V120-W120&lt;O120+P120-Q120,AND(U120+V120-W120=O120+P120-Q120,3&lt;2))),1,0),IF(AND(AA120+AB120-AC120&gt;0,OR(AA120+AB120-AC120&lt;O120+P120-Q120,AND(AA120+AB120-AC120=O120+P120-Q120,4&lt;2))),1,0)))</x:f>
        <x:v>99</x:v>
      </x:c>
      <x:c r="S120" s="6" t="n">
        <x:f>IF('Debt strategy'!$C$16&gt;0,0,MIN(O120+P120-Q120,MAX(0,'Debt strategy'!$C$5-SUM(E120,K120,Q120,W120,AC120)-SUM(IF(F120&lt;R120,C120+D120-E120,0),IF(L120&lt;R120,I120+J120-K120,0),IF(X120&lt;R120,U120+V120-W120,0),IF(AD120&lt;R120,AA120+AB120-AC120,0)))))</x:f>
        <x:v>0</x:v>
      </x:c>
      <x:c r="T120" s="6" t="n">
        <x:f>ROUND(MAX(0,O120+P120-Q120-S120),2)</x:f>
        <x:v>0</x:v>
      </x:c>
      <x:c r="U120" s="6" t="n">
        <x:f>Z119</x:f>
        <x:v>0</x:v>
      </x:c>
      <x:c r="V120" s="6" t="n">
        <x:f>ROUND(U120*'Debt strategy'!$D$12/12,2)</x:f>
        <x:v>0</x:v>
      </x:c>
      <x:c r="W120" s="6" t="n">
        <x:f>MIN(U120+V120,'Debt strategy'!$E$12)</x:f>
        <x:v>0</x:v>
      </x:c>
      <x:c r="X120" s="27" t="n">
        <x:f>IF(U120+V120-W120&lt;=0,99,1+SUM(IF(AND(C120+D120-E120&gt;0,OR(C120+D120-E120&lt;U120+V120-W120,AND(C120+D120-E120=U120+V120-W120,0&lt;3))),1,0),IF(AND(I120+J120-K120&gt;0,OR(I120+J120-K120&lt;U120+V120-W120,AND(I120+J120-K120=U120+V120-W120,1&lt;3))),1,0),IF(AND(O120+P120-Q120&gt;0,OR(O120+P120-Q120&lt;U120+V120-W120,AND(O120+P120-Q120=U120+V120-W120,2&lt;3))),1,0),IF(AND(AA120+AB120-AC120&gt;0,OR(AA120+AB120-AC120&lt;U120+V120-W120,AND(AA120+AB120-AC120=U120+V120-W120,4&lt;3))),1,0)))</x:f>
        <x:v>99</x:v>
      </x:c>
      <x:c r="Y120" s="6" t="n">
        <x:f>IF('Debt strategy'!$C$16&gt;0,0,MIN(U120+V120-W120,MAX(0,'Debt strategy'!$C$5-SUM(E120,K120,Q120,W120,AC120)-SUM(IF(F120&lt;X120,C120+D120-E120,0),IF(L120&lt;X120,I120+J120-K120,0),IF(R120&lt;X120,O120+P120-Q120,0),IF(AD120&lt;X120,AA120+AB120-AC120,0)))))</x:f>
        <x:v>0</x:v>
      </x:c>
      <x:c r="Z120" s="6" t="n">
        <x:f>ROUND(MAX(0,U120+V120-W120-Y120),2)</x:f>
        <x:v>0</x:v>
      </x:c>
      <x:c r="AA120" s="6" t="n">
        <x:f>AF119</x:f>
        <x:v>0</x:v>
      </x:c>
      <x:c r="AB120" s="6" t="n">
        <x:f>ROUND(AA120*'Debt strategy'!$D$13/12,2)</x:f>
        <x:v>0</x:v>
      </x:c>
      <x:c r="AC120" s="6" t="n">
        <x:f>MIN(AA120+AB120,'Debt strategy'!$E$13)</x:f>
        <x:v>0</x:v>
      </x:c>
      <x:c r="AD120" s="27" t="n">
        <x:f>IF(AA120+AB120-AC120&lt;=0,99,1+SUM(IF(AND(C120+D120-E120&gt;0,OR(C120+D120-E120&lt;AA120+AB120-AC120,AND(C120+D120-E120=AA120+AB120-AC120,0&lt;4))),1,0),IF(AND(I120+J120-K120&gt;0,OR(I120+J120-K120&lt;AA120+AB120-AC120,AND(I120+J120-K120=AA120+AB120-AC120,1&lt;4))),1,0),IF(AND(O120+P120-Q120&gt;0,OR(O120+P120-Q120&lt;AA120+AB120-AC120,AND(O120+P120-Q120=AA120+AB120-AC120,2&lt;4))),1,0),IF(AND(U120+V120-W120&gt;0,OR(U120+V120-W120&lt;AA120+AB120-AC120,AND(U120+V120-W120=AA120+AB120-AC120,3&lt;4))),1,0)))</x:f>
        <x:v>99</x:v>
      </x:c>
      <x:c r="AE120" s="6" t="n">
        <x:f>IF('Debt strategy'!$C$16&gt;0,0,MIN(AA120+AB120-AC120,MAX(0,'Debt strategy'!$C$5-SUM(E120,K120,Q120,W120,AC120)-SUM(IF(F120&lt;AD120,C120+D120-E120,0),IF(L120&lt;AD120,I120+J120-K120,0),IF(R120&lt;AD120,O120+P120-Q120,0),IF(X120&lt;AD120,U120+V120-W120,0)))))</x:f>
        <x:v>0</x:v>
      </x:c>
      <x:c r="AF120" s="6" t="n">
        <x:f>ROUND(MAX(0,AA120+AB120-AC120-AE120),2)</x:f>
        <x:v>0</x:v>
      </x:c>
      <x:c r="AG120" s="6" t="n">
        <x:f>SUM(H120,N120,T120,Z120,AF120)</x:f>
        <x:v>0</x:v>
      </x:c>
      <x:c r="AH120" s="6" t="n">
        <x:f>SUM(D120,J120,P120,V120,AB120)+AH119</x:f>
        <x:v>1353.9499999999996</x:v>
      </x:c>
      <x:c r="AI120" s="2"/>
    </x:row>
    <x:row r="121" ht="23" customHeight="1">
      <x:c r="B121" s="2" t="n">
        <x:f>113</x:f>
        <x:v>113</x:v>
      </x:c>
      <x:c r="C121" s="6" t="n">
        <x:f>H120</x:f>
        <x:v>0</x:v>
      </x:c>
      <x:c r="D121" s="6" t="n">
        <x:f>ROUND(C121*'Debt strategy'!$D$9/12,2)</x:f>
        <x:v>0</x:v>
      </x:c>
      <x:c r="E121" s="6" t="n">
        <x:f>MIN(C121+D121,'Debt strategy'!$E$9)</x:f>
        <x:v>0</x:v>
      </x:c>
      <x:c r="F121" s="27" t="n">
        <x:f>IF(C121+D121-E121&lt;=0,99,1+SUM(IF(AND(I121+J121-K121&gt;0,OR(I121+J121-K121&lt;C121+D121-E121,AND(I121+J121-K121=C121+D121-E121,1&lt;0))),1,0),IF(AND(O121+P121-Q121&gt;0,OR(O121+P121-Q121&lt;C121+D121-E121,AND(O121+P121-Q121=C121+D121-E121,2&lt;0))),1,0),IF(AND(U121+V121-W121&gt;0,OR(U121+V121-W121&lt;C121+D121-E121,AND(U121+V121-W121=C121+D121-E121,3&lt;0))),1,0),IF(AND(AA121+AB121-AC121&gt;0,OR(AA121+AB121-AC121&lt;C121+D121-E121,AND(AA121+AB121-AC121=C121+D121-E121,4&lt;0))),1,0)))</x:f>
        <x:v>99</x:v>
      </x:c>
      <x:c r="G121" s="6" t="n">
        <x:f>IF('Debt strategy'!$C$16&gt;0,0,MIN(C121+D121-E121,MAX(0,'Debt strategy'!$C$5-SUM(E121,K121,Q121,W121,AC121)-SUM(IF(L121&lt;F121,I121+J121-K121,0),IF(R121&lt;F121,O121+P121-Q121,0),IF(X121&lt;F121,U121+V121-W121,0),IF(AD121&lt;F121,AA121+AB121-AC121,0)))))</x:f>
        <x:v>0</x:v>
      </x:c>
      <x:c r="H121" s="6" t="n">
        <x:f>ROUND(MAX(0,C121+D121-E121-G121),2)</x:f>
        <x:v>0</x:v>
      </x:c>
      <x:c r="I121" s="6" t="n">
        <x:f>N120</x:f>
        <x:v>0</x:v>
      </x:c>
      <x:c r="J121" s="6" t="n">
        <x:f>ROUND(I121*'Debt strategy'!$D$10/12,2)</x:f>
        <x:v>0</x:v>
      </x:c>
      <x:c r="K121" s="6" t="n">
        <x:f>MIN(I121+J121,'Debt strategy'!$E$10)</x:f>
        <x:v>0</x:v>
      </x:c>
      <x:c r="L121" s="27" t="n">
        <x:f>IF(I121+J121-K121&lt;=0,99,1+SUM(IF(AND(C121+D121-E121&gt;0,OR(C121+D121-E121&lt;I121+J121-K121,AND(C121+D121-E121=I121+J121-K121,0&lt;1))),1,0),IF(AND(O121+P121-Q121&gt;0,OR(O121+P121-Q121&lt;I121+J121-K121,AND(O121+P121-Q121=I121+J121-K121,2&lt;1))),1,0),IF(AND(U121+V121-W121&gt;0,OR(U121+V121-W121&lt;I121+J121-K121,AND(U121+V121-W121=I121+J121-K121,3&lt;1))),1,0),IF(AND(AA121+AB121-AC121&gt;0,OR(AA121+AB121-AC121&lt;I121+J121-K121,AND(AA121+AB121-AC121=I121+J121-K121,4&lt;1))),1,0)))</x:f>
        <x:v>99</x:v>
      </x:c>
      <x:c r="M121" s="6" t="n">
        <x:f>IF('Debt strategy'!$C$16&gt;0,0,MIN(I121+J121-K121,MAX(0,'Debt strategy'!$C$5-SUM(E121,K121,Q121,W121,AC121)-SUM(IF(F121&lt;L121,C121+D121-E121,0),IF(R121&lt;L121,O121+P121-Q121,0),IF(X121&lt;L121,U121+V121-W121,0),IF(AD121&lt;L121,AA121+AB121-AC121,0)))))</x:f>
        <x:v>0</x:v>
      </x:c>
      <x:c r="N121" s="6" t="n">
        <x:f>ROUND(MAX(0,I121+J121-K121-M121),2)</x:f>
        <x:v>0</x:v>
      </x:c>
      <x:c r="O121" s="6" t="n">
        <x:f>T120</x:f>
        <x:v>0</x:v>
      </x:c>
      <x:c r="P121" s="6" t="n">
        <x:f>ROUND(O121*'Debt strategy'!$D$11/12,2)</x:f>
        <x:v>0</x:v>
      </x:c>
      <x:c r="Q121" s="6" t="n">
        <x:f>MIN(O121+P121,'Debt strategy'!$E$11)</x:f>
        <x:v>0</x:v>
      </x:c>
      <x:c r="R121" s="27" t="n">
        <x:f>IF(O121+P121-Q121&lt;=0,99,1+SUM(IF(AND(C121+D121-E121&gt;0,OR(C121+D121-E121&lt;O121+P121-Q121,AND(C121+D121-E121=O121+P121-Q121,0&lt;2))),1,0),IF(AND(I121+J121-K121&gt;0,OR(I121+J121-K121&lt;O121+P121-Q121,AND(I121+J121-K121=O121+P121-Q121,1&lt;2))),1,0),IF(AND(U121+V121-W121&gt;0,OR(U121+V121-W121&lt;O121+P121-Q121,AND(U121+V121-W121=O121+P121-Q121,3&lt;2))),1,0),IF(AND(AA121+AB121-AC121&gt;0,OR(AA121+AB121-AC121&lt;O121+P121-Q121,AND(AA121+AB121-AC121=O121+P121-Q121,4&lt;2))),1,0)))</x:f>
        <x:v>99</x:v>
      </x:c>
      <x:c r="S121" s="6" t="n">
        <x:f>IF('Debt strategy'!$C$16&gt;0,0,MIN(O121+P121-Q121,MAX(0,'Debt strategy'!$C$5-SUM(E121,K121,Q121,W121,AC121)-SUM(IF(F121&lt;R121,C121+D121-E121,0),IF(L121&lt;R121,I121+J121-K121,0),IF(X121&lt;R121,U121+V121-W121,0),IF(AD121&lt;R121,AA121+AB121-AC121,0)))))</x:f>
        <x:v>0</x:v>
      </x:c>
      <x:c r="T121" s="6" t="n">
        <x:f>ROUND(MAX(0,O121+P121-Q121-S121),2)</x:f>
        <x:v>0</x:v>
      </x:c>
      <x:c r="U121" s="6" t="n">
        <x:f>Z120</x:f>
        <x:v>0</x:v>
      </x:c>
      <x:c r="V121" s="6" t="n">
        <x:f>ROUND(U121*'Debt strategy'!$D$12/12,2)</x:f>
        <x:v>0</x:v>
      </x:c>
      <x:c r="W121" s="6" t="n">
        <x:f>MIN(U121+V121,'Debt strategy'!$E$12)</x:f>
        <x:v>0</x:v>
      </x:c>
      <x:c r="X121" s="27" t="n">
        <x:f>IF(U121+V121-W121&lt;=0,99,1+SUM(IF(AND(C121+D121-E121&gt;0,OR(C121+D121-E121&lt;U121+V121-W121,AND(C121+D121-E121=U121+V121-W121,0&lt;3))),1,0),IF(AND(I121+J121-K121&gt;0,OR(I121+J121-K121&lt;U121+V121-W121,AND(I121+J121-K121=U121+V121-W121,1&lt;3))),1,0),IF(AND(O121+P121-Q121&gt;0,OR(O121+P121-Q121&lt;U121+V121-W121,AND(O121+P121-Q121=U121+V121-W121,2&lt;3))),1,0),IF(AND(AA121+AB121-AC121&gt;0,OR(AA121+AB121-AC121&lt;U121+V121-W121,AND(AA121+AB121-AC121=U121+V121-W121,4&lt;3))),1,0)))</x:f>
        <x:v>99</x:v>
      </x:c>
      <x:c r="Y121" s="6" t="n">
        <x:f>IF('Debt strategy'!$C$16&gt;0,0,MIN(U121+V121-W121,MAX(0,'Debt strategy'!$C$5-SUM(E121,K121,Q121,W121,AC121)-SUM(IF(F121&lt;X121,C121+D121-E121,0),IF(L121&lt;X121,I121+J121-K121,0),IF(R121&lt;X121,O121+P121-Q121,0),IF(AD121&lt;X121,AA121+AB121-AC121,0)))))</x:f>
        <x:v>0</x:v>
      </x:c>
      <x:c r="Z121" s="6" t="n">
        <x:f>ROUND(MAX(0,U121+V121-W121-Y121),2)</x:f>
        <x:v>0</x:v>
      </x:c>
      <x:c r="AA121" s="6" t="n">
        <x:f>AF120</x:f>
        <x:v>0</x:v>
      </x:c>
      <x:c r="AB121" s="6" t="n">
        <x:f>ROUND(AA121*'Debt strategy'!$D$13/12,2)</x:f>
        <x:v>0</x:v>
      </x:c>
      <x:c r="AC121" s="6" t="n">
        <x:f>MIN(AA121+AB121,'Debt strategy'!$E$13)</x:f>
        <x:v>0</x:v>
      </x:c>
      <x:c r="AD121" s="27" t="n">
        <x:f>IF(AA121+AB121-AC121&lt;=0,99,1+SUM(IF(AND(C121+D121-E121&gt;0,OR(C121+D121-E121&lt;AA121+AB121-AC121,AND(C121+D121-E121=AA121+AB121-AC121,0&lt;4))),1,0),IF(AND(I121+J121-K121&gt;0,OR(I121+J121-K121&lt;AA121+AB121-AC121,AND(I121+J121-K121=AA121+AB121-AC121,1&lt;4))),1,0),IF(AND(O121+P121-Q121&gt;0,OR(O121+P121-Q121&lt;AA121+AB121-AC121,AND(O121+P121-Q121=AA121+AB121-AC121,2&lt;4))),1,0),IF(AND(U121+V121-W121&gt;0,OR(U121+V121-W121&lt;AA121+AB121-AC121,AND(U121+V121-W121=AA121+AB121-AC121,3&lt;4))),1,0)))</x:f>
        <x:v>99</x:v>
      </x:c>
      <x:c r="AE121" s="6" t="n">
        <x:f>IF('Debt strategy'!$C$16&gt;0,0,MIN(AA121+AB121-AC121,MAX(0,'Debt strategy'!$C$5-SUM(E121,K121,Q121,W121,AC121)-SUM(IF(F121&lt;AD121,C121+D121-E121,0),IF(L121&lt;AD121,I121+J121-K121,0),IF(R121&lt;AD121,O121+P121-Q121,0),IF(X121&lt;AD121,U121+V121-W121,0)))))</x:f>
        <x:v>0</x:v>
      </x:c>
      <x:c r="AF121" s="6" t="n">
        <x:f>ROUND(MAX(0,AA121+AB121-AC121-AE121),2)</x:f>
        <x:v>0</x:v>
      </x:c>
      <x:c r="AG121" s="6" t="n">
        <x:f>SUM(H121,N121,T121,Z121,AF121)</x:f>
        <x:v>0</x:v>
      </x:c>
      <x:c r="AH121" s="6" t="n">
        <x:f>SUM(D121,J121,P121,V121,AB121)+AH120</x:f>
        <x:v>1353.9499999999996</x:v>
      </x:c>
      <x:c r="AI121" s="2"/>
    </x:row>
    <x:row r="122" ht="23" customHeight="1">
      <x:c r="B122" s="2" t="n">
        <x:f>114</x:f>
        <x:v>114</x:v>
      </x:c>
      <x:c r="C122" s="6" t="n">
        <x:f>H121</x:f>
        <x:v>0</x:v>
      </x:c>
      <x:c r="D122" s="6" t="n">
        <x:f>ROUND(C122*'Debt strategy'!$D$9/12,2)</x:f>
        <x:v>0</x:v>
      </x:c>
      <x:c r="E122" s="6" t="n">
        <x:f>MIN(C122+D122,'Debt strategy'!$E$9)</x:f>
        <x:v>0</x:v>
      </x:c>
      <x:c r="F122" s="27" t="n">
        <x:f>IF(C122+D122-E122&lt;=0,99,1+SUM(IF(AND(I122+J122-K122&gt;0,OR(I122+J122-K122&lt;C122+D122-E122,AND(I122+J122-K122=C122+D122-E122,1&lt;0))),1,0),IF(AND(O122+P122-Q122&gt;0,OR(O122+P122-Q122&lt;C122+D122-E122,AND(O122+P122-Q122=C122+D122-E122,2&lt;0))),1,0),IF(AND(U122+V122-W122&gt;0,OR(U122+V122-W122&lt;C122+D122-E122,AND(U122+V122-W122=C122+D122-E122,3&lt;0))),1,0),IF(AND(AA122+AB122-AC122&gt;0,OR(AA122+AB122-AC122&lt;C122+D122-E122,AND(AA122+AB122-AC122=C122+D122-E122,4&lt;0))),1,0)))</x:f>
        <x:v>99</x:v>
      </x:c>
      <x:c r="G122" s="6" t="n">
        <x:f>IF('Debt strategy'!$C$16&gt;0,0,MIN(C122+D122-E122,MAX(0,'Debt strategy'!$C$5-SUM(E122,K122,Q122,W122,AC122)-SUM(IF(L122&lt;F122,I122+J122-K122,0),IF(R122&lt;F122,O122+P122-Q122,0),IF(X122&lt;F122,U122+V122-W122,0),IF(AD122&lt;F122,AA122+AB122-AC122,0)))))</x:f>
        <x:v>0</x:v>
      </x:c>
      <x:c r="H122" s="6" t="n">
        <x:f>ROUND(MAX(0,C122+D122-E122-G122),2)</x:f>
        <x:v>0</x:v>
      </x:c>
      <x:c r="I122" s="6" t="n">
        <x:f>N121</x:f>
        <x:v>0</x:v>
      </x:c>
      <x:c r="J122" s="6" t="n">
        <x:f>ROUND(I122*'Debt strategy'!$D$10/12,2)</x:f>
        <x:v>0</x:v>
      </x:c>
      <x:c r="K122" s="6" t="n">
        <x:f>MIN(I122+J122,'Debt strategy'!$E$10)</x:f>
        <x:v>0</x:v>
      </x:c>
      <x:c r="L122" s="27" t="n">
        <x:f>IF(I122+J122-K122&lt;=0,99,1+SUM(IF(AND(C122+D122-E122&gt;0,OR(C122+D122-E122&lt;I122+J122-K122,AND(C122+D122-E122=I122+J122-K122,0&lt;1))),1,0),IF(AND(O122+P122-Q122&gt;0,OR(O122+P122-Q122&lt;I122+J122-K122,AND(O122+P122-Q122=I122+J122-K122,2&lt;1))),1,0),IF(AND(U122+V122-W122&gt;0,OR(U122+V122-W122&lt;I122+J122-K122,AND(U122+V122-W122=I122+J122-K122,3&lt;1))),1,0),IF(AND(AA122+AB122-AC122&gt;0,OR(AA122+AB122-AC122&lt;I122+J122-K122,AND(AA122+AB122-AC122=I122+J122-K122,4&lt;1))),1,0)))</x:f>
        <x:v>99</x:v>
      </x:c>
      <x:c r="M122" s="6" t="n">
        <x:f>IF('Debt strategy'!$C$16&gt;0,0,MIN(I122+J122-K122,MAX(0,'Debt strategy'!$C$5-SUM(E122,K122,Q122,W122,AC122)-SUM(IF(F122&lt;L122,C122+D122-E122,0),IF(R122&lt;L122,O122+P122-Q122,0),IF(X122&lt;L122,U122+V122-W122,0),IF(AD122&lt;L122,AA122+AB122-AC122,0)))))</x:f>
        <x:v>0</x:v>
      </x:c>
      <x:c r="N122" s="6" t="n">
        <x:f>ROUND(MAX(0,I122+J122-K122-M122),2)</x:f>
        <x:v>0</x:v>
      </x:c>
      <x:c r="O122" s="6" t="n">
        <x:f>T121</x:f>
        <x:v>0</x:v>
      </x:c>
      <x:c r="P122" s="6" t="n">
        <x:f>ROUND(O122*'Debt strategy'!$D$11/12,2)</x:f>
        <x:v>0</x:v>
      </x:c>
      <x:c r="Q122" s="6" t="n">
        <x:f>MIN(O122+P122,'Debt strategy'!$E$11)</x:f>
        <x:v>0</x:v>
      </x:c>
      <x:c r="R122" s="27" t="n">
        <x:f>IF(O122+P122-Q122&lt;=0,99,1+SUM(IF(AND(C122+D122-E122&gt;0,OR(C122+D122-E122&lt;O122+P122-Q122,AND(C122+D122-E122=O122+P122-Q122,0&lt;2))),1,0),IF(AND(I122+J122-K122&gt;0,OR(I122+J122-K122&lt;O122+P122-Q122,AND(I122+J122-K122=O122+P122-Q122,1&lt;2))),1,0),IF(AND(U122+V122-W122&gt;0,OR(U122+V122-W122&lt;O122+P122-Q122,AND(U122+V122-W122=O122+P122-Q122,3&lt;2))),1,0),IF(AND(AA122+AB122-AC122&gt;0,OR(AA122+AB122-AC122&lt;O122+P122-Q122,AND(AA122+AB122-AC122=O122+P122-Q122,4&lt;2))),1,0)))</x:f>
        <x:v>99</x:v>
      </x:c>
      <x:c r="S122" s="6" t="n">
        <x:f>IF('Debt strategy'!$C$16&gt;0,0,MIN(O122+P122-Q122,MAX(0,'Debt strategy'!$C$5-SUM(E122,K122,Q122,W122,AC122)-SUM(IF(F122&lt;R122,C122+D122-E122,0),IF(L122&lt;R122,I122+J122-K122,0),IF(X122&lt;R122,U122+V122-W122,0),IF(AD122&lt;R122,AA122+AB122-AC122,0)))))</x:f>
        <x:v>0</x:v>
      </x:c>
      <x:c r="T122" s="6" t="n">
        <x:f>ROUND(MAX(0,O122+P122-Q122-S122),2)</x:f>
        <x:v>0</x:v>
      </x:c>
      <x:c r="U122" s="6" t="n">
        <x:f>Z121</x:f>
        <x:v>0</x:v>
      </x:c>
      <x:c r="V122" s="6" t="n">
        <x:f>ROUND(U122*'Debt strategy'!$D$12/12,2)</x:f>
        <x:v>0</x:v>
      </x:c>
      <x:c r="W122" s="6" t="n">
        <x:f>MIN(U122+V122,'Debt strategy'!$E$12)</x:f>
        <x:v>0</x:v>
      </x:c>
      <x:c r="X122" s="27" t="n">
        <x:f>IF(U122+V122-W122&lt;=0,99,1+SUM(IF(AND(C122+D122-E122&gt;0,OR(C122+D122-E122&lt;U122+V122-W122,AND(C122+D122-E122=U122+V122-W122,0&lt;3))),1,0),IF(AND(I122+J122-K122&gt;0,OR(I122+J122-K122&lt;U122+V122-W122,AND(I122+J122-K122=U122+V122-W122,1&lt;3))),1,0),IF(AND(O122+P122-Q122&gt;0,OR(O122+P122-Q122&lt;U122+V122-W122,AND(O122+P122-Q122=U122+V122-W122,2&lt;3))),1,0),IF(AND(AA122+AB122-AC122&gt;0,OR(AA122+AB122-AC122&lt;U122+V122-W122,AND(AA122+AB122-AC122=U122+V122-W122,4&lt;3))),1,0)))</x:f>
        <x:v>99</x:v>
      </x:c>
      <x:c r="Y122" s="6" t="n">
        <x:f>IF('Debt strategy'!$C$16&gt;0,0,MIN(U122+V122-W122,MAX(0,'Debt strategy'!$C$5-SUM(E122,K122,Q122,W122,AC122)-SUM(IF(F122&lt;X122,C122+D122-E122,0),IF(L122&lt;X122,I122+J122-K122,0),IF(R122&lt;X122,O122+P122-Q122,0),IF(AD122&lt;X122,AA122+AB122-AC122,0)))))</x:f>
        <x:v>0</x:v>
      </x:c>
      <x:c r="Z122" s="6" t="n">
        <x:f>ROUND(MAX(0,U122+V122-W122-Y122),2)</x:f>
        <x:v>0</x:v>
      </x:c>
      <x:c r="AA122" s="6" t="n">
        <x:f>AF121</x:f>
        <x:v>0</x:v>
      </x:c>
      <x:c r="AB122" s="6" t="n">
        <x:f>ROUND(AA122*'Debt strategy'!$D$13/12,2)</x:f>
        <x:v>0</x:v>
      </x:c>
      <x:c r="AC122" s="6" t="n">
        <x:f>MIN(AA122+AB122,'Debt strategy'!$E$13)</x:f>
        <x:v>0</x:v>
      </x:c>
      <x:c r="AD122" s="27" t="n">
        <x:f>IF(AA122+AB122-AC122&lt;=0,99,1+SUM(IF(AND(C122+D122-E122&gt;0,OR(C122+D122-E122&lt;AA122+AB122-AC122,AND(C122+D122-E122=AA122+AB122-AC122,0&lt;4))),1,0),IF(AND(I122+J122-K122&gt;0,OR(I122+J122-K122&lt;AA122+AB122-AC122,AND(I122+J122-K122=AA122+AB122-AC122,1&lt;4))),1,0),IF(AND(O122+P122-Q122&gt;0,OR(O122+P122-Q122&lt;AA122+AB122-AC122,AND(O122+P122-Q122=AA122+AB122-AC122,2&lt;4))),1,0),IF(AND(U122+V122-W122&gt;0,OR(U122+V122-W122&lt;AA122+AB122-AC122,AND(U122+V122-W122=AA122+AB122-AC122,3&lt;4))),1,0)))</x:f>
        <x:v>99</x:v>
      </x:c>
      <x:c r="AE122" s="6" t="n">
        <x:f>IF('Debt strategy'!$C$16&gt;0,0,MIN(AA122+AB122-AC122,MAX(0,'Debt strategy'!$C$5-SUM(E122,K122,Q122,W122,AC122)-SUM(IF(F122&lt;AD122,C122+D122-E122,0),IF(L122&lt;AD122,I122+J122-K122,0),IF(R122&lt;AD122,O122+P122-Q122,0),IF(X122&lt;AD122,U122+V122-W122,0)))))</x:f>
        <x:v>0</x:v>
      </x:c>
      <x:c r="AF122" s="6" t="n">
        <x:f>ROUND(MAX(0,AA122+AB122-AC122-AE122),2)</x:f>
        <x:v>0</x:v>
      </x:c>
      <x:c r="AG122" s="6" t="n">
        <x:f>SUM(H122,N122,T122,Z122,AF122)</x:f>
        <x:v>0</x:v>
      </x:c>
      <x:c r="AH122" s="6" t="n">
        <x:f>SUM(D122,J122,P122,V122,AB122)+AH121</x:f>
        <x:v>1353.9499999999996</x:v>
      </x:c>
      <x:c r="AI122" s="2"/>
    </x:row>
    <x:row r="123" ht="23" customHeight="1">
      <x:c r="B123" s="2" t="n">
        <x:f>115</x:f>
        <x:v>115</x:v>
      </x:c>
      <x:c r="C123" s="6" t="n">
        <x:f>H122</x:f>
        <x:v>0</x:v>
      </x:c>
      <x:c r="D123" s="6" t="n">
        <x:f>ROUND(C123*'Debt strategy'!$D$9/12,2)</x:f>
        <x:v>0</x:v>
      </x:c>
      <x:c r="E123" s="6" t="n">
        <x:f>MIN(C123+D123,'Debt strategy'!$E$9)</x:f>
        <x:v>0</x:v>
      </x:c>
      <x:c r="F123" s="27" t="n">
        <x:f>IF(C123+D123-E123&lt;=0,99,1+SUM(IF(AND(I123+J123-K123&gt;0,OR(I123+J123-K123&lt;C123+D123-E123,AND(I123+J123-K123=C123+D123-E123,1&lt;0))),1,0),IF(AND(O123+P123-Q123&gt;0,OR(O123+P123-Q123&lt;C123+D123-E123,AND(O123+P123-Q123=C123+D123-E123,2&lt;0))),1,0),IF(AND(U123+V123-W123&gt;0,OR(U123+V123-W123&lt;C123+D123-E123,AND(U123+V123-W123=C123+D123-E123,3&lt;0))),1,0),IF(AND(AA123+AB123-AC123&gt;0,OR(AA123+AB123-AC123&lt;C123+D123-E123,AND(AA123+AB123-AC123=C123+D123-E123,4&lt;0))),1,0)))</x:f>
        <x:v>99</x:v>
      </x:c>
      <x:c r="G123" s="6" t="n">
        <x:f>IF('Debt strategy'!$C$16&gt;0,0,MIN(C123+D123-E123,MAX(0,'Debt strategy'!$C$5-SUM(E123,K123,Q123,W123,AC123)-SUM(IF(L123&lt;F123,I123+J123-K123,0),IF(R123&lt;F123,O123+P123-Q123,0),IF(X123&lt;F123,U123+V123-W123,0),IF(AD123&lt;F123,AA123+AB123-AC123,0)))))</x:f>
        <x:v>0</x:v>
      </x:c>
      <x:c r="H123" s="6" t="n">
        <x:f>ROUND(MAX(0,C123+D123-E123-G123),2)</x:f>
        <x:v>0</x:v>
      </x:c>
      <x:c r="I123" s="6" t="n">
        <x:f>N122</x:f>
        <x:v>0</x:v>
      </x:c>
      <x:c r="J123" s="6" t="n">
        <x:f>ROUND(I123*'Debt strategy'!$D$10/12,2)</x:f>
        <x:v>0</x:v>
      </x:c>
      <x:c r="K123" s="6" t="n">
        <x:f>MIN(I123+J123,'Debt strategy'!$E$10)</x:f>
        <x:v>0</x:v>
      </x:c>
      <x:c r="L123" s="27" t="n">
        <x:f>IF(I123+J123-K123&lt;=0,99,1+SUM(IF(AND(C123+D123-E123&gt;0,OR(C123+D123-E123&lt;I123+J123-K123,AND(C123+D123-E123=I123+J123-K123,0&lt;1))),1,0),IF(AND(O123+P123-Q123&gt;0,OR(O123+P123-Q123&lt;I123+J123-K123,AND(O123+P123-Q123=I123+J123-K123,2&lt;1))),1,0),IF(AND(U123+V123-W123&gt;0,OR(U123+V123-W123&lt;I123+J123-K123,AND(U123+V123-W123=I123+J123-K123,3&lt;1))),1,0),IF(AND(AA123+AB123-AC123&gt;0,OR(AA123+AB123-AC123&lt;I123+J123-K123,AND(AA123+AB123-AC123=I123+J123-K123,4&lt;1))),1,0)))</x:f>
        <x:v>99</x:v>
      </x:c>
      <x:c r="M123" s="6" t="n">
        <x:f>IF('Debt strategy'!$C$16&gt;0,0,MIN(I123+J123-K123,MAX(0,'Debt strategy'!$C$5-SUM(E123,K123,Q123,W123,AC123)-SUM(IF(F123&lt;L123,C123+D123-E123,0),IF(R123&lt;L123,O123+P123-Q123,0),IF(X123&lt;L123,U123+V123-W123,0),IF(AD123&lt;L123,AA123+AB123-AC123,0)))))</x:f>
        <x:v>0</x:v>
      </x:c>
      <x:c r="N123" s="6" t="n">
        <x:f>ROUND(MAX(0,I123+J123-K123-M123),2)</x:f>
        <x:v>0</x:v>
      </x:c>
      <x:c r="O123" s="6" t="n">
        <x:f>T122</x:f>
        <x:v>0</x:v>
      </x:c>
      <x:c r="P123" s="6" t="n">
        <x:f>ROUND(O123*'Debt strategy'!$D$11/12,2)</x:f>
        <x:v>0</x:v>
      </x:c>
      <x:c r="Q123" s="6" t="n">
        <x:f>MIN(O123+P123,'Debt strategy'!$E$11)</x:f>
        <x:v>0</x:v>
      </x:c>
      <x:c r="R123" s="27" t="n">
        <x:f>IF(O123+P123-Q123&lt;=0,99,1+SUM(IF(AND(C123+D123-E123&gt;0,OR(C123+D123-E123&lt;O123+P123-Q123,AND(C123+D123-E123=O123+P123-Q123,0&lt;2))),1,0),IF(AND(I123+J123-K123&gt;0,OR(I123+J123-K123&lt;O123+P123-Q123,AND(I123+J123-K123=O123+P123-Q123,1&lt;2))),1,0),IF(AND(U123+V123-W123&gt;0,OR(U123+V123-W123&lt;O123+P123-Q123,AND(U123+V123-W123=O123+P123-Q123,3&lt;2))),1,0),IF(AND(AA123+AB123-AC123&gt;0,OR(AA123+AB123-AC123&lt;O123+P123-Q123,AND(AA123+AB123-AC123=O123+P123-Q123,4&lt;2))),1,0)))</x:f>
        <x:v>99</x:v>
      </x:c>
      <x:c r="S123" s="6" t="n">
        <x:f>IF('Debt strategy'!$C$16&gt;0,0,MIN(O123+P123-Q123,MAX(0,'Debt strategy'!$C$5-SUM(E123,K123,Q123,W123,AC123)-SUM(IF(F123&lt;R123,C123+D123-E123,0),IF(L123&lt;R123,I123+J123-K123,0),IF(X123&lt;R123,U123+V123-W123,0),IF(AD123&lt;R123,AA123+AB123-AC123,0)))))</x:f>
        <x:v>0</x:v>
      </x:c>
      <x:c r="T123" s="6" t="n">
        <x:f>ROUND(MAX(0,O123+P123-Q123-S123),2)</x:f>
        <x:v>0</x:v>
      </x:c>
      <x:c r="U123" s="6" t="n">
        <x:f>Z122</x:f>
        <x:v>0</x:v>
      </x:c>
      <x:c r="V123" s="6" t="n">
        <x:f>ROUND(U123*'Debt strategy'!$D$12/12,2)</x:f>
        <x:v>0</x:v>
      </x:c>
      <x:c r="W123" s="6" t="n">
        <x:f>MIN(U123+V123,'Debt strategy'!$E$12)</x:f>
        <x:v>0</x:v>
      </x:c>
      <x:c r="X123" s="27" t="n">
        <x:f>IF(U123+V123-W123&lt;=0,99,1+SUM(IF(AND(C123+D123-E123&gt;0,OR(C123+D123-E123&lt;U123+V123-W123,AND(C123+D123-E123=U123+V123-W123,0&lt;3))),1,0),IF(AND(I123+J123-K123&gt;0,OR(I123+J123-K123&lt;U123+V123-W123,AND(I123+J123-K123=U123+V123-W123,1&lt;3))),1,0),IF(AND(O123+P123-Q123&gt;0,OR(O123+P123-Q123&lt;U123+V123-W123,AND(O123+P123-Q123=U123+V123-W123,2&lt;3))),1,0),IF(AND(AA123+AB123-AC123&gt;0,OR(AA123+AB123-AC123&lt;U123+V123-W123,AND(AA123+AB123-AC123=U123+V123-W123,4&lt;3))),1,0)))</x:f>
        <x:v>99</x:v>
      </x:c>
      <x:c r="Y123" s="6" t="n">
        <x:f>IF('Debt strategy'!$C$16&gt;0,0,MIN(U123+V123-W123,MAX(0,'Debt strategy'!$C$5-SUM(E123,K123,Q123,W123,AC123)-SUM(IF(F123&lt;X123,C123+D123-E123,0),IF(L123&lt;X123,I123+J123-K123,0),IF(R123&lt;X123,O123+P123-Q123,0),IF(AD123&lt;X123,AA123+AB123-AC123,0)))))</x:f>
        <x:v>0</x:v>
      </x:c>
      <x:c r="Z123" s="6" t="n">
        <x:f>ROUND(MAX(0,U123+V123-W123-Y123),2)</x:f>
        <x:v>0</x:v>
      </x:c>
      <x:c r="AA123" s="6" t="n">
        <x:f>AF122</x:f>
        <x:v>0</x:v>
      </x:c>
      <x:c r="AB123" s="6" t="n">
        <x:f>ROUND(AA123*'Debt strategy'!$D$13/12,2)</x:f>
        <x:v>0</x:v>
      </x:c>
      <x:c r="AC123" s="6" t="n">
        <x:f>MIN(AA123+AB123,'Debt strategy'!$E$13)</x:f>
        <x:v>0</x:v>
      </x:c>
      <x:c r="AD123" s="27" t="n">
        <x:f>IF(AA123+AB123-AC123&lt;=0,99,1+SUM(IF(AND(C123+D123-E123&gt;0,OR(C123+D123-E123&lt;AA123+AB123-AC123,AND(C123+D123-E123=AA123+AB123-AC123,0&lt;4))),1,0),IF(AND(I123+J123-K123&gt;0,OR(I123+J123-K123&lt;AA123+AB123-AC123,AND(I123+J123-K123=AA123+AB123-AC123,1&lt;4))),1,0),IF(AND(O123+P123-Q123&gt;0,OR(O123+P123-Q123&lt;AA123+AB123-AC123,AND(O123+P123-Q123=AA123+AB123-AC123,2&lt;4))),1,0),IF(AND(U123+V123-W123&gt;0,OR(U123+V123-W123&lt;AA123+AB123-AC123,AND(U123+V123-W123=AA123+AB123-AC123,3&lt;4))),1,0)))</x:f>
        <x:v>99</x:v>
      </x:c>
      <x:c r="AE123" s="6" t="n">
        <x:f>IF('Debt strategy'!$C$16&gt;0,0,MIN(AA123+AB123-AC123,MAX(0,'Debt strategy'!$C$5-SUM(E123,K123,Q123,W123,AC123)-SUM(IF(F123&lt;AD123,C123+D123-E123,0),IF(L123&lt;AD123,I123+J123-K123,0),IF(R123&lt;AD123,O123+P123-Q123,0),IF(X123&lt;AD123,U123+V123-W123,0)))))</x:f>
        <x:v>0</x:v>
      </x:c>
      <x:c r="AF123" s="6" t="n">
        <x:f>ROUND(MAX(0,AA123+AB123-AC123-AE123),2)</x:f>
        <x:v>0</x:v>
      </x:c>
      <x:c r="AG123" s="6" t="n">
        <x:f>SUM(H123,N123,T123,Z123,AF123)</x:f>
        <x:v>0</x:v>
      </x:c>
      <x:c r="AH123" s="6" t="n">
        <x:f>SUM(D123,J123,P123,V123,AB123)+AH122</x:f>
        <x:v>1353.9499999999996</x:v>
      </x:c>
      <x:c r="AI123" s="2"/>
    </x:row>
    <x:row r="124" ht="23" customHeight="1">
      <x:c r="B124" s="2" t="n">
        <x:f>116</x:f>
        <x:v>116</x:v>
      </x:c>
      <x:c r="C124" s="6" t="n">
        <x:f>H123</x:f>
        <x:v>0</x:v>
      </x:c>
      <x:c r="D124" s="6" t="n">
        <x:f>ROUND(C124*'Debt strategy'!$D$9/12,2)</x:f>
        <x:v>0</x:v>
      </x:c>
      <x:c r="E124" s="6" t="n">
        <x:f>MIN(C124+D124,'Debt strategy'!$E$9)</x:f>
        <x:v>0</x:v>
      </x:c>
      <x:c r="F124" s="27" t="n">
        <x:f>IF(C124+D124-E124&lt;=0,99,1+SUM(IF(AND(I124+J124-K124&gt;0,OR(I124+J124-K124&lt;C124+D124-E124,AND(I124+J124-K124=C124+D124-E124,1&lt;0))),1,0),IF(AND(O124+P124-Q124&gt;0,OR(O124+P124-Q124&lt;C124+D124-E124,AND(O124+P124-Q124=C124+D124-E124,2&lt;0))),1,0),IF(AND(U124+V124-W124&gt;0,OR(U124+V124-W124&lt;C124+D124-E124,AND(U124+V124-W124=C124+D124-E124,3&lt;0))),1,0),IF(AND(AA124+AB124-AC124&gt;0,OR(AA124+AB124-AC124&lt;C124+D124-E124,AND(AA124+AB124-AC124=C124+D124-E124,4&lt;0))),1,0)))</x:f>
        <x:v>99</x:v>
      </x:c>
      <x:c r="G124" s="6" t="n">
        <x:f>IF('Debt strategy'!$C$16&gt;0,0,MIN(C124+D124-E124,MAX(0,'Debt strategy'!$C$5-SUM(E124,K124,Q124,W124,AC124)-SUM(IF(L124&lt;F124,I124+J124-K124,0),IF(R124&lt;F124,O124+P124-Q124,0),IF(X124&lt;F124,U124+V124-W124,0),IF(AD124&lt;F124,AA124+AB124-AC124,0)))))</x:f>
        <x:v>0</x:v>
      </x:c>
      <x:c r="H124" s="6" t="n">
        <x:f>ROUND(MAX(0,C124+D124-E124-G124),2)</x:f>
        <x:v>0</x:v>
      </x:c>
      <x:c r="I124" s="6" t="n">
        <x:f>N123</x:f>
        <x:v>0</x:v>
      </x:c>
      <x:c r="J124" s="6" t="n">
        <x:f>ROUND(I124*'Debt strategy'!$D$10/12,2)</x:f>
        <x:v>0</x:v>
      </x:c>
      <x:c r="K124" s="6" t="n">
        <x:f>MIN(I124+J124,'Debt strategy'!$E$10)</x:f>
        <x:v>0</x:v>
      </x:c>
      <x:c r="L124" s="27" t="n">
        <x:f>IF(I124+J124-K124&lt;=0,99,1+SUM(IF(AND(C124+D124-E124&gt;0,OR(C124+D124-E124&lt;I124+J124-K124,AND(C124+D124-E124=I124+J124-K124,0&lt;1))),1,0),IF(AND(O124+P124-Q124&gt;0,OR(O124+P124-Q124&lt;I124+J124-K124,AND(O124+P124-Q124=I124+J124-K124,2&lt;1))),1,0),IF(AND(U124+V124-W124&gt;0,OR(U124+V124-W124&lt;I124+J124-K124,AND(U124+V124-W124=I124+J124-K124,3&lt;1))),1,0),IF(AND(AA124+AB124-AC124&gt;0,OR(AA124+AB124-AC124&lt;I124+J124-K124,AND(AA124+AB124-AC124=I124+J124-K124,4&lt;1))),1,0)))</x:f>
        <x:v>99</x:v>
      </x:c>
      <x:c r="M124" s="6" t="n">
        <x:f>IF('Debt strategy'!$C$16&gt;0,0,MIN(I124+J124-K124,MAX(0,'Debt strategy'!$C$5-SUM(E124,K124,Q124,W124,AC124)-SUM(IF(F124&lt;L124,C124+D124-E124,0),IF(R124&lt;L124,O124+P124-Q124,0),IF(X124&lt;L124,U124+V124-W124,0),IF(AD124&lt;L124,AA124+AB124-AC124,0)))))</x:f>
        <x:v>0</x:v>
      </x:c>
      <x:c r="N124" s="6" t="n">
        <x:f>ROUND(MAX(0,I124+J124-K124-M124),2)</x:f>
        <x:v>0</x:v>
      </x:c>
      <x:c r="O124" s="6" t="n">
        <x:f>T123</x:f>
        <x:v>0</x:v>
      </x:c>
      <x:c r="P124" s="6" t="n">
        <x:f>ROUND(O124*'Debt strategy'!$D$11/12,2)</x:f>
        <x:v>0</x:v>
      </x:c>
      <x:c r="Q124" s="6" t="n">
        <x:f>MIN(O124+P124,'Debt strategy'!$E$11)</x:f>
        <x:v>0</x:v>
      </x:c>
      <x:c r="R124" s="27" t="n">
        <x:f>IF(O124+P124-Q124&lt;=0,99,1+SUM(IF(AND(C124+D124-E124&gt;0,OR(C124+D124-E124&lt;O124+P124-Q124,AND(C124+D124-E124=O124+P124-Q124,0&lt;2))),1,0),IF(AND(I124+J124-K124&gt;0,OR(I124+J124-K124&lt;O124+P124-Q124,AND(I124+J124-K124=O124+P124-Q124,1&lt;2))),1,0),IF(AND(U124+V124-W124&gt;0,OR(U124+V124-W124&lt;O124+P124-Q124,AND(U124+V124-W124=O124+P124-Q124,3&lt;2))),1,0),IF(AND(AA124+AB124-AC124&gt;0,OR(AA124+AB124-AC124&lt;O124+P124-Q124,AND(AA124+AB124-AC124=O124+P124-Q124,4&lt;2))),1,0)))</x:f>
        <x:v>99</x:v>
      </x:c>
      <x:c r="S124" s="6" t="n">
        <x:f>IF('Debt strategy'!$C$16&gt;0,0,MIN(O124+P124-Q124,MAX(0,'Debt strategy'!$C$5-SUM(E124,K124,Q124,W124,AC124)-SUM(IF(F124&lt;R124,C124+D124-E124,0),IF(L124&lt;R124,I124+J124-K124,0),IF(X124&lt;R124,U124+V124-W124,0),IF(AD124&lt;R124,AA124+AB124-AC124,0)))))</x:f>
        <x:v>0</x:v>
      </x:c>
      <x:c r="T124" s="6" t="n">
        <x:f>ROUND(MAX(0,O124+P124-Q124-S124),2)</x:f>
        <x:v>0</x:v>
      </x:c>
      <x:c r="U124" s="6" t="n">
        <x:f>Z123</x:f>
        <x:v>0</x:v>
      </x:c>
      <x:c r="V124" s="6" t="n">
        <x:f>ROUND(U124*'Debt strategy'!$D$12/12,2)</x:f>
        <x:v>0</x:v>
      </x:c>
      <x:c r="W124" s="6" t="n">
        <x:f>MIN(U124+V124,'Debt strategy'!$E$12)</x:f>
        <x:v>0</x:v>
      </x:c>
      <x:c r="X124" s="27" t="n">
        <x:f>IF(U124+V124-W124&lt;=0,99,1+SUM(IF(AND(C124+D124-E124&gt;0,OR(C124+D124-E124&lt;U124+V124-W124,AND(C124+D124-E124=U124+V124-W124,0&lt;3))),1,0),IF(AND(I124+J124-K124&gt;0,OR(I124+J124-K124&lt;U124+V124-W124,AND(I124+J124-K124=U124+V124-W124,1&lt;3))),1,0),IF(AND(O124+P124-Q124&gt;0,OR(O124+P124-Q124&lt;U124+V124-W124,AND(O124+P124-Q124=U124+V124-W124,2&lt;3))),1,0),IF(AND(AA124+AB124-AC124&gt;0,OR(AA124+AB124-AC124&lt;U124+V124-W124,AND(AA124+AB124-AC124=U124+V124-W124,4&lt;3))),1,0)))</x:f>
        <x:v>99</x:v>
      </x:c>
      <x:c r="Y124" s="6" t="n">
        <x:f>IF('Debt strategy'!$C$16&gt;0,0,MIN(U124+V124-W124,MAX(0,'Debt strategy'!$C$5-SUM(E124,K124,Q124,W124,AC124)-SUM(IF(F124&lt;X124,C124+D124-E124,0),IF(L124&lt;X124,I124+J124-K124,0),IF(R124&lt;X124,O124+P124-Q124,0),IF(AD124&lt;X124,AA124+AB124-AC124,0)))))</x:f>
        <x:v>0</x:v>
      </x:c>
      <x:c r="Z124" s="6" t="n">
        <x:f>ROUND(MAX(0,U124+V124-W124-Y124),2)</x:f>
        <x:v>0</x:v>
      </x:c>
      <x:c r="AA124" s="6" t="n">
        <x:f>AF123</x:f>
        <x:v>0</x:v>
      </x:c>
      <x:c r="AB124" s="6" t="n">
        <x:f>ROUND(AA124*'Debt strategy'!$D$13/12,2)</x:f>
        <x:v>0</x:v>
      </x:c>
      <x:c r="AC124" s="6" t="n">
        <x:f>MIN(AA124+AB124,'Debt strategy'!$E$13)</x:f>
        <x:v>0</x:v>
      </x:c>
      <x:c r="AD124" s="27" t="n">
        <x:f>IF(AA124+AB124-AC124&lt;=0,99,1+SUM(IF(AND(C124+D124-E124&gt;0,OR(C124+D124-E124&lt;AA124+AB124-AC124,AND(C124+D124-E124=AA124+AB124-AC124,0&lt;4))),1,0),IF(AND(I124+J124-K124&gt;0,OR(I124+J124-K124&lt;AA124+AB124-AC124,AND(I124+J124-K124=AA124+AB124-AC124,1&lt;4))),1,0),IF(AND(O124+P124-Q124&gt;0,OR(O124+P124-Q124&lt;AA124+AB124-AC124,AND(O124+P124-Q124=AA124+AB124-AC124,2&lt;4))),1,0),IF(AND(U124+V124-W124&gt;0,OR(U124+V124-W124&lt;AA124+AB124-AC124,AND(U124+V124-W124=AA124+AB124-AC124,3&lt;4))),1,0)))</x:f>
        <x:v>99</x:v>
      </x:c>
      <x:c r="AE124" s="6" t="n">
        <x:f>IF('Debt strategy'!$C$16&gt;0,0,MIN(AA124+AB124-AC124,MAX(0,'Debt strategy'!$C$5-SUM(E124,K124,Q124,W124,AC124)-SUM(IF(F124&lt;AD124,C124+D124-E124,0),IF(L124&lt;AD124,I124+J124-K124,0),IF(R124&lt;AD124,O124+P124-Q124,0),IF(X124&lt;AD124,U124+V124-W124,0)))))</x:f>
        <x:v>0</x:v>
      </x:c>
      <x:c r="AF124" s="6" t="n">
        <x:f>ROUND(MAX(0,AA124+AB124-AC124-AE124),2)</x:f>
        <x:v>0</x:v>
      </x:c>
      <x:c r="AG124" s="6" t="n">
        <x:f>SUM(H124,N124,T124,Z124,AF124)</x:f>
        <x:v>0</x:v>
      </x:c>
      <x:c r="AH124" s="6" t="n">
        <x:f>SUM(D124,J124,P124,V124,AB124)+AH123</x:f>
        <x:v>1353.9499999999996</x:v>
      </x:c>
      <x:c r="AI124" s="2"/>
    </x:row>
    <x:row r="125" ht="23" customHeight="1">
      <x:c r="B125" s="2" t="n">
        <x:f>117</x:f>
        <x:v>117</x:v>
      </x:c>
      <x:c r="C125" s="6" t="n">
        <x:f>H124</x:f>
        <x:v>0</x:v>
      </x:c>
      <x:c r="D125" s="6" t="n">
        <x:f>ROUND(C125*'Debt strategy'!$D$9/12,2)</x:f>
        <x:v>0</x:v>
      </x:c>
      <x:c r="E125" s="6" t="n">
        <x:f>MIN(C125+D125,'Debt strategy'!$E$9)</x:f>
        <x:v>0</x:v>
      </x:c>
      <x:c r="F125" s="27" t="n">
        <x:f>IF(C125+D125-E125&lt;=0,99,1+SUM(IF(AND(I125+J125-K125&gt;0,OR(I125+J125-K125&lt;C125+D125-E125,AND(I125+J125-K125=C125+D125-E125,1&lt;0))),1,0),IF(AND(O125+P125-Q125&gt;0,OR(O125+P125-Q125&lt;C125+D125-E125,AND(O125+P125-Q125=C125+D125-E125,2&lt;0))),1,0),IF(AND(U125+V125-W125&gt;0,OR(U125+V125-W125&lt;C125+D125-E125,AND(U125+V125-W125=C125+D125-E125,3&lt;0))),1,0),IF(AND(AA125+AB125-AC125&gt;0,OR(AA125+AB125-AC125&lt;C125+D125-E125,AND(AA125+AB125-AC125=C125+D125-E125,4&lt;0))),1,0)))</x:f>
        <x:v>99</x:v>
      </x:c>
      <x:c r="G125" s="6" t="n">
        <x:f>IF('Debt strategy'!$C$16&gt;0,0,MIN(C125+D125-E125,MAX(0,'Debt strategy'!$C$5-SUM(E125,K125,Q125,W125,AC125)-SUM(IF(L125&lt;F125,I125+J125-K125,0),IF(R125&lt;F125,O125+P125-Q125,0),IF(X125&lt;F125,U125+V125-W125,0),IF(AD125&lt;F125,AA125+AB125-AC125,0)))))</x:f>
        <x:v>0</x:v>
      </x:c>
      <x:c r="H125" s="6" t="n">
        <x:f>ROUND(MAX(0,C125+D125-E125-G125),2)</x:f>
        <x:v>0</x:v>
      </x:c>
      <x:c r="I125" s="6" t="n">
        <x:f>N124</x:f>
        <x:v>0</x:v>
      </x:c>
      <x:c r="J125" s="6" t="n">
        <x:f>ROUND(I125*'Debt strategy'!$D$10/12,2)</x:f>
        <x:v>0</x:v>
      </x:c>
      <x:c r="K125" s="6" t="n">
        <x:f>MIN(I125+J125,'Debt strategy'!$E$10)</x:f>
        <x:v>0</x:v>
      </x:c>
      <x:c r="L125" s="27" t="n">
        <x:f>IF(I125+J125-K125&lt;=0,99,1+SUM(IF(AND(C125+D125-E125&gt;0,OR(C125+D125-E125&lt;I125+J125-K125,AND(C125+D125-E125=I125+J125-K125,0&lt;1))),1,0),IF(AND(O125+P125-Q125&gt;0,OR(O125+P125-Q125&lt;I125+J125-K125,AND(O125+P125-Q125=I125+J125-K125,2&lt;1))),1,0),IF(AND(U125+V125-W125&gt;0,OR(U125+V125-W125&lt;I125+J125-K125,AND(U125+V125-W125=I125+J125-K125,3&lt;1))),1,0),IF(AND(AA125+AB125-AC125&gt;0,OR(AA125+AB125-AC125&lt;I125+J125-K125,AND(AA125+AB125-AC125=I125+J125-K125,4&lt;1))),1,0)))</x:f>
        <x:v>99</x:v>
      </x:c>
      <x:c r="M125" s="6" t="n">
        <x:f>IF('Debt strategy'!$C$16&gt;0,0,MIN(I125+J125-K125,MAX(0,'Debt strategy'!$C$5-SUM(E125,K125,Q125,W125,AC125)-SUM(IF(F125&lt;L125,C125+D125-E125,0),IF(R125&lt;L125,O125+P125-Q125,0),IF(X125&lt;L125,U125+V125-W125,0),IF(AD125&lt;L125,AA125+AB125-AC125,0)))))</x:f>
        <x:v>0</x:v>
      </x:c>
      <x:c r="N125" s="6" t="n">
        <x:f>ROUND(MAX(0,I125+J125-K125-M125),2)</x:f>
        <x:v>0</x:v>
      </x:c>
      <x:c r="O125" s="6" t="n">
        <x:f>T124</x:f>
        <x:v>0</x:v>
      </x:c>
      <x:c r="P125" s="6" t="n">
        <x:f>ROUND(O125*'Debt strategy'!$D$11/12,2)</x:f>
        <x:v>0</x:v>
      </x:c>
      <x:c r="Q125" s="6" t="n">
        <x:f>MIN(O125+P125,'Debt strategy'!$E$11)</x:f>
        <x:v>0</x:v>
      </x:c>
      <x:c r="R125" s="27" t="n">
        <x:f>IF(O125+P125-Q125&lt;=0,99,1+SUM(IF(AND(C125+D125-E125&gt;0,OR(C125+D125-E125&lt;O125+P125-Q125,AND(C125+D125-E125=O125+P125-Q125,0&lt;2))),1,0),IF(AND(I125+J125-K125&gt;0,OR(I125+J125-K125&lt;O125+P125-Q125,AND(I125+J125-K125=O125+P125-Q125,1&lt;2))),1,0),IF(AND(U125+V125-W125&gt;0,OR(U125+V125-W125&lt;O125+P125-Q125,AND(U125+V125-W125=O125+P125-Q125,3&lt;2))),1,0),IF(AND(AA125+AB125-AC125&gt;0,OR(AA125+AB125-AC125&lt;O125+P125-Q125,AND(AA125+AB125-AC125=O125+P125-Q125,4&lt;2))),1,0)))</x:f>
        <x:v>99</x:v>
      </x:c>
      <x:c r="S125" s="6" t="n">
        <x:f>IF('Debt strategy'!$C$16&gt;0,0,MIN(O125+P125-Q125,MAX(0,'Debt strategy'!$C$5-SUM(E125,K125,Q125,W125,AC125)-SUM(IF(F125&lt;R125,C125+D125-E125,0),IF(L125&lt;R125,I125+J125-K125,0),IF(X125&lt;R125,U125+V125-W125,0),IF(AD125&lt;R125,AA125+AB125-AC125,0)))))</x:f>
        <x:v>0</x:v>
      </x:c>
      <x:c r="T125" s="6" t="n">
        <x:f>ROUND(MAX(0,O125+P125-Q125-S125),2)</x:f>
        <x:v>0</x:v>
      </x:c>
      <x:c r="U125" s="6" t="n">
        <x:f>Z124</x:f>
        <x:v>0</x:v>
      </x:c>
      <x:c r="V125" s="6" t="n">
        <x:f>ROUND(U125*'Debt strategy'!$D$12/12,2)</x:f>
        <x:v>0</x:v>
      </x:c>
      <x:c r="W125" s="6" t="n">
        <x:f>MIN(U125+V125,'Debt strategy'!$E$12)</x:f>
        <x:v>0</x:v>
      </x:c>
      <x:c r="X125" s="27" t="n">
        <x:f>IF(U125+V125-W125&lt;=0,99,1+SUM(IF(AND(C125+D125-E125&gt;0,OR(C125+D125-E125&lt;U125+V125-W125,AND(C125+D125-E125=U125+V125-W125,0&lt;3))),1,0),IF(AND(I125+J125-K125&gt;0,OR(I125+J125-K125&lt;U125+V125-W125,AND(I125+J125-K125=U125+V125-W125,1&lt;3))),1,0),IF(AND(O125+P125-Q125&gt;0,OR(O125+P125-Q125&lt;U125+V125-W125,AND(O125+P125-Q125=U125+V125-W125,2&lt;3))),1,0),IF(AND(AA125+AB125-AC125&gt;0,OR(AA125+AB125-AC125&lt;U125+V125-W125,AND(AA125+AB125-AC125=U125+V125-W125,4&lt;3))),1,0)))</x:f>
        <x:v>99</x:v>
      </x:c>
      <x:c r="Y125" s="6" t="n">
        <x:f>IF('Debt strategy'!$C$16&gt;0,0,MIN(U125+V125-W125,MAX(0,'Debt strategy'!$C$5-SUM(E125,K125,Q125,W125,AC125)-SUM(IF(F125&lt;X125,C125+D125-E125,0),IF(L125&lt;X125,I125+J125-K125,0),IF(R125&lt;X125,O125+P125-Q125,0),IF(AD125&lt;X125,AA125+AB125-AC125,0)))))</x:f>
        <x:v>0</x:v>
      </x:c>
      <x:c r="Z125" s="6" t="n">
        <x:f>ROUND(MAX(0,U125+V125-W125-Y125),2)</x:f>
        <x:v>0</x:v>
      </x:c>
      <x:c r="AA125" s="6" t="n">
        <x:f>AF124</x:f>
        <x:v>0</x:v>
      </x:c>
      <x:c r="AB125" s="6" t="n">
        <x:f>ROUND(AA125*'Debt strategy'!$D$13/12,2)</x:f>
        <x:v>0</x:v>
      </x:c>
      <x:c r="AC125" s="6" t="n">
        <x:f>MIN(AA125+AB125,'Debt strategy'!$E$13)</x:f>
        <x:v>0</x:v>
      </x:c>
      <x:c r="AD125" s="27" t="n">
        <x:f>IF(AA125+AB125-AC125&lt;=0,99,1+SUM(IF(AND(C125+D125-E125&gt;0,OR(C125+D125-E125&lt;AA125+AB125-AC125,AND(C125+D125-E125=AA125+AB125-AC125,0&lt;4))),1,0),IF(AND(I125+J125-K125&gt;0,OR(I125+J125-K125&lt;AA125+AB125-AC125,AND(I125+J125-K125=AA125+AB125-AC125,1&lt;4))),1,0),IF(AND(O125+P125-Q125&gt;0,OR(O125+P125-Q125&lt;AA125+AB125-AC125,AND(O125+P125-Q125=AA125+AB125-AC125,2&lt;4))),1,0),IF(AND(U125+V125-W125&gt;0,OR(U125+V125-W125&lt;AA125+AB125-AC125,AND(U125+V125-W125=AA125+AB125-AC125,3&lt;4))),1,0)))</x:f>
        <x:v>99</x:v>
      </x:c>
      <x:c r="AE125" s="6" t="n">
        <x:f>IF('Debt strategy'!$C$16&gt;0,0,MIN(AA125+AB125-AC125,MAX(0,'Debt strategy'!$C$5-SUM(E125,K125,Q125,W125,AC125)-SUM(IF(F125&lt;AD125,C125+D125-E125,0),IF(L125&lt;AD125,I125+J125-K125,0),IF(R125&lt;AD125,O125+P125-Q125,0),IF(X125&lt;AD125,U125+V125-W125,0)))))</x:f>
        <x:v>0</x:v>
      </x:c>
      <x:c r="AF125" s="6" t="n">
        <x:f>ROUND(MAX(0,AA125+AB125-AC125-AE125),2)</x:f>
        <x:v>0</x:v>
      </x:c>
      <x:c r="AG125" s="6" t="n">
        <x:f>SUM(H125,N125,T125,Z125,AF125)</x:f>
        <x:v>0</x:v>
      </x:c>
      <x:c r="AH125" s="6" t="n">
        <x:f>SUM(D125,J125,P125,V125,AB125)+AH124</x:f>
        <x:v>1353.9499999999996</x:v>
      </x:c>
      <x:c r="AI125" s="2"/>
    </x:row>
    <x:row r="126" ht="23" customHeight="1">
      <x:c r="B126" s="2" t="n">
        <x:f>118</x:f>
        <x:v>118</x:v>
      </x:c>
      <x:c r="C126" s="6" t="n">
        <x:f>H125</x:f>
        <x:v>0</x:v>
      </x:c>
      <x:c r="D126" s="6" t="n">
        <x:f>ROUND(C126*'Debt strategy'!$D$9/12,2)</x:f>
        <x:v>0</x:v>
      </x:c>
      <x:c r="E126" s="6" t="n">
        <x:f>MIN(C126+D126,'Debt strategy'!$E$9)</x:f>
        <x:v>0</x:v>
      </x:c>
      <x:c r="F126" s="27" t="n">
        <x:f>IF(C126+D126-E126&lt;=0,99,1+SUM(IF(AND(I126+J126-K126&gt;0,OR(I126+J126-K126&lt;C126+D126-E126,AND(I126+J126-K126=C126+D126-E126,1&lt;0))),1,0),IF(AND(O126+P126-Q126&gt;0,OR(O126+P126-Q126&lt;C126+D126-E126,AND(O126+P126-Q126=C126+D126-E126,2&lt;0))),1,0),IF(AND(U126+V126-W126&gt;0,OR(U126+V126-W126&lt;C126+D126-E126,AND(U126+V126-W126=C126+D126-E126,3&lt;0))),1,0),IF(AND(AA126+AB126-AC126&gt;0,OR(AA126+AB126-AC126&lt;C126+D126-E126,AND(AA126+AB126-AC126=C126+D126-E126,4&lt;0))),1,0)))</x:f>
        <x:v>99</x:v>
      </x:c>
      <x:c r="G126" s="6" t="n">
        <x:f>IF('Debt strategy'!$C$16&gt;0,0,MIN(C126+D126-E126,MAX(0,'Debt strategy'!$C$5-SUM(E126,K126,Q126,W126,AC126)-SUM(IF(L126&lt;F126,I126+J126-K126,0),IF(R126&lt;F126,O126+P126-Q126,0),IF(X126&lt;F126,U126+V126-W126,0),IF(AD126&lt;F126,AA126+AB126-AC126,0)))))</x:f>
        <x:v>0</x:v>
      </x:c>
      <x:c r="H126" s="6" t="n">
        <x:f>ROUND(MAX(0,C126+D126-E126-G126),2)</x:f>
        <x:v>0</x:v>
      </x:c>
      <x:c r="I126" s="6" t="n">
        <x:f>N125</x:f>
        <x:v>0</x:v>
      </x:c>
      <x:c r="J126" s="6" t="n">
        <x:f>ROUND(I126*'Debt strategy'!$D$10/12,2)</x:f>
        <x:v>0</x:v>
      </x:c>
      <x:c r="K126" s="6" t="n">
        <x:f>MIN(I126+J126,'Debt strategy'!$E$10)</x:f>
        <x:v>0</x:v>
      </x:c>
      <x:c r="L126" s="27" t="n">
        <x:f>IF(I126+J126-K126&lt;=0,99,1+SUM(IF(AND(C126+D126-E126&gt;0,OR(C126+D126-E126&lt;I126+J126-K126,AND(C126+D126-E126=I126+J126-K126,0&lt;1))),1,0),IF(AND(O126+P126-Q126&gt;0,OR(O126+P126-Q126&lt;I126+J126-K126,AND(O126+P126-Q126=I126+J126-K126,2&lt;1))),1,0),IF(AND(U126+V126-W126&gt;0,OR(U126+V126-W126&lt;I126+J126-K126,AND(U126+V126-W126=I126+J126-K126,3&lt;1))),1,0),IF(AND(AA126+AB126-AC126&gt;0,OR(AA126+AB126-AC126&lt;I126+J126-K126,AND(AA126+AB126-AC126=I126+J126-K126,4&lt;1))),1,0)))</x:f>
        <x:v>99</x:v>
      </x:c>
      <x:c r="M126" s="6" t="n">
        <x:f>IF('Debt strategy'!$C$16&gt;0,0,MIN(I126+J126-K126,MAX(0,'Debt strategy'!$C$5-SUM(E126,K126,Q126,W126,AC126)-SUM(IF(F126&lt;L126,C126+D126-E126,0),IF(R126&lt;L126,O126+P126-Q126,0),IF(X126&lt;L126,U126+V126-W126,0),IF(AD126&lt;L126,AA126+AB126-AC126,0)))))</x:f>
        <x:v>0</x:v>
      </x:c>
      <x:c r="N126" s="6" t="n">
        <x:f>ROUND(MAX(0,I126+J126-K126-M126),2)</x:f>
        <x:v>0</x:v>
      </x:c>
      <x:c r="O126" s="6" t="n">
        <x:f>T125</x:f>
        <x:v>0</x:v>
      </x:c>
      <x:c r="P126" s="6" t="n">
        <x:f>ROUND(O126*'Debt strategy'!$D$11/12,2)</x:f>
        <x:v>0</x:v>
      </x:c>
      <x:c r="Q126" s="6" t="n">
        <x:f>MIN(O126+P126,'Debt strategy'!$E$11)</x:f>
        <x:v>0</x:v>
      </x:c>
      <x:c r="R126" s="27" t="n">
        <x:f>IF(O126+P126-Q126&lt;=0,99,1+SUM(IF(AND(C126+D126-E126&gt;0,OR(C126+D126-E126&lt;O126+P126-Q126,AND(C126+D126-E126=O126+P126-Q126,0&lt;2))),1,0),IF(AND(I126+J126-K126&gt;0,OR(I126+J126-K126&lt;O126+P126-Q126,AND(I126+J126-K126=O126+P126-Q126,1&lt;2))),1,0),IF(AND(U126+V126-W126&gt;0,OR(U126+V126-W126&lt;O126+P126-Q126,AND(U126+V126-W126=O126+P126-Q126,3&lt;2))),1,0),IF(AND(AA126+AB126-AC126&gt;0,OR(AA126+AB126-AC126&lt;O126+P126-Q126,AND(AA126+AB126-AC126=O126+P126-Q126,4&lt;2))),1,0)))</x:f>
        <x:v>99</x:v>
      </x:c>
      <x:c r="S126" s="6" t="n">
        <x:f>IF('Debt strategy'!$C$16&gt;0,0,MIN(O126+P126-Q126,MAX(0,'Debt strategy'!$C$5-SUM(E126,K126,Q126,W126,AC126)-SUM(IF(F126&lt;R126,C126+D126-E126,0),IF(L126&lt;R126,I126+J126-K126,0),IF(X126&lt;R126,U126+V126-W126,0),IF(AD126&lt;R126,AA126+AB126-AC126,0)))))</x:f>
        <x:v>0</x:v>
      </x:c>
      <x:c r="T126" s="6" t="n">
        <x:f>ROUND(MAX(0,O126+P126-Q126-S126),2)</x:f>
        <x:v>0</x:v>
      </x:c>
      <x:c r="U126" s="6" t="n">
        <x:f>Z125</x:f>
        <x:v>0</x:v>
      </x:c>
      <x:c r="V126" s="6" t="n">
        <x:f>ROUND(U126*'Debt strategy'!$D$12/12,2)</x:f>
        <x:v>0</x:v>
      </x:c>
      <x:c r="W126" s="6" t="n">
        <x:f>MIN(U126+V126,'Debt strategy'!$E$12)</x:f>
        <x:v>0</x:v>
      </x:c>
      <x:c r="X126" s="27" t="n">
        <x:f>IF(U126+V126-W126&lt;=0,99,1+SUM(IF(AND(C126+D126-E126&gt;0,OR(C126+D126-E126&lt;U126+V126-W126,AND(C126+D126-E126=U126+V126-W126,0&lt;3))),1,0),IF(AND(I126+J126-K126&gt;0,OR(I126+J126-K126&lt;U126+V126-W126,AND(I126+J126-K126=U126+V126-W126,1&lt;3))),1,0),IF(AND(O126+P126-Q126&gt;0,OR(O126+P126-Q126&lt;U126+V126-W126,AND(O126+P126-Q126=U126+V126-W126,2&lt;3))),1,0),IF(AND(AA126+AB126-AC126&gt;0,OR(AA126+AB126-AC126&lt;U126+V126-W126,AND(AA126+AB126-AC126=U126+V126-W126,4&lt;3))),1,0)))</x:f>
        <x:v>99</x:v>
      </x:c>
      <x:c r="Y126" s="6" t="n">
        <x:f>IF('Debt strategy'!$C$16&gt;0,0,MIN(U126+V126-W126,MAX(0,'Debt strategy'!$C$5-SUM(E126,K126,Q126,W126,AC126)-SUM(IF(F126&lt;X126,C126+D126-E126,0),IF(L126&lt;X126,I126+J126-K126,0),IF(R126&lt;X126,O126+P126-Q126,0),IF(AD126&lt;X126,AA126+AB126-AC126,0)))))</x:f>
        <x:v>0</x:v>
      </x:c>
      <x:c r="Z126" s="6" t="n">
        <x:f>ROUND(MAX(0,U126+V126-W126-Y126),2)</x:f>
        <x:v>0</x:v>
      </x:c>
      <x:c r="AA126" s="6" t="n">
        <x:f>AF125</x:f>
        <x:v>0</x:v>
      </x:c>
      <x:c r="AB126" s="6" t="n">
        <x:f>ROUND(AA126*'Debt strategy'!$D$13/12,2)</x:f>
        <x:v>0</x:v>
      </x:c>
      <x:c r="AC126" s="6" t="n">
        <x:f>MIN(AA126+AB126,'Debt strategy'!$E$13)</x:f>
        <x:v>0</x:v>
      </x:c>
      <x:c r="AD126" s="27" t="n">
        <x:f>IF(AA126+AB126-AC126&lt;=0,99,1+SUM(IF(AND(C126+D126-E126&gt;0,OR(C126+D126-E126&lt;AA126+AB126-AC126,AND(C126+D126-E126=AA126+AB126-AC126,0&lt;4))),1,0),IF(AND(I126+J126-K126&gt;0,OR(I126+J126-K126&lt;AA126+AB126-AC126,AND(I126+J126-K126=AA126+AB126-AC126,1&lt;4))),1,0),IF(AND(O126+P126-Q126&gt;0,OR(O126+P126-Q126&lt;AA126+AB126-AC126,AND(O126+P126-Q126=AA126+AB126-AC126,2&lt;4))),1,0),IF(AND(U126+V126-W126&gt;0,OR(U126+V126-W126&lt;AA126+AB126-AC126,AND(U126+V126-W126=AA126+AB126-AC126,3&lt;4))),1,0)))</x:f>
        <x:v>99</x:v>
      </x:c>
      <x:c r="AE126" s="6" t="n">
        <x:f>IF('Debt strategy'!$C$16&gt;0,0,MIN(AA126+AB126-AC126,MAX(0,'Debt strategy'!$C$5-SUM(E126,K126,Q126,W126,AC126)-SUM(IF(F126&lt;AD126,C126+D126-E126,0),IF(L126&lt;AD126,I126+J126-K126,0),IF(R126&lt;AD126,O126+P126-Q126,0),IF(X126&lt;AD126,U126+V126-W126,0)))))</x:f>
        <x:v>0</x:v>
      </x:c>
      <x:c r="AF126" s="6" t="n">
        <x:f>ROUND(MAX(0,AA126+AB126-AC126-AE126),2)</x:f>
        <x:v>0</x:v>
      </x:c>
      <x:c r="AG126" s="6" t="n">
        <x:f>SUM(H126,N126,T126,Z126,AF126)</x:f>
        <x:v>0</x:v>
      </x:c>
      <x:c r="AH126" s="6" t="n">
        <x:f>SUM(D126,J126,P126,V126,AB126)+AH125</x:f>
        <x:v>1353.9499999999996</x:v>
      </x:c>
      <x:c r="AI126" s="2"/>
    </x:row>
    <x:row r="127" ht="23" customHeight="1">
      <x:c r="B127" s="2" t="n">
        <x:f>119</x:f>
        <x:v>119</x:v>
      </x:c>
      <x:c r="C127" s="6" t="n">
        <x:f>H126</x:f>
        <x:v>0</x:v>
      </x:c>
      <x:c r="D127" s="6" t="n">
        <x:f>ROUND(C127*'Debt strategy'!$D$9/12,2)</x:f>
        <x:v>0</x:v>
      </x:c>
      <x:c r="E127" s="6" t="n">
        <x:f>MIN(C127+D127,'Debt strategy'!$E$9)</x:f>
        <x:v>0</x:v>
      </x:c>
      <x:c r="F127" s="27" t="n">
        <x:f>IF(C127+D127-E127&lt;=0,99,1+SUM(IF(AND(I127+J127-K127&gt;0,OR(I127+J127-K127&lt;C127+D127-E127,AND(I127+J127-K127=C127+D127-E127,1&lt;0))),1,0),IF(AND(O127+P127-Q127&gt;0,OR(O127+P127-Q127&lt;C127+D127-E127,AND(O127+P127-Q127=C127+D127-E127,2&lt;0))),1,0),IF(AND(U127+V127-W127&gt;0,OR(U127+V127-W127&lt;C127+D127-E127,AND(U127+V127-W127=C127+D127-E127,3&lt;0))),1,0),IF(AND(AA127+AB127-AC127&gt;0,OR(AA127+AB127-AC127&lt;C127+D127-E127,AND(AA127+AB127-AC127=C127+D127-E127,4&lt;0))),1,0)))</x:f>
        <x:v>99</x:v>
      </x:c>
      <x:c r="G127" s="6" t="n">
        <x:f>IF('Debt strategy'!$C$16&gt;0,0,MIN(C127+D127-E127,MAX(0,'Debt strategy'!$C$5-SUM(E127,K127,Q127,W127,AC127)-SUM(IF(L127&lt;F127,I127+J127-K127,0),IF(R127&lt;F127,O127+P127-Q127,0),IF(X127&lt;F127,U127+V127-W127,0),IF(AD127&lt;F127,AA127+AB127-AC127,0)))))</x:f>
        <x:v>0</x:v>
      </x:c>
      <x:c r="H127" s="6" t="n">
        <x:f>ROUND(MAX(0,C127+D127-E127-G127),2)</x:f>
        <x:v>0</x:v>
      </x:c>
      <x:c r="I127" s="6" t="n">
        <x:f>N126</x:f>
        <x:v>0</x:v>
      </x:c>
      <x:c r="J127" s="6" t="n">
        <x:f>ROUND(I127*'Debt strategy'!$D$10/12,2)</x:f>
        <x:v>0</x:v>
      </x:c>
      <x:c r="K127" s="6" t="n">
        <x:f>MIN(I127+J127,'Debt strategy'!$E$10)</x:f>
        <x:v>0</x:v>
      </x:c>
      <x:c r="L127" s="27" t="n">
        <x:f>IF(I127+J127-K127&lt;=0,99,1+SUM(IF(AND(C127+D127-E127&gt;0,OR(C127+D127-E127&lt;I127+J127-K127,AND(C127+D127-E127=I127+J127-K127,0&lt;1))),1,0),IF(AND(O127+P127-Q127&gt;0,OR(O127+P127-Q127&lt;I127+J127-K127,AND(O127+P127-Q127=I127+J127-K127,2&lt;1))),1,0),IF(AND(U127+V127-W127&gt;0,OR(U127+V127-W127&lt;I127+J127-K127,AND(U127+V127-W127=I127+J127-K127,3&lt;1))),1,0),IF(AND(AA127+AB127-AC127&gt;0,OR(AA127+AB127-AC127&lt;I127+J127-K127,AND(AA127+AB127-AC127=I127+J127-K127,4&lt;1))),1,0)))</x:f>
        <x:v>99</x:v>
      </x:c>
      <x:c r="M127" s="6" t="n">
        <x:f>IF('Debt strategy'!$C$16&gt;0,0,MIN(I127+J127-K127,MAX(0,'Debt strategy'!$C$5-SUM(E127,K127,Q127,W127,AC127)-SUM(IF(F127&lt;L127,C127+D127-E127,0),IF(R127&lt;L127,O127+P127-Q127,0),IF(X127&lt;L127,U127+V127-W127,0),IF(AD127&lt;L127,AA127+AB127-AC127,0)))))</x:f>
        <x:v>0</x:v>
      </x:c>
      <x:c r="N127" s="6" t="n">
        <x:f>ROUND(MAX(0,I127+J127-K127-M127),2)</x:f>
        <x:v>0</x:v>
      </x:c>
      <x:c r="O127" s="6" t="n">
        <x:f>T126</x:f>
        <x:v>0</x:v>
      </x:c>
      <x:c r="P127" s="6" t="n">
        <x:f>ROUND(O127*'Debt strategy'!$D$11/12,2)</x:f>
        <x:v>0</x:v>
      </x:c>
      <x:c r="Q127" s="6" t="n">
        <x:f>MIN(O127+P127,'Debt strategy'!$E$11)</x:f>
        <x:v>0</x:v>
      </x:c>
      <x:c r="R127" s="27" t="n">
        <x:f>IF(O127+P127-Q127&lt;=0,99,1+SUM(IF(AND(C127+D127-E127&gt;0,OR(C127+D127-E127&lt;O127+P127-Q127,AND(C127+D127-E127=O127+P127-Q127,0&lt;2))),1,0),IF(AND(I127+J127-K127&gt;0,OR(I127+J127-K127&lt;O127+P127-Q127,AND(I127+J127-K127=O127+P127-Q127,1&lt;2))),1,0),IF(AND(U127+V127-W127&gt;0,OR(U127+V127-W127&lt;O127+P127-Q127,AND(U127+V127-W127=O127+P127-Q127,3&lt;2))),1,0),IF(AND(AA127+AB127-AC127&gt;0,OR(AA127+AB127-AC127&lt;O127+P127-Q127,AND(AA127+AB127-AC127=O127+P127-Q127,4&lt;2))),1,0)))</x:f>
        <x:v>99</x:v>
      </x:c>
      <x:c r="S127" s="6" t="n">
        <x:f>IF('Debt strategy'!$C$16&gt;0,0,MIN(O127+P127-Q127,MAX(0,'Debt strategy'!$C$5-SUM(E127,K127,Q127,W127,AC127)-SUM(IF(F127&lt;R127,C127+D127-E127,0),IF(L127&lt;R127,I127+J127-K127,0),IF(X127&lt;R127,U127+V127-W127,0),IF(AD127&lt;R127,AA127+AB127-AC127,0)))))</x:f>
        <x:v>0</x:v>
      </x:c>
      <x:c r="T127" s="6" t="n">
        <x:f>ROUND(MAX(0,O127+P127-Q127-S127),2)</x:f>
        <x:v>0</x:v>
      </x:c>
      <x:c r="U127" s="6" t="n">
        <x:f>Z126</x:f>
        <x:v>0</x:v>
      </x:c>
      <x:c r="V127" s="6" t="n">
        <x:f>ROUND(U127*'Debt strategy'!$D$12/12,2)</x:f>
        <x:v>0</x:v>
      </x:c>
      <x:c r="W127" s="6" t="n">
        <x:f>MIN(U127+V127,'Debt strategy'!$E$12)</x:f>
        <x:v>0</x:v>
      </x:c>
      <x:c r="X127" s="27" t="n">
        <x:f>IF(U127+V127-W127&lt;=0,99,1+SUM(IF(AND(C127+D127-E127&gt;0,OR(C127+D127-E127&lt;U127+V127-W127,AND(C127+D127-E127=U127+V127-W127,0&lt;3))),1,0),IF(AND(I127+J127-K127&gt;0,OR(I127+J127-K127&lt;U127+V127-W127,AND(I127+J127-K127=U127+V127-W127,1&lt;3))),1,0),IF(AND(O127+P127-Q127&gt;0,OR(O127+P127-Q127&lt;U127+V127-W127,AND(O127+P127-Q127=U127+V127-W127,2&lt;3))),1,0),IF(AND(AA127+AB127-AC127&gt;0,OR(AA127+AB127-AC127&lt;U127+V127-W127,AND(AA127+AB127-AC127=U127+V127-W127,4&lt;3))),1,0)))</x:f>
        <x:v>99</x:v>
      </x:c>
      <x:c r="Y127" s="6" t="n">
        <x:f>IF('Debt strategy'!$C$16&gt;0,0,MIN(U127+V127-W127,MAX(0,'Debt strategy'!$C$5-SUM(E127,K127,Q127,W127,AC127)-SUM(IF(F127&lt;X127,C127+D127-E127,0),IF(L127&lt;X127,I127+J127-K127,0),IF(R127&lt;X127,O127+P127-Q127,0),IF(AD127&lt;X127,AA127+AB127-AC127,0)))))</x:f>
        <x:v>0</x:v>
      </x:c>
      <x:c r="Z127" s="6" t="n">
        <x:f>ROUND(MAX(0,U127+V127-W127-Y127),2)</x:f>
        <x:v>0</x:v>
      </x:c>
      <x:c r="AA127" s="6" t="n">
        <x:f>AF126</x:f>
        <x:v>0</x:v>
      </x:c>
      <x:c r="AB127" s="6" t="n">
        <x:f>ROUND(AA127*'Debt strategy'!$D$13/12,2)</x:f>
        <x:v>0</x:v>
      </x:c>
      <x:c r="AC127" s="6" t="n">
        <x:f>MIN(AA127+AB127,'Debt strategy'!$E$13)</x:f>
        <x:v>0</x:v>
      </x:c>
      <x:c r="AD127" s="27" t="n">
        <x:f>IF(AA127+AB127-AC127&lt;=0,99,1+SUM(IF(AND(C127+D127-E127&gt;0,OR(C127+D127-E127&lt;AA127+AB127-AC127,AND(C127+D127-E127=AA127+AB127-AC127,0&lt;4))),1,0),IF(AND(I127+J127-K127&gt;0,OR(I127+J127-K127&lt;AA127+AB127-AC127,AND(I127+J127-K127=AA127+AB127-AC127,1&lt;4))),1,0),IF(AND(O127+P127-Q127&gt;0,OR(O127+P127-Q127&lt;AA127+AB127-AC127,AND(O127+P127-Q127=AA127+AB127-AC127,2&lt;4))),1,0),IF(AND(U127+V127-W127&gt;0,OR(U127+V127-W127&lt;AA127+AB127-AC127,AND(U127+V127-W127=AA127+AB127-AC127,3&lt;4))),1,0)))</x:f>
        <x:v>99</x:v>
      </x:c>
      <x:c r="AE127" s="6" t="n">
        <x:f>IF('Debt strategy'!$C$16&gt;0,0,MIN(AA127+AB127-AC127,MAX(0,'Debt strategy'!$C$5-SUM(E127,K127,Q127,W127,AC127)-SUM(IF(F127&lt;AD127,C127+D127-E127,0),IF(L127&lt;AD127,I127+J127-K127,0),IF(R127&lt;AD127,O127+P127-Q127,0),IF(X127&lt;AD127,U127+V127-W127,0)))))</x:f>
        <x:v>0</x:v>
      </x:c>
      <x:c r="AF127" s="6" t="n">
        <x:f>ROUND(MAX(0,AA127+AB127-AC127-AE127),2)</x:f>
        <x:v>0</x:v>
      </x:c>
      <x:c r="AG127" s="6" t="n">
        <x:f>SUM(H127,N127,T127,Z127,AF127)</x:f>
        <x:v>0</x:v>
      </x:c>
      <x:c r="AH127" s="6" t="n">
        <x:f>SUM(D127,J127,P127,V127,AB127)+AH126</x:f>
        <x:v>1353.9499999999996</x:v>
      </x:c>
      <x:c r="AI127" s="2"/>
    </x:row>
    <x:row r="128" ht="23" customHeight="1">
      <x:c r="B128" s="2" t="n">
        <x:f>120</x:f>
        <x:v>120</x:v>
      </x:c>
      <x:c r="C128" s="6" t="n">
        <x:f>H127</x:f>
        <x:v>0</x:v>
      </x:c>
      <x:c r="D128" s="6" t="n">
        <x:f>ROUND(C128*'Debt strategy'!$D$9/12,2)</x:f>
        <x:v>0</x:v>
      </x:c>
      <x:c r="E128" s="6" t="n">
        <x:f>MIN(C128+D128,'Debt strategy'!$E$9)</x:f>
        <x:v>0</x:v>
      </x:c>
      <x:c r="F128" s="27" t="n">
        <x:f>IF(C128+D128-E128&lt;=0,99,1+SUM(IF(AND(I128+J128-K128&gt;0,OR(I128+J128-K128&lt;C128+D128-E128,AND(I128+J128-K128=C128+D128-E128,1&lt;0))),1,0),IF(AND(O128+P128-Q128&gt;0,OR(O128+P128-Q128&lt;C128+D128-E128,AND(O128+P128-Q128=C128+D128-E128,2&lt;0))),1,0),IF(AND(U128+V128-W128&gt;0,OR(U128+V128-W128&lt;C128+D128-E128,AND(U128+V128-W128=C128+D128-E128,3&lt;0))),1,0),IF(AND(AA128+AB128-AC128&gt;0,OR(AA128+AB128-AC128&lt;C128+D128-E128,AND(AA128+AB128-AC128=C128+D128-E128,4&lt;0))),1,0)))</x:f>
        <x:v>99</x:v>
      </x:c>
      <x:c r="G128" s="6" t="n">
        <x:f>IF('Debt strategy'!$C$16&gt;0,0,MIN(C128+D128-E128,MAX(0,'Debt strategy'!$C$5-SUM(E128,K128,Q128,W128,AC128)-SUM(IF(L128&lt;F128,I128+J128-K128,0),IF(R128&lt;F128,O128+P128-Q128,0),IF(X128&lt;F128,U128+V128-W128,0),IF(AD128&lt;F128,AA128+AB128-AC128,0)))))</x:f>
        <x:v>0</x:v>
      </x:c>
      <x:c r="H128" s="6" t="n">
        <x:f>ROUND(MAX(0,C128+D128-E128-G128),2)</x:f>
        <x:v>0</x:v>
      </x:c>
      <x:c r="I128" s="6" t="n">
        <x:f>N127</x:f>
        <x:v>0</x:v>
      </x:c>
      <x:c r="J128" s="6" t="n">
        <x:f>ROUND(I128*'Debt strategy'!$D$10/12,2)</x:f>
        <x:v>0</x:v>
      </x:c>
      <x:c r="K128" s="6" t="n">
        <x:f>MIN(I128+J128,'Debt strategy'!$E$10)</x:f>
        <x:v>0</x:v>
      </x:c>
      <x:c r="L128" s="27" t="n">
        <x:f>IF(I128+J128-K128&lt;=0,99,1+SUM(IF(AND(C128+D128-E128&gt;0,OR(C128+D128-E128&lt;I128+J128-K128,AND(C128+D128-E128=I128+J128-K128,0&lt;1))),1,0),IF(AND(O128+P128-Q128&gt;0,OR(O128+P128-Q128&lt;I128+J128-K128,AND(O128+P128-Q128=I128+J128-K128,2&lt;1))),1,0),IF(AND(U128+V128-W128&gt;0,OR(U128+V128-W128&lt;I128+J128-K128,AND(U128+V128-W128=I128+J128-K128,3&lt;1))),1,0),IF(AND(AA128+AB128-AC128&gt;0,OR(AA128+AB128-AC128&lt;I128+J128-K128,AND(AA128+AB128-AC128=I128+J128-K128,4&lt;1))),1,0)))</x:f>
        <x:v>99</x:v>
      </x:c>
      <x:c r="M128" s="6" t="n">
        <x:f>IF('Debt strategy'!$C$16&gt;0,0,MIN(I128+J128-K128,MAX(0,'Debt strategy'!$C$5-SUM(E128,K128,Q128,W128,AC128)-SUM(IF(F128&lt;L128,C128+D128-E128,0),IF(R128&lt;L128,O128+P128-Q128,0),IF(X128&lt;L128,U128+V128-W128,0),IF(AD128&lt;L128,AA128+AB128-AC128,0)))))</x:f>
        <x:v>0</x:v>
      </x:c>
      <x:c r="N128" s="6" t="n">
        <x:f>ROUND(MAX(0,I128+J128-K128-M128),2)</x:f>
        <x:v>0</x:v>
      </x:c>
      <x:c r="O128" s="6" t="n">
        <x:f>T127</x:f>
        <x:v>0</x:v>
      </x:c>
      <x:c r="P128" s="6" t="n">
        <x:f>ROUND(O128*'Debt strategy'!$D$11/12,2)</x:f>
        <x:v>0</x:v>
      </x:c>
      <x:c r="Q128" s="6" t="n">
        <x:f>MIN(O128+P128,'Debt strategy'!$E$11)</x:f>
        <x:v>0</x:v>
      </x:c>
      <x:c r="R128" s="27" t="n">
        <x:f>IF(O128+P128-Q128&lt;=0,99,1+SUM(IF(AND(C128+D128-E128&gt;0,OR(C128+D128-E128&lt;O128+P128-Q128,AND(C128+D128-E128=O128+P128-Q128,0&lt;2))),1,0),IF(AND(I128+J128-K128&gt;0,OR(I128+J128-K128&lt;O128+P128-Q128,AND(I128+J128-K128=O128+P128-Q128,1&lt;2))),1,0),IF(AND(U128+V128-W128&gt;0,OR(U128+V128-W128&lt;O128+P128-Q128,AND(U128+V128-W128=O128+P128-Q128,3&lt;2))),1,0),IF(AND(AA128+AB128-AC128&gt;0,OR(AA128+AB128-AC128&lt;O128+P128-Q128,AND(AA128+AB128-AC128=O128+P128-Q128,4&lt;2))),1,0)))</x:f>
        <x:v>99</x:v>
      </x:c>
      <x:c r="S128" s="6" t="n">
        <x:f>IF('Debt strategy'!$C$16&gt;0,0,MIN(O128+P128-Q128,MAX(0,'Debt strategy'!$C$5-SUM(E128,K128,Q128,W128,AC128)-SUM(IF(F128&lt;R128,C128+D128-E128,0),IF(L128&lt;R128,I128+J128-K128,0),IF(X128&lt;R128,U128+V128-W128,0),IF(AD128&lt;R128,AA128+AB128-AC128,0)))))</x:f>
        <x:v>0</x:v>
      </x:c>
      <x:c r="T128" s="6" t="n">
        <x:f>ROUND(MAX(0,O128+P128-Q128-S128),2)</x:f>
        <x:v>0</x:v>
      </x:c>
      <x:c r="U128" s="6" t="n">
        <x:f>Z127</x:f>
        <x:v>0</x:v>
      </x:c>
      <x:c r="V128" s="6" t="n">
        <x:f>ROUND(U128*'Debt strategy'!$D$12/12,2)</x:f>
        <x:v>0</x:v>
      </x:c>
      <x:c r="W128" s="6" t="n">
        <x:f>MIN(U128+V128,'Debt strategy'!$E$12)</x:f>
        <x:v>0</x:v>
      </x:c>
      <x:c r="X128" s="27" t="n">
        <x:f>IF(U128+V128-W128&lt;=0,99,1+SUM(IF(AND(C128+D128-E128&gt;0,OR(C128+D128-E128&lt;U128+V128-W128,AND(C128+D128-E128=U128+V128-W128,0&lt;3))),1,0),IF(AND(I128+J128-K128&gt;0,OR(I128+J128-K128&lt;U128+V128-W128,AND(I128+J128-K128=U128+V128-W128,1&lt;3))),1,0),IF(AND(O128+P128-Q128&gt;0,OR(O128+P128-Q128&lt;U128+V128-W128,AND(O128+P128-Q128=U128+V128-W128,2&lt;3))),1,0),IF(AND(AA128+AB128-AC128&gt;0,OR(AA128+AB128-AC128&lt;U128+V128-W128,AND(AA128+AB128-AC128=U128+V128-W128,4&lt;3))),1,0)))</x:f>
        <x:v>99</x:v>
      </x:c>
      <x:c r="Y128" s="6" t="n">
        <x:f>IF('Debt strategy'!$C$16&gt;0,0,MIN(U128+V128-W128,MAX(0,'Debt strategy'!$C$5-SUM(E128,K128,Q128,W128,AC128)-SUM(IF(F128&lt;X128,C128+D128-E128,0),IF(L128&lt;X128,I128+J128-K128,0),IF(R128&lt;X128,O128+P128-Q128,0),IF(AD128&lt;X128,AA128+AB128-AC128,0)))))</x:f>
        <x:v>0</x:v>
      </x:c>
      <x:c r="Z128" s="6" t="n">
        <x:f>ROUND(MAX(0,U128+V128-W128-Y128),2)</x:f>
        <x:v>0</x:v>
      </x:c>
      <x:c r="AA128" s="6" t="n">
        <x:f>AF127</x:f>
        <x:v>0</x:v>
      </x:c>
      <x:c r="AB128" s="6" t="n">
        <x:f>ROUND(AA128*'Debt strategy'!$D$13/12,2)</x:f>
        <x:v>0</x:v>
      </x:c>
      <x:c r="AC128" s="6" t="n">
        <x:f>MIN(AA128+AB128,'Debt strategy'!$E$13)</x:f>
        <x:v>0</x:v>
      </x:c>
      <x:c r="AD128" s="27" t="n">
        <x:f>IF(AA128+AB128-AC128&lt;=0,99,1+SUM(IF(AND(C128+D128-E128&gt;0,OR(C128+D128-E128&lt;AA128+AB128-AC128,AND(C128+D128-E128=AA128+AB128-AC128,0&lt;4))),1,0),IF(AND(I128+J128-K128&gt;0,OR(I128+J128-K128&lt;AA128+AB128-AC128,AND(I128+J128-K128=AA128+AB128-AC128,1&lt;4))),1,0),IF(AND(O128+P128-Q128&gt;0,OR(O128+P128-Q128&lt;AA128+AB128-AC128,AND(O128+P128-Q128=AA128+AB128-AC128,2&lt;4))),1,0),IF(AND(U128+V128-W128&gt;0,OR(U128+V128-W128&lt;AA128+AB128-AC128,AND(U128+V128-W128=AA128+AB128-AC128,3&lt;4))),1,0)))</x:f>
        <x:v>99</x:v>
      </x:c>
      <x:c r="AE128" s="6" t="n">
        <x:f>IF('Debt strategy'!$C$16&gt;0,0,MIN(AA128+AB128-AC128,MAX(0,'Debt strategy'!$C$5-SUM(E128,K128,Q128,W128,AC128)-SUM(IF(F128&lt;AD128,C128+D128-E128,0),IF(L128&lt;AD128,I128+J128-K128,0),IF(R128&lt;AD128,O128+P128-Q128,0),IF(X128&lt;AD128,U128+V128-W128,0)))))</x:f>
        <x:v>0</x:v>
      </x:c>
      <x:c r="AF128" s="6" t="n">
        <x:f>ROUND(MAX(0,AA128+AB128-AC128-AE128),2)</x:f>
        <x:v>0</x:v>
      </x:c>
      <x:c r="AG128" s="6" t="n">
        <x:f>SUM(H128,N128,T128,Z128,AF128)</x:f>
        <x:v>0</x:v>
      </x:c>
      <x:c r="AH128" s="6" t="n">
        <x:f>SUM(D128,J128,P128,V128,AB128)+AH127</x:f>
        <x:v>1353.9499999999996</x:v>
      </x:c>
      <x:c r="AI128" s="2"/>
    </x:row>
    <x:row r="129" ht="23" customHeight="1">
      <x:c r="B129" s="2" t="n">
        <x:f>121</x:f>
        <x:v>121</x:v>
      </x:c>
      <x:c r="C129" s="6" t="n">
        <x:f>H128</x:f>
        <x:v>0</x:v>
      </x:c>
      <x:c r="D129" s="6" t="n">
        <x:f>ROUND(C129*'Debt strategy'!$D$9/12,2)</x:f>
        <x:v>0</x:v>
      </x:c>
      <x:c r="E129" s="6" t="n">
        <x:f>MIN(C129+D129,'Debt strategy'!$E$9)</x:f>
        <x:v>0</x:v>
      </x:c>
      <x:c r="F129" s="27" t="n">
        <x:f>IF(C129+D129-E129&lt;=0,99,1+SUM(IF(AND(I129+J129-K129&gt;0,OR(I129+J129-K129&lt;C129+D129-E129,AND(I129+J129-K129=C129+D129-E129,1&lt;0))),1,0),IF(AND(O129+P129-Q129&gt;0,OR(O129+P129-Q129&lt;C129+D129-E129,AND(O129+P129-Q129=C129+D129-E129,2&lt;0))),1,0),IF(AND(U129+V129-W129&gt;0,OR(U129+V129-W129&lt;C129+D129-E129,AND(U129+V129-W129=C129+D129-E129,3&lt;0))),1,0),IF(AND(AA129+AB129-AC129&gt;0,OR(AA129+AB129-AC129&lt;C129+D129-E129,AND(AA129+AB129-AC129=C129+D129-E129,4&lt;0))),1,0)))</x:f>
        <x:v>99</x:v>
      </x:c>
      <x:c r="G129" s="6" t="n">
        <x:f>IF('Debt strategy'!$C$16&gt;0,0,MIN(C129+D129-E129,MAX(0,'Debt strategy'!$C$5-SUM(E129,K129,Q129,W129,AC129)-SUM(IF(L129&lt;F129,I129+J129-K129,0),IF(R129&lt;F129,O129+P129-Q129,0),IF(X129&lt;F129,U129+V129-W129,0),IF(AD129&lt;F129,AA129+AB129-AC129,0)))))</x:f>
        <x:v>0</x:v>
      </x:c>
      <x:c r="H129" s="6" t="n">
        <x:f>ROUND(MAX(0,C129+D129-E129-G129),2)</x:f>
        <x:v>0</x:v>
      </x:c>
      <x:c r="I129" s="6" t="n">
        <x:f>N128</x:f>
        <x:v>0</x:v>
      </x:c>
      <x:c r="J129" s="6" t="n">
        <x:f>ROUND(I129*'Debt strategy'!$D$10/12,2)</x:f>
        <x:v>0</x:v>
      </x:c>
      <x:c r="K129" s="6" t="n">
        <x:f>MIN(I129+J129,'Debt strategy'!$E$10)</x:f>
        <x:v>0</x:v>
      </x:c>
      <x:c r="L129" s="27" t="n">
        <x:f>IF(I129+J129-K129&lt;=0,99,1+SUM(IF(AND(C129+D129-E129&gt;0,OR(C129+D129-E129&lt;I129+J129-K129,AND(C129+D129-E129=I129+J129-K129,0&lt;1))),1,0),IF(AND(O129+P129-Q129&gt;0,OR(O129+P129-Q129&lt;I129+J129-K129,AND(O129+P129-Q129=I129+J129-K129,2&lt;1))),1,0),IF(AND(U129+V129-W129&gt;0,OR(U129+V129-W129&lt;I129+J129-K129,AND(U129+V129-W129=I129+J129-K129,3&lt;1))),1,0),IF(AND(AA129+AB129-AC129&gt;0,OR(AA129+AB129-AC129&lt;I129+J129-K129,AND(AA129+AB129-AC129=I129+J129-K129,4&lt;1))),1,0)))</x:f>
        <x:v>99</x:v>
      </x:c>
      <x:c r="M129" s="6" t="n">
        <x:f>IF('Debt strategy'!$C$16&gt;0,0,MIN(I129+J129-K129,MAX(0,'Debt strategy'!$C$5-SUM(E129,K129,Q129,W129,AC129)-SUM(IF(F129&lt;L129,C129+D129-E129,0),IF(R129&lt;L129,O129+P129-Q129,0),IF(X129&lt;L129,U129+V129-W129,0),IF(AD129&lt;L129,AA129+AB129-AC129,0)))))</x:f>
        <x:v>0</x:v>
      </x:c>
      <x:c r="N129" s="6" t="n">
        <x:f>ROUND(MAX(0,I129+J129-K129-M129),2)</x:f>
        <x:v>0</x:v>
      </x:c>
      <x:c r="O129" s="6" t="n">
        <x:f>T128</x:f>
        <x:v>0</x:v>
      </x:c>
      <x:c r="P129" s="6" t="n">
        <x:f>ROUND(O129*'Debt strategy'!$D$11/12,2)</x:f>
        <x:v>0</x:v>
      </x:c>
      <x:c r="Q129" s="6" t="n">
        <x:f>MIN(O129+P129,'Debt strategy'!$E$11)</x:f>
        <x:v>0</x:v>
      </x:c>
      <x:c r="R129" s="27" t="n">
        <x:f>IF(O129+P129-Q129&lt;=0,99,1+SUM(IF(AND(C129+D129-E129&gt;0,OR(C129+D129-E129&lt;O129+P129-Q129,AND(C129+D129-E129=O129+P129-Q129,0&lt;2))),1,0),IF(AND(I129+J129-K129&gt;0,OR(I129+J129-K129&lt;O129+P129-Q129,AND(I129+J129-K129=O129+P129-Q129,1&lt;2))),1,0),IF(AND(U129+V129-W129&gt;0,OR(U129+V129-W129&lt;O129+P129-Q129,AND(U129+V129-W129=O129+P129-Q129,3&lt;2))),1,0),IF(AND(AA129+AB129-AC129&gt;0,OR(AA129+AB129-AC129&lt;O129+P129-Q129,AND(AA129+AB129-AC129=O129+P129-Q129,4&lt;2))),1,0)))</x:f>
        <x:v>99</x:v>
      </x:c>
      <x:c r="S129" s="6" t="n">
        <x:f>IF('Debt strategy'!$C$16&gt;0,0,MIN(O129+P129-Q129,MAX(0,'Debt strategy'!$C$5-SUM(E129,K129,Q129,W129,AC129)-SUM(IF(F129&lt;R129,C129+D129-E129,0),IF(L129&lt;R129,I129+J129-K129,0),IF(X129&lt;R129,U129+V129-W129,0),IF(AD129&lt;R129,AA129+AB129-AC129,0)))))</x:f>
        <x:v>0</x:v>
      </x:c>
      <x:c r="T129" s="6" t="n">
        <x:f>ROUND(MAX(0,O129+P129-Q129-S129),2)</x:f>
        <x:v>0</x:v>
      </x:c>
      <x:c r="U129" s="6" t="n">
        <x:f>Z128</x:f>
        <x:v>0</x:v>
      </x:c>
      <x:c r="V129" s="6" t="n">
        <x:f>ROUND(U129*'Debt strategy'!$D$12/12,2)</x:f>
        <x:v>0</x:v>
      </x:c>
      <x:c r="W129" s="6" t="n">
        <x:f>MIN(U129+V129,'Debt strategy'!$E$12)</x:f>
        <x:v>0</x:v>
      </x:c>
      <x:c r="X129" s="27" t="n">
        <x:f>IF(U129+V129-W129&lt;=0,99,1+SUM(IF(AND(C129+D129-E129&gt;0,OR(C129+D129-E129&lt;U129+V129-W129,AND(C129+D129-E129=U129+V129-W129,0&lt;3))),1,0),IF(AND(I129+J129-K129&gt;0,OR(I129+J129-K129&lt;U129+V129-W129,AND(I129+J129-K129=U129+V129-W129,1&lt;3))),1,0),IF(AND(O129+P129-Q129&gt;0,OR(O129+P129-Q129&lt;U129+V129-W129,AND(O129+P129-Q129=U129+V129-W129,2&lt;3))),1,0),IF(AND(AA129+AB129-AC129&gt;0,OR(AA129+AB129-AC129&lt;U129+V129-W129,AND(AA129+AB129-AC129=U129+V129-W129,4&lt;3))),1,0)))</x:f>
        <x:v>99</x:v>
      </x:c>
      <x:c r="Y129" s="6" t="n">
        <x:f>IF('Debt strategy'!$C$16&gt;0,0,MIN(U129+V129-W129,MAX(0,'Debt strategy'!$C$5-SUM(E129,K129,Q129,W129,AC129)-SUM(IF(F129&lt;X129,C129+D129-E129,0),IF(L129&lt;X129,I129+J129-K129,0),IF(R129&lt;X129,O129+P129-Q129,0),IF(AD129&lt;X129,AA129+AB129-AC129,0)))))</x:f>
        <x:v>0</x:v>
      </x:c>
      <x:c r="Z129" s="6" t="n">
        <x:f>ROUND(MAX(0,U129+V129-W129-Y129),2)</x:f>
        <x:v>0</x:v>
      </x:c>
      <x:c r="AA129" s="6" t="n">
        <x:f>AF128</x:f>
        <x:v>0</x:v>
      </x:c>
      <x:c r="AB129" s="6" t="n">
        <x:f>ROUND(AA129*'Debt strategy'!$D$13/12,2)</x:f>
        <x:v>0</x:v>
      </x:c>
      <x:c r="AC129" s="6" t="n">
        <x:f>MIN(AA129+AB129,'Debt strategy'!$E$13)</x:f>
        <x:v>0</x:v>
      </x:c>
      <x:c r="AD129" s="27" t="n">
        <x:f>IF(AA129+AB129-AC129&lt;=0,99,1+SUM(IF(AND(C129+D129-E129&gt;0,OR(C129+D129-E129&lt;AA129+AB129-AC129,AND(C129+D129-E129=AA129+AB129-AC129,0&lt;4))),1,0),IF(AND(I129+J129-K129&gt;0,OR(I129+J129-K129&lt;AA129+AB129-AC129,AND(I129+J129-K129=AA129+AB129-AC129,1&lt;4))),1,0),IF(AND(O129+P129-Q129&gt;0,OR(O129+P129-Q129&lt;AA129+AB129-AC129,AND(O129+P129-Q129=AA129+AB129-AC129,2&lt;4))),1,0),IF(AND(U129+V129-W129&gt;0,OR(U129+V129-W129&lt;AA129+AB129-AC129,AND(U129+V129-W129=AA129+AB129-AC129,3&lt;4))),1,0)))</x:f>
        <x:v>99</x:v>
      </x:c>
      <x:c r="AE129" s="6" t="n">
        <x:f>IF('Debt strategy'!$C$16&gt;0,0,MIN(AA129+AB129-AC129,MAX(0,'Debt strategy'!$C$5-SUM(E129,K129,Q129,W129,AC129)-SUM(IF(F129&lt;AD129,C129+D129-E129,0),IF(L129&lt;AD129,I129+J129-K129,0),IF(R129&lt;AD129,O129+P129-Q129,0),IF(X129&lt;AD129,U129+V129-W129,0)))))</x:f>
        <x:v>0</x:v>
      </x:c>
      <x:c r="AF129" s="6" t="n">
        <x:f>ROUND(MAX(0,AA129+AB129-AC129-AE129),2)</x:f>
        <x:v>0</x:v>
      </x:c>
      <x:c r="AG129" s="6" t="n">
        <x:f>SUM(H129,N129,T129,Z129,AF129)</x:f>
        <x:v>0</x:v>
      </x:c>
      <x:c r="AH129" s="6" t="n">
        <x:f>SUM(D129,J129,P129,V129,AB129)+AH128</x:f>
        <x:v>1353.9499999999996</x:v>
      </x:c>
      <x:c r="AI129" s="2"/>
    </x:row>
    <x:row r="130" ht="23" customHeight="1">
      <x:c r="B130" s="2" t="n">
        <x:f>122</x:f>
        <x:v>122</x:v>
      </x:c>
      <x:c r="C130" s="6" t="n">
        <x:f>H129</x:f>
        <x:v>0</x:v>
      </x:c>
      <x:c r="D130" s="6" t="n">
        <x:f>ROUND(C130*'Debt strategy'!$D$9/12,2)</x:f>
        <x:v>0</x:v>
      </x:c>
      <x:c r="E130" s="6" t="n">
        <x:f>MIN(C130+D130,'Debt strategy'!$E$9)</x:f>
        <x:v>0</x:v>
      </x:c>
      <x:c r="F130" s="27" t="n">
        <x:f>IF(C130+D130-E130&lt;=0,99,1+SUM(IF(AND(I130+J130-K130&gt;0,OR(I130+J130-K130&lt;C130+D130-E130,AND(I130+J130-K130=C130+D130-E130,1&lt;0))),1,0),IF(AND(O130+P130-Q130&gt;0,OR(O130+P130-Q130&lt;C130+D130-E130,AND(O130+P130-Q130=C130+D130-E130,2&lt;0))),1,0),IF(AND(U130+V130-W130&gt;0,OR(U130+V130-W130&lt;C130+D130-E130,AND(U130+V130-W130=C130+D130-E130,3&lt;0))),1,0),IF(AND(AA130+AB130-AC130&gt;0,OR(AA130+AB130-AC130&lt;C130+D130-E130,AND(AA130+AB130-AC130=C130+D130-E130,4&lt;0))),1,0)))</x:f>
        <x:v>99</x:v>
      </x:c>
      <x:c r="G130" s="6" t="n">
        <x:f>IF('Debt strategy'!$C$16&gt;0,0,MIN(C130+D130-E130,MAX(0,'Debt strategy'!$C$5-SUM(E130,K130,Q130,W130,AC130)-SUM(IF(L130&lt;F130,I130+J130-K130,0),IF(R130&lt;F130,O130+P130-Q130,0),IF(X130&lt;F130,U130+V130-W130,0),IF(AD130&lt;F130,AA130+AB130-AC130,0)))))</x:f>
        <x:v>0</x:v>
      </x:c>
      <x:c r="H130" s="6" t="n">
        <x:f>ROUND(MAX(0,C130+D130-E130-G130),2)</x:f>
        <x:v>0</x:v>
      </x:c>
      <x:c r="I130" s="6" t="n">
        <x:f>N129</x:f>
        <x:v>0</x:v>
      </x:c>
      <x:c r="J130" s="6" t="n">
        <x:f>ROUND(I130*'Debt strategy'!$D$10/12,2)</x:f>
        <x:v>0</x:v>
      </x:c>
      <x:c r="K130" s="6" t="n">
        <x:f>MIN(I130+J130,'Debt strategy'!$E$10)</x:f>
        <x:v>0</x:v>
      </x:c>
      <x:c r="L130" s="27" t="n">
        <x:f>IF(I130+J130-K130&lt;=0,99,1+SUM(IF(AND(C130+D130-E130&gt;0,OR(C130+D130-E130&lt;I130+J130-K130,AND(C130+D130-E130=I130+J130-K130,0&lt;1))),1,0),IF(AND(O130+P130-Q130&gt;0,OR(O130+P130-Q130&lt;I130+J130-K130,AND(O130+P130-Q130=I130+J130-K130,2&lt;1))),1,0),IF(AND(U130+V130-W130&gt;0,OR(U130+V130-W130&lt;I130+J130-K130,AND(U130+V130-W130=I130+J130-K130,3&lt;1))),1,0),IF(AND(AA130+AB130-AC130&gt;0,OR(AA130+AB130-AC130&lt;I130+J130-K130,AND(AA130+AB130-AC130=I130+J130-K130,4&lt;1))),1,0)))</x:f>
        <x:v>99</x:v>
      </x:c>
      <x:c r="M130" s="6" t="n">
        <x:f>IF('Debt strategy'!$C$16&gt;0,0,MIN(I130+J130-K130,MAX(0,'Debt strategy'!$C$5-SUM(E130,K130,Q130,W130,AC130)-SUM(IF(F130&lt;L130,C130+D130-E130,0),IF(R130&lt;L130,O130+P130-Q130,0),IF(X130&lt;L130,U130+V130-W130,0),IF(AD130&lt;L130,AA130+AB130-AC130,0)))))</x:f>
        <x:v>0</x:v>
      </x:c>
      <x:c r="N130" s="6" t="n">
        <x:f>ROUND(MAX(0,I130+J130-K130-M130),2)</x:f>
        <x:v>0</x:v>
      </x:c>
      <x:c r="O130" s="6" t="n">
        <x:f>T129</x:f>
        <x:v>0</x:v>
      </x:c>
      <x:c r="P130" s="6" t="n">
        <x:f>ROUND(O130*'Debt strategy'!$D$11/12,2)</x:f>
        <x:v>0</x:v>
      </x:c>
      <x:c r="Q130" s="6" t="n">
        <x:f>MIN(O130+P130,'Debt strategy'!$E$11)</x:f>
        <x:v>0</x:v>
      </x:c>
      <x:c r="R130" s="27" t="n">
        <x:f>IF(O130+P130-Q130&lt;=0,99,1+SUM(IF(AND(C130+D130-E130&gt;0,OR(C130+D130-E130&lt;O130+P130-Q130,AND(C130+D130-E130=O130+P130-Q130,0&lt;2))),1,0),IF(AND(I130+J130-K130&gt;0,OR(I130+J130-K130&lt;O130+P130-Q130,AND(I130+J130-K130=O130+P130-Q130,1&lt;2))),1,0),IF(AND(U130+V130-W130&gt;0,OR(U130+V130-W130&lt;O130+P130-Q130,AND(U130+V130-W130=O130+P130-Q130,3&lt;2))),1,0),IF(AND(AA130+AB130-AC130&gt;0,OR(AA130+AB130-AC130&lt;O130+P130-Q130,AND(AA130+AB130-AC130=O130+P130-Q130,4&lt;2))),1,0)))</x:f>
        <x:v>99</x:v>
      </x:c>
      <x:c r="S130" s="6" t="n">
        <x:f>IF('Debt strategy'!$C$16&gt;0,0,MIN(O130+P130-Q130,MAX(0,'Debt strategy'!$C$5-SUM(E130,K130,Q130,W130,AC130)-SUM(IF(F130&lt;R130,C130+D130-E130,0),IF(L130&lt;R130,I130+J130-K130,0),IF(X130&lt;R130,U130+V130-W130,0),IF(AD130&lt;R130,AA130+AB130-AC130,0)))))</x:f>
        <x:v>0</x:v>
      </x:c>
      <x:c r="T130" s="6" t="n">
        <x:f>ROUND(MAX(0,O130+P130-Q130-S130),2)</x:f>
        <x:v>0</x:v>
      </x:c>
      <x:c r="U130" s="6" t="n">
        <x:f>Z129</x:f>
        <x:v>0</x:v>
      </x:c>
      <x:c r="V130" s="6" t="n">
        <x:f>ROUND(U130*'Debt strategy'!$D$12/12,2)</x:f>
        <x:v>0</x:v>
      </x:c>
      <x:c r="W130" s="6" t="n">
        <x:f>MIN(U130+V130,'Debt strategy'!$E$12)</x:f>
        <x:v>0</x:v>
      </x:c>
      <x:c r="X130" s="27" t="n">
        <x:f>IF(U130+V130-W130&lt;=0,99,1+SUM(IF(AND(C130+D130-E130&gt;0,OR(C130+D130-E130&lt;U130+V130-W130,AND(C130+D130-E130=U130+V130-W130,0&lt;3))),1,0),IF(AND(I130+J130-K130&gt;0,OR(I130+J130-K130&lt;U130+V130-W130,AND(I130+J130-K130=U130+V130-W130,1&lt;3))),1,0),IF(AND(O130+P130-Q130&gt;0,OR(O130+P130-Q130&lt;U130+V130-W130,AND(O130+P130-Q130=U130+V130-W130,2&lt;3))),1,0),IF(AND(AA130+AB130-AC130&gt;0,OR(AA130+AB130-AC130&lt;U130+V130-W130,AND(AA130+AB130-AC130=U130+V130-W130,4&lt;3))),1,0)))</x:f>
        <x:v>99</x:v>
      </x:c>
      <x:c r="Y130" s="6" t="n">
        <x:f>IF('Debt strategy'!$C$16&gt;0,0,MIN(U130+V130-W130,MAX(0,'Debt strategy'!$C$5-SUM(E130,K130,Q130,W130,AC130)-SUM(IF(F130&lt;X130,C130+D130-E130,0),IF(L130&lt;X130,I130+J130-K130,0),IF(R130&lt;X130,O130+P130-Q130,0),IF(AD130&lt;X130,AA130+AB130-AC130,0)))))</x:f>
        <x:v>0</x:v>
      </x:c>
      <x:c r="Z130" s="6" t="n">
        <x:f>ROUND(MAX(0,U130+V130-W130-Y130),2)</x:f>
        <x:v>0</x:v>
      </x:c>
      <x:c r="AA130" s="6" t="n">
        <x:f>AF129</x:f>
        <x:v>0</x:v>
      </x:c>
      <x:c r="AB130" s="6" t="n">
        <x:f>ROUND(AA130*'Debt strategy'!$D$13/12,2)</x:f>
        <x:v>0</x:v>
      </x:c>
      <x:c r="AC130" s="6" t="n">
        <x:f>MIN(AA130+AB130,'Debt strategy'!$E$13)</x:f>
        <x:v>0</x:v>
      </x:c>
      <x:c r="AD130" s="27" t="n">
        <x:f>IF(AA130+AB130-AC130&lt;=0,99,1+SUM(IF(AND(C130+D130-E130&gt;0,OR(C130+D130-E130&lt;AA130+AB130-AC130,AND(C130+D130-E130=AA130+AB130-AC130,0&lt;4))),1,0),IF(AND(I130+J130-K130&gt;0,OR(I130+J130-K130&lt;AA130+AB130-AC130,AND(I130+J130-K130=AA130+AB130-AC130,1&lt;4))),1,0),IF(AND(O130+P130-Q130&gt;0,OR(O130+P130-Q130&lt;AA130+AB130-AC130,AND(O130+P130-Q130=AA130+AB130-AC130,2&lt;4))),1,0),IF(AND(U130+V130-W130&gt;0,OR(U130+V130-W130&lt;AA130+AB130-AC130,AND(U130+V130-W130=AA130+AB130-AC130,3&lt;4))),1,0)))</x:f>
        <x:v>99</x:v>
      </x:c>
      <x:c r="AE130" s="6" t="n">
        <x:f>IF('Debt strategy'!$C$16&gt;0,0,MIN(AA130+AB130-AC130,MAX(0,'Debt strategy'!$C$5-SUM(E130,K130,Q130,W130,AC130)-SUM(IF(F130&lt;AD130,C130+D130-E130,0),IF(L130&lt;AD130,I130+J130-K130,0),IF(R130&lt;AD130,O130+P130-Q130,0),IF(X130&lt;AD130,U130+V130-W130,0)))))</x:f>
        <x:v>0</x:v>
      </x:c>
      <x:c r="AF130" s="6" t="n">
        <x:f>ROUND(MAX(0,AA130+AB130-AC130-AE130),2)</x:f>
        <x:v>0</x:v>
      </x:c>
      <x:c r="AG130" s="6" t="n">
        <x:f>SUM(H130,N130,T130,Z130,AF130)</x:f>
        <x:v>0</x:v>
      </x:c>
      <x:c r="AH130" s="6" t="n">
        <x:f>SUM(D130,J130,P130,V130,AB130)+AH129</x:f>
        <x:v>1353.9499999999996</x:v>
      </x:c>
      <x:c r="AI130" s="2"/>
    </x:row>
    <x:row r="131" ht="23" customHeight="1">
      <x:c r="B131" s="2" t="n">
        <x:f>123</x:f>
        <x:v>123</x:v>
      </x:c>
      <x:c r="C131" s="6" t="n">
        <x:f>H130</x:f>
        <x:v>0</x:v>
      </x:c>
      <x:c r="D131" s="6" t="n">
        <x:f>ROUND(C131*'Debt strategy'!$D$9/12,2)</x:f>
        <x:v>0</x:v>
      </x:c>
      <x:c r="E131" s="6" t="n">
        <x:f>MIN(C131+D131,'Debt strategy'!$E$9)</x:f>
        <x:v>0</x:v>
      </x:c>
      <x:c r="F131" s="27" t="n">
        <x:f>IF(C131+D131-E131&lt;=0,99,1+SUM(IF(AND(I131+J131-K131&gt;0,OR(I131+J131-K131&lt;C131+D131-E131,AND(I131+J131-K131=C131+D131-E131,1&lt;0))),1,0),IF(AND(O131+P131-Q131&gt;0,OR(O131+P131-Q131&lt;C131+D131-E131,AND(O131+P131-Q131=C131+D131-E131,2&lt;0))),1,0),IF(AND(U131+V131-W131&gt;0,OR(U131+V131-W131&lt;C131+D131-E131,AND(U131+V131-W131=C131+D131-E131,3&lt;0))),1,0),IF(AND(AA131+AB131-AC131&gt;0,OR(AA131+AB131-AC131&lt;C131+D131-E131,AND(AA131+AB131-AC131=C131+D131-E131,4&lt;0))),1,0)))</x:f>
        <x:v>99</x:v>
      </x:c>
      <x:c r="G131" s="6" t="n">
        <x:f>IF('Debt strategy'!$C$16&gt;0,0,MIN(C131+D131-E131,MAX(0,'Debt strategy'!$C$5-SUM(E131,K131,Q131,W131,AC131)-SUM(IF(L131&lt;F131,I131+J131-K131,0),IF(R131&lt;F131,O131+P131-Q131,0),IF(X131&lt;F131,U131+V131-W131,0),IF(AD131&lt;F131,AA131+AB131-AC131,0)))))</x:f>
        <x:v>0</x:v>
      </x:c>
      <x:c r="H131" s="6" t="n">
        <x:f>ROUND(MAX(0,C131+D131-E131-G131),2)</x:f>
        <x:v>0</x:v>
      </x:c>
      <x:c r="I131" s="6" t="n">
        <x:f>N130</x:f>
        <x:v>0</x:v>
      </x:c>
      <x:c r="J131" s="6" t="n">
        <x:f>ROUND(I131*'Debt strategy'!$D$10/12,2)</x:f>
        <x:v>0</x:v>
      </x:c>
      <x:c r="K131" s="6" t="n">
        <x:f>MIN(I131+J131,'Debt strategy'!$E$10)</x:f>
        <x:v>0</x:v>
      </x:c>
      <x:c r="L131" s="27" t="n">
        <x:f>IF(I131+J131-K131&lt;=0,99,1+SUM(IF(AND(C131+D131-E131&gt;0,OR(C131+D131-E131&lt;I131+J131-K131,AND(C131+D131-E131=I131+J131-K131,0&lt;1))),1,0),IF(AND(O131+P131-Q131&gt;0,OR(O131+P131-Q131&lt;I131+J131-K131,AND(O131+P131-Q131=I131+J131-K131,2&lt;1))),1,0),IF(AND(U131+V131-W131&gt;0,OR(U131+V131-W131&lt;I131+J131-K131,AND(U131+V131-W131=I131+J131-K131,3&lt;1))),1,0),IF(AND(AA131+AB131-AC131&gt;0,OR(AA131+AB131-AC131&lt;I131+J131-K131,AND(AA131+AB131-AC131=I131+J131-K131,4&lt;1))),1,0)))</x:f>
        <x:v>99</x:v>
      </x:c>
      <x:c r="M131" s="6" t="n">
        <x:f>IF('Debt strategy'!$C$16&gt;0,0,MIN(I131+J131-K131,MAX(0,'Debt strategy'!$C$5-SUM(E131,K131,Q131,W131,AC131)-SUM(IF(F131&lt;L131,C131+D131-E131,0),IF(R131&lt;L131,O131+P131-Q131,0),IF(X131&lt;L131,U131+V131-W131,0),IF(AD131&lt;L131,AA131+AB131-AC131,0)))))</x:f>
        <x:v>0</x:v>
      </x:c>
      <x:c r="N131" s="6" t="n">
        <x:f>ROUND(MAX(0,I131+J131-K131-M131),2)</x:f>
        <x:v>0</x:v>
      </x:c>
      <x:c r="O131" s="6" t="n">
        <x:f>T130</x:f>
        <x:v>0</x:v>
      </x:c>
      <x:c r="P131" s="6" t="n">
        <x:f>ROUND(O131*'Debt strategy'!$D$11/12,2)</x:f>
        <x:v>0</x:v>
      </x:c>
      <x:c r="Q131" s="6" t="n">
        <x:f>MIN(O131+P131,'Debt strategy'!$E$11)</x:f>
        <x:v>0</x:v>
      </x:c>
      <x:c r="R131" s="27" t="n">
        <x:f>IF(O131+P131-Q131&lt;=0,99,1+SUM(IF(AND(C131+D131-E131&gt;0,OR(C131+D131-E131&lt;O131+P131-Q131,AND(C131+D131-E131=O131+P131-Q131,0&lt;2))),1,0),IF(AND(I131+J131-K131&gt;0,OR(I131+J131-K131&lt;O131+P131-Q131,AND(I131+J131-K131=O131+P131-Q131,1&lt;2))),1,0),IF(AND(U131+V131-W131&gt;0,OR(U131+V131-W131&lt;O131+P131-Q131,AND(U131+V131-W131=O131+P131-Q131,3&lt;2))),1,0),IF(AND(AA131+AB131-AC131&gt;0,OR(AA131+AB131-AC131&lt;O131+P131-Q131,AND(AA131+AB131-AC131=O131+P131-Q131,4&lt;2))),1,0)))</x:f>
        <x:v>99</x:v>
      </x:c>
      <x:c r="S131" s="6" t="n">
        <x:f>IF('Debt strategy'!$C$16&gt;0,0,MIN(O131+P131-Q131,MAX(0,'Debt strategy'!$C$5-SUM(E131,K131,Q131,W131,AC131)-SUM(IF(F131&lt;R131,C131+D131-E131,0),IF(L131&lt;R131,I131+J131-K131,0),IF(X131&lt;R131,U131+V131-W131,0),IF(AD131&lt;R131,AA131+AB131-AC131,0)))))</x:f>
        <x:v>0</x:v>
      </x:c>
      <x:c r="T131" s="6" t="n">
        <x:f>ROUND(MAX(0,O131+P131-Q131-S131),2)</x:f>
        <x:v>0</x:v>
      </x:c>
      <x:c r="U131" s="6" t="n">
        <x:f>Z130</x:f>
        <x:v>0</x:v>
      </x:c>
      <x:c r="V131" s="6" t="n">
        <x:f>ROUND(U131*'Debt strategy'!$D$12/12,2)</x:f>
        <x:v>0</x:v>
      </x:c>
      <x:c r="W131" s="6" t="n">
        <x:f>MIN(U131+V131,'Debt strategy'!$E$12)</x:f>
        <x:v>0</x:v>
      </x:c>
      <x:c r="X131" s="27" t="n">
        <x:f>IF(U131+V131-W131&lt;=0,99,1+SUM(IF(AND(C131+D131-E131&gt;0,OR(C131+D131-E131&lt;U131+V131-W131,AND(C131+D131-E131=U131+V131-W131,0&lt;3))),1,0),IF(AND(I131+J131-K131&gt;0,OR(I131+J131-K131&lt;U131+V131-W131,AND(I131+J131-K131=U131+V131-W131,1&lt;3))),1,0),IF(AND(O131+P131-Q131&gt;0,OR(O131+P131-Q131&lt;U131+V131-W131,AND(O131+P131-Q131=U131+V131-W131,2&lt;3))),1,0),IF(AND(AA131+AB131-AC131&gt;0,OR(AA131+AB131-AC131&lt;U131+V131-W131,AND(AA131+AB131-AC131=U131+V131-W131,4&lt;3))),1,0)))</x:f>
        <x:v>99</x:v>
      </x:c>
      <x:c r="Y131" s="6" t="n">
        <x:f>IF('Debt strategy'!$C$16&gt;0,0,MIN(U131+V131-W131,MAX(0,'Debt strategy'!$C$5-SUM(E131,K131,Q131,W131,AC131)-SUM(IF(F131&lt;X131,C131+D131-E131,0),IF(L131&lt;X131,I131+J131-K131,0),IF(R131&lt;X131,O131+P131-Q131,0),IF(AD131&lt;X131,AA131+AB131-AC131,0)))))</x:f>
        <x:v>0</x:v>
      </x:c>
      <x:c r="Z131" s="6" t="n">
        <x:f>ROUND(MAX(0,U131+V131-W131-Y131),2)</x:f>
        <x:v>0</x:v>
      </x:c>
      <x:c r="AA131" s="6" t="n">
        <x:f>AF130</x:f>
        <x:v>0</x:v>
      </x:c>
      <x:c r="AB131" s="6" t="n">
        <x:f>ROUND(AA131*'Debt strategy'!$D$13/12,2)</x:f>
        <x:v>0</x:v>
      </x:c>
      <x:c r="AC131" s="6" t="n">
        <x:f>MIN(AA131+AB131,'Debt strategy'!$E$13)</x:f>
        <x:v>0</x:v>
      </x:c>
      <x:c r="AD131" s="27" t="n">
        <x:f>IF(AA131+AB131-AC131&lt;=0,99,1+SUM(IF(AND(C131+D131-E131&gt;0,OR(C131+D131-E131&lt;AA131+AB131-AC131,AND(C131+D131-E131=AA131+AB131-AC131,0&lt;4))),1,0),IF(AND(I131+J131-K131&gt;0,OR(I131+J131-K131&lt;AA131+AB131-AC131,AND(I131+J131-K131=AA131+AB131-AC131,1&lt;4))),1,0),IF(AND(O131+P131-Q131&gt;0,OR(O131+P131-Q131&lt;AA131+AB131-AC131,AND(O131+P131-Q131=AA131+AB131-AC131,2&lt;4))),1,0),IF(AND(U131+V131-W131&gt;0,OR(U131+V131-W131&lt;AA131+AB131-AC131,AND(U131+V131-W131=AA131+AB131-AC131,3&lt;4))),1,0)))</x:f>
        <x:v>99</x:v>
      </x:c>
      <x:c r="AE131" s="6" t="n">
        <x:f>IF('Debt strategy'!$C$16&gt;0,0,MIN(AA131+AB131-AC131,MAX(0,'Debt strategy'!$C$5-SUM(E131,K131,Q131,W131,AC131)-SUM(IF(F131&lt;AD131,C131+D131-E131,0),IF(L131&lt;AD131,I131+J131-K131,0),IF(R131&lt;AD131,O131+P131-Q131,0),IF(X131&lt;AD131,U131+V131-W131,0)))))</x:f>
        <x:v>0</x:v>
      </x:c>
      <x:c r="AF131" s="6" t="n">
        <x:f>ROUND(MAX(0,AA131+AB131-AC131-AE131),2)</x:f>
        <x:v>0</x:v>
      </x:c>
      <x:c r="AG131" s="6" t="n">
        <x:f>SUM(H131,N131,T131,Z131,AF131)</x:f>
        <x:v>0</x:v>
      </x:c>
      <x:c r="AH131" s="6" t="n">
        <x:f>SUM(D131,J131,P131,V131,AB131)+AH130</x:f>
        <x:v>1353.9499999999996</x:v>
      </x:c>
      <x:c r="AI131" s="2"/>
    </x:row>
    <x:row r="132" ht="23" customHeight="1">
      <x:c r="B132" s="2" t="n">
        <x:f>124</x:f>
        <x:v>124</x:v>
      </x:c>
      <x:c r="C132" s="6" t="n">
        <x:f>H131</x:f>
        <x:v>0</x:v>
      </x:c>
      <x:c r="D132" s="6" t="n">
        <x:f>ROUND(C132*'Debt strategy'!$D$9/12,2)</x:f>
        <x:v>0</x:v>
      </x:c>
      <x:c r="E132" s="6" t="n">
        <x:f>MIN(C132+D132,'Debt strategy'!$E$9)</x:f>
        <x:v>0</x:v>
      </x:c>
      <x:c r="F132" s="27" t="n">
        <x:f>IF(C132+D132-E132&lt;=0,99,1+SUM(IF(AND(I132+J132-K132&gt;0,OR(I132+J132-K132&lt;C132+D132-E132,AND(I132+J132-K132=C132+D132-E132,1&lt;0))),1,0),IF(AND(O132+P132-Q132&gt;0,OR(O132+P132-Q132&lt;C132+D132-E132,AND(O132+P132-Q132=C132+D132-E132,2&lt;0))),1,0),IF(AND(U132+V132-W132&gt;0,OR(U132+V132-W132&lt;C132+D132-E132,AND(U132+V132-W132=C132+D132-E132,3&lt;0))),1,0),IF(AND(AA132+AB132-AC132&gt;0,OR(AA132+AB132-AC132&lt;C132+D132-E132,AND(AA132+AB132-AC132=C132+D132-E132,4&lt;0))),1,0)))</x:f>
        <x:v>99</x:v>
      </x:c>
      <x:c r="G132" s="6" t="n">
        <x:f>IF('Debt strategy'!$C$16&gt;0,0,MIN(C132+D132-E132,MAX(0,'Debt strategy'!$C$5-SUM(E132,K132,Q132,W132,AC132)-SUM(IF(L132&lt;F132,I132+J132-K132,0),IF(R132&lt;F132,O132+P132-Q132,0),IF(X132&lt;F132,U132+V132-W132,0),IF(AD132&lt;F132,AA132+AB132-AC132,0)))))</x:f>
        <x:v>0</x:v>
      </x:c>
      <x:c r="H132" s="6" t="n">
        <x:f>ROUND(MAX(0,C132+D132-E132-G132),2)</x:f>
        <x:v>0</x:v>
      </x:c>
      <x:c r="I132" s="6" t="n">
        <x:f>N131</x:f>
        <x:v>0</x:v>
      </x:c>
      <x:c r="J132" s="6" t="n">
        <x:f>ROUND(I132*'Debt strategy'!$D$10/12,2)</x:f>
        <x:v>0</x:v>
      </x:c>
      <x:c r="K132" s="6" t="n">
        <x:f>MIN(I132+J132,'Debt strategy'!$E$10)</x:f>
        <x:v>0</x:v>
      </x:c>
      <x:c r="L132" s="27" t="n">
        <x:f>IF(I132+J132-K132&lt;=0,99,1+SUM(IF(AND(C132+D132-E132&gt;0,OR(C132+D132-E132&lt;I132+J132-K132,AND(C132+D132-E132=I132+J132-K132,0&lt;1))),1,0),IF(AND(O132+P132-Q132&gt;0,OR(O132+P132-Q132&lt;I132+J132-K132,AND(O132+P132-Q132=I132+J132-K132,2&lt;1))),1,0),IF(AND(U132+V132-W132&gt;0,OR(U132+V132-W132&lt;I132+J132-K132,AND(U132+V132-W132=I132+J132-K132,3&lt;1))),1,0),IF(AND(AA132+AB132-AC132&gt;0,OR(AA132+AB132-AC132&lt;I132+J132-K132,AND(AA132+AB132-AC132=I132+J132-K132,4&lt;1))),1,0)))</x:f>
        <x:v>99</x:v>
      </x:c>
      <x:c r="M132" s="6" t="n">
        <x:f>IF('Debt strategy'!$C$16&gt;0,0,MIN(I132+J132-K132,MAX(0,'Debt strategy'!$C$5-SUM(E132,K132,Q132,W132,AC132)-SUM(IF(F132&lt;L132,C132+D132-E132,0),IF(R132&lt;L132,O132+P132-Q132,0),IF(X132&lt;L132,U132+V132-W132,0),IF(AD132&lt;L132,AA132+AB132-AC132,0)))))</x:f>
        <x:v>0</x:v>
      </x:c>
      <x:c r="N132" s="6" t="n">
        <x:f>ROUND(MAX(0,I132+J132-K132-M132),2)</x:f>
        <x:v>0</x:v>
      </x:c>
      <x:c r="O132" s="6" t="n">
        <x:f>T131</x:f>
        <x:v>0</x:v>
      </x:c>
      <x:c r="P132" s="6" t="n">
        <x:f>ROUND(O132*'Debt strategy'!$D$11/12,2)</x:f>
        <x:v>0</x:v>
      </x:c>
      <x:c r="Q132" s="6" t="n">
        <x:f>MIN(O132+P132,'Debt strategy'!$E$11)</x:f>
        <x:v>0</x:v>
      </x:c>
      <x:c r="R132" s="27" t="n">
        <x:f>IF(O132+P132-Q132&lt;=0,99,1+SUM(IF(AND(C132+D132-E132&gt;0,OR(C132+D132-E132&lt;O132+P132-Q132,AND(C132+D132-E132=O132+P132-Q132,0&lt;2))),1,0),IF(AND(I132+J132-K132&gt;0,OR(I132+J132-K132&lt;O132+P132-Q132,AND(I132+J132-K132=O132+P132-Q132,1&lt;2))),1,0),IF(AND(U132+V132-W132&gt;0,OR(U132+V132-W132&lt;O132+P132-Q132,AND(U132+V132-W132=O132+P132-Q132,3&lt;2))),1,0),IF(AND(AA132+AB132-AC132&gt;0,OR(AA132+AB132-AC132&lt;O132+P132-Q132,AND(AA132+AB132-AC132=O132+P132-Q132,4&lt;2))),1,0)))</x:f>
        <x:v>99</x:v>
      </x:c>
      <x:c r="S132" s="6" t="n">
        <x:f>IF('Debt strategy'!$C$16&gt;0,0,MIN(O132+P132-Q132,MAX(0,'Debt strategy'!$C$5-SUM(E132,K132,Q132,W132,AC132)-SUM(IF(F132&lt;R132,C132+D132-E132,0),IF(L132&lt;R132,I132+J132-K132,0),IF(X132&lt;R132,U132+V132-W132,0),IF(AD132&lt;R132,AA132+AB132-AC132,0)))))</x:f>
        <x:v>0</x:v>
      </x:c>
      <x:c r="T132" s="6" t="n">
        <x:f>ROUND(MAX(0,O132+P132-Q132-S132),2)</x:f>
        <x:v>0</x:v>
      </x:c>
      <x:c r="U132" s="6" t="n">
        <x:f>Z131</x:f>
        <x:v>0</x:v>
      </x:c>
      <x:c r="V132" s="6" t="n">
        <x:f>ROUND(U132*'Debt strategy'!$D$12/12,2)</x:f>
        <x:v>0</x:v>
      </x:c>
      <x:c r="W132" s="6" t="n">
        <x:f>MIN(U132+V132,'Debt strategy'!$E$12)</x:f>
        <x:v>0</x:v>
      </x:c>
      <x:c r="X132" s="27" t="n">
        <x:f>IF(U132+V132-W132&lt;=0,99,1+SUM(IF(AND(C132+D132-E132&gt;0,OR(C132+D132-E132&lt;U132+V132-W132,AND(C132+D132-E132=U132+V132-W132,0&lt;3))),1,0),IF(AND(I132+J132-K132&gt;0,OR(I132+J132-K132&lt;U132+V132-W132,AND(I132+J132-K132=U132+V132-W132,1&lt;3))),1,0),IF(AND(O132+P132-Q132&gt;0,OR(O132+P132-Q132&lt;U132+V132-W132,AND(O132+P132-Q132=U132+V132-W132,2&lt;3))),1,0),IF(AND(AA132+AB132-AC132&gt;0,OR(AA132+AB132-AC132&lt;U132+V132-W132,AND(AA132+AB132-AC132=U132+V132-W132,4&lt;3))),1,0)))</x:f>
        <x:v>99</x:v>
      </x:c>
      <x:c r="Y132" s="6" t="n">
        <x:f>IF('Debt strategy'!$C$16&gt;0,0,MIN(U132+V132-W132,MAX(0,'Debt strategy'!$C$5-SUM(E132,K132,Q132,W132,AC132)-SUM(IF(F132&lt;X132,C132+D132-E132,0),IF(L132&lt;X132,I132+J132-K132,0),IF(R132&lt;X132,O132+P132-Q132,0),IF(AD132&lt;X132,AA132+AB132-AC132,0)))))</x:f>
        <x:v>0</x:v>
      </x:c>
      <x:c r="Z132" s="6" t="n">
        <x:f>ROUND(MAX(0,U132+V132-W132-Y132),2)</x:f>
        <x:v>0</x:v>
      </x:c>
      <x:c r="AA132" s="6" t="n">
        <x:f>AF131</x:f>
        <x:v>0</x:v>
      </x:c>
      <x:c r="AB132" s="6" t="n">
        <x:f>ROUND(AA132*'Debt strategy'!$D$13/12,2)</x:f>
        <x:v>0</x:v>
      </x:c>
      <x:c r="AC132" s="6" t="n">
        <x:f>MIN(AA132+AB132,'Debt strategy'!$E$13)</x:f>
        <x:v>0</x:v>
      </x:c>
      <x:c r="AD132" s="27" t="n">
        <x:f>IF(AA132+AB132-AC132&lt;=0,99,1+SUM(IF(AND(C132+D132-E132&gt;0,OR(C132+D132-E132&lt;AA132+AB132-AC132,AND(C132+D132-E132=AA132+AB132-AC132,0&lt;4))),1,0),IF(AND(I132+J132-K132&gt;0,OR(I132+J132-K132&lt;AA132+AB132-AC132,AND(I132+J132-K132=AA132+AB132-AC132,1&lt;4))),1,0),IF(AND(O132+P132-Q132&gt;0,OR(O132+P132-Q132&lt;AA132+AB132-AC132,AND(O132+P132-Q132=AA132+AB132-AC132,2&lt;4))),1,0),IF(AND(U132+V132-W132&gt;0,OR(U132+V132-W132&lt;AA132+AB132-AC132,AND(U132+V132-W132=AA132+AB132-AC132,3&lt;4))),1,0)))</x:f>
        <x:v>99</x:v>
      </x:c>
      <x:c r="AE132" s="6" t="n">
        <x:f>IF('Debt strategy'!$C$16&gt;0,0,MIN(AA132+AB132-AC132,MAX(0,'Debt strategy'!$C$5-SUM(E132,K132,Q132,W132,AC132)-SUM(IF(F132&lt;AD132,C132+D132-E132,0),IF(L132&lt;AD132,I132+J132-K132,0),IF(R132&lt;AD132,O132+P132-Q132,0),IF(X132&lt;AD132,U132+V132-W132,0)))))</x:f>
        <x:v>0</x:v>
      </x:c>
      <x:c r="AF132" s="6" t="n">
        <x:f>ROUND(MAX(0,AA132+AB132-AC132-AE132),2)</x:f>
        <x:v>0</x:v>
      </x:c>
      <x:c r="AG132" s="6" t="n">
        <x:f>SUM(H132,N132,T132,Z132,AF132)</x:f>
        <x:v>0</x:v>
      </x:c>
      <x:c r="AH132" s="6" t="n">
        <x:f>SUM(D132,J132,P132,V132,AB132)+AH131</x:f>
        <x:v>1353.9499999999996</x:v>
      </x:c>
      <x:c r="AI132" s="2"/>
    </x:row>
    <x:row r="133" ht="23" customHeight="1">
      <x:c r="B133" s="2" t="n">
        <x:f>125</x:f>
        <x:v>125</x:v>
      </x:c>
      <x:c r="C133" s="6" t="n">
        <x:f>H132</x:f>
        <x:v>0</x:v>
      </x:c>
      <x:c r="D133" s="6" t="n">
        <x:f>ROUND(C133*'Debt strategy'!$D$9/12,2)</x:f>
        <x:v>0</x:v>
      </x:c>
      <x:c r="E133" s="6" t="n">
        <x:f>MIN(C133+D133,'Debt strategy'!$E$9)</x:f>
        <x:v>0</x:v>
      </x:c>
      <x:c r="F133" s="27" t="n">
        <x:f>IF(C133+D133-E133&lt;=0,99,1+SUM(IF(AND(I133+J133-K133&gt;0,OR(I133+J133-K133&lt;C133+D133-E133,AND(I133+J133-K133=C133+D133-E133,1&lt;0))),1,0),IF(AND(O133+P133-Q133&gt;0,OR(O133+P133-Q133&lt;C133+D133-E133,AND(O133+P133-Q133=C133+D133-E133,2&lt;0))),1,0),IF(AND(U133+V133-W133&gt;0,OR(U133+V133-W133&lt;C133+D133-E133,AND(U133+V133-W133=C133+D133-E133,3&lt;0))),1,0),IF(AND(AA133+AB133-AC133&gt;0,OR(AA133+AB133-AC133&lt;C133+D133-E133,AND(AA133+AB133-AC133=C133+D133-E133,4&lt;0))),1,0)))</x:f>
        <x:v>99</x:v>
      </x:c>
      <x:c r="G133" s="6" t="n">
        <x:f>IF('Debt strategy'!$C$16&gt;0,0,MIN(C133+D133-E133,MAX(0,'Debt strategy'!$C$5-SUM(E133,K133,Q133,W133,AC133)-SUM(IF(L133&lt;F133,I133+J133-K133,0),IF(R133&lt;F133,O133+P133-Q133,0),IF(X133&lt;F133,U133+V133-W133,0),IF(AD133&lt;F133,AA133+AB133-AC133,0)))))</x:f>
        <x:v>0</x:v>
      </x:c>
      <x:c r="H133" s="6" t="n">
        <x:f>ROUND(MAX(0,C133+D133-E133-G133),2)</x:f>
        <x:v>0</x:v>
      </x:c>
      <x:c r="I133" s="6" t="n">
        <x:f>N132</x:f>
        <x:v>0</x:v>
      </x:c>
      <x:c r="J133" s="6" t="n">
        <x:f>ROUND(I133*'Debt strategy'!$D$10/12,2)</x:f>
        <x:v>0</x:v>
      </x:c>
      <x:c r="K133" s="6" t="n">
        <x:f>MIN(I133+J133,'Debt strategy'!$E$10)</x:f>
        <x:v>0</x:v>
      </x:c>
      <x:c r="L133" s="27" t="n">
        <x:f>IF(I133+J133-K133&lt;=0,99,1+SUM(IF(AND(C133+D133-E133&gt;0,OR(C133+D133-E133&lt;I133+J133-K133,AND(C133+D133-E133=I133+J133-K133,0&lt;1))),1,0),IF(AND(O133+P133-Q133&gt;0,OR(O133+P133-Q133&lt;I133+J133-K133,AND(O133+P133-Q133=I133+J133-K133,2&lt;1))),1,0),IF(AND(U133+V133-W133&gt;0,OR(U133+V133-W133&lt;I133+J133-K133,AND(U133+V133-W133=I133+J133-K133,3&lt;1))),1,0),IF(AND(AA133+AB133-AC133&gt;0,OR(AA133+AB133-AC133&lt;I133+J133-K133,AND(AA133+AB133-AC133=I133+J133-K133,4&lt;1))),1,0)))</x:f>
        <x:v>99</x:v>
      </x:c>
      <x:c r="M133" s="6" t="n">
        <x:f>IF('Debt strategy'!$C$16&gt;0,0,MIN(I133+J133-K133,MAX(0,'Debt strategy'!$C$5-SUM(E133,K133,Q133,W133,AC133)-SUM(IF(F133&lt;L133,C133+D133-E133,0),IF(R133&lt;L133,O133+P133-Q133,0),IF(X133&lt;L133,U133+V133-W133,0),IF(AD133&lt;L133,AA133+AB133-AC133,0)))))</x:f>
        <x:v>0</x:v>
      </x:c>
      <x:c r="N133" s="6" t="n">
        <x:f>ROUND(MAX(0,I133+J133-K133-M133),2)</x:f>
        <x:v>0</x:v>
      </x:c>
      <x:c r="O133" s="6" t="n">
        <x:f>T132</x:f>
        <x:v>0</x:v>
      </x:c>
      <x:c r="P133" s="6" t="n">
        <x:f>ROUND(O133*'Debt strategy'!$D$11/12,2)</x:f>
        <x:v>0</x:v>
      </x:c>
      <x:c r="Q133" s="6" t="n">
        <x:f>MIN(O133+P133,'Debt strategy'!$E$11)</x:f>
        <x:v>0</x:v>
      </x:c>
      <x:c r="R133" s="27" t="n">
        <x:f>IF(O133+P133-Q133&lt;=0,99,1+SUM(IF(AND(C133+D133-E133&gt;0,OR(C133+D133-E133&lt;O133+P133-Q133,AND(C133+D133-E133=O133+P133-Q133,0&lt;2))),1,0),IF(AND(I133+J133-K133&gt;0,OR(I133+J133-K133&lt;O133+P133-Q133,AND(I133+J133-K133=O133+P133-Q133,1&lt;2))),1,0),IF(AND(U133+V133-W133&gt;0,OR(U133+V133-W133&lt;O133+P133-Q133,AND(U133+V133-W133=O133+P133-Q133,3&lt;2))),1,0),IF(AND(AA133+AB133-AC133&gt;0,OR(AA133+AB133-AC133&lt;O133+P133-Q133,AND(AA133+AB133-AC133=O133+P133-Q133,4&lt;2))),1,0)))</x:f>
        <x:v>99</x:v>
      </x:c>
      <x:c r="S133" s="6" t="n">
        <x:f>IF('Debt strategy'!$C$16&gt;0,0,MIN(O133+P133-Q133,MAX(0,'Debt strategy'!$C$5-SUM(E133,K133,Q133,W133,AC133)-SUM(IF(F133&lt;R133,C133+D133-E133,0),IF(L133&lt;R133,I133+J133-K133,0),IF(X133&lt;R133,U133+V133-W133,0),IF(AD133&lt;R133,AA133+AB133-AC133,0)))))</x:f>
        <x:v>0</x:v>
      </x:c>
      <x:c r="T133" s="6" t="n">
        <x:f>ROUND(MAX(0,O133+P133-Q133-S133),2)</x:f>
        <x:v>0</x:v>
      </x:c>
      <x:c r="U133" s="6" t="n">
        <x:f>Z132</x:f>
        <x:v>0</x:v>
      </x:c>
      <x:c r="V133" s="6" t="n">
        <x:f>ROUND(U133*'Debt strategy'!$D$12/12,2)</x:f>
        <x:v>0</x:v>
      </x:c>
      <x:c r="W133" s="6" t="n">
        <x:f>MIN(U133+V133,'Debt strategy'!$E$12)</x:f>
        <x:v>0</x:v>
      </x:c>
      <x:c r="X133" s="27" t="n">
        <x:f>IF(U133+V133-W133&lt;=0,99,1+SUM(IF(AND(C133+D133-E133&gt;0,OR(C133+D133-E133&lt;U133+V133-W133,AND(C133+D133-E133=U133+V133-W133,0&lt;3))),1,0),IF(AND(I133+J133-K133&gt;0,OR(I133+J133-K133&lt;U133+V133-W133,AND(I133+J133-K133=U133+V133-W133,1&lt;3))),1,0),IF(AND(O133+P133-Q133&gt;0,OR(O133+P133-Q133&lt;U133+V133-W133,AND(O133+P133-Q133=U133+V133-W133,2&lt;3))),1,0),IF(AND(AA133+AB133-AC133&gt;0,OR(AA133+AB133-AC133&lt;U133+V133-W133,AND(AA133+AB133-AC133=U133+V133-W133,4&lt;3))),1,0)))</x:f>
        <x:v>99</x:v>
      </x:c>
      <x:c r="Y133" s="6" t="n">
        <x:f>IF('Debt strategy'!$C$16&gt;0,0,MIN(U133+V133-W133,MAX(0,'Debt strategy'!$C$5-SUM(E133,K133,Q133,W133,AC133)-SUM(IF(F133&lt;X133,C133+D133-E133,0),IF(L133&lt;X133,I133+J133-K133,0),IF(R133&lt;X133,O133+P133-Q133,0),IF(AD133&lt;X133,AA133+AB133-AC133,0)))))</x:f>
        <x:v>0</x:v>
      </x:c>
      <x:c r="Z133" s="6" t="n">
        <x:f>ROUND(MAX(0,U133+V133-W133-Y133),2)</x:f>
        <x:v>0</x:v>
      </x:c>
      <x:c r="AA133" s="6" t="n">
        <x:f>AF132</x:f>
        <x:v>0</x:v>
      </x:c>
      <x:c r="AB133" s="6" t="n">
        <x:f>ROUND(AA133*'Debt strategy'!$D$13/12,2)</x:f>
        <x:v>0</x:v>
      </x:c>
      <x:c r="AC133" s="6" t="n">
        <x:f>MIN(AA133+AB133,'Debt strategy'!$E$13)</x:f>
        <x:v>0</x:v>
      </x:c>
      <x:c r="AD133" s="27" t="n">
        <x:f>IF(AA133+AB133-AC133&lt;=0,99,1+SUM(IF(AND(C133+D133-E133&gt;0,OR(C133+D133-E133&lt;AA133+AB133-AC133,AND(C133+D133-E133=AA133+AB133-AC133,0&lt;4))),1,0),IF(AND(I133+J133-K133&gt;0,OR(I133+J133-K133&lt;AA133+AB133-AC133,AND(I133+J133-K133=AA133+AB133-AC133,1&lt;4))),1,0),IF(AND(O133+P133-Q133&gt;0,OR(O133+P133-Q133&lt;AA133+AB133-AC133,AND(O133+P133-Q133=AA133+AB133-AC133,2&lt;4))),1,0),IF(AND(U133+V133-W133&gt;0,OR(U133+V133-W133&lt;AA133+AB133-AC133,AND(U133+V133-W133=AA133+AB133-AC133,3&lt;4))),1,0)))</x:f>
        <x:v>99</x:v>
      </x:c>
      <x:c r="AE133" s="6" t="n">
        <x:f>IF('Debt strategy'!$C$16&gt;0,0,MIN(AA133+AB133-AC133,MAX(0,'Debt strategy'!$C$5-SUM(E133,K133,Q133,W133,AC133)-SUM(IF(F133&lt;AD133,C133+D133-E133,0),IF(L133&lt;AD133,I133+J133-K133,0),IF(R133&lt;AD133,O133+P133-Q133,0),IF(X133&lt;AD133,U133+V133-W133,0)))))</x:f>
        <x:v>0</x:v>
      </x:c>
      <x:c r="AF133" s="6" t="n">
        <x:f>ROUND(MAX(0,AA133+AB133-AC133-AE133),2)</x:f>
        <x:v>0</x:v>
      </x:c>
      <x:c r="AG133" s="6" t="n">
        <x:f>SUM(H133,N133,T133,Z133,AF133)</x:f>
        <x:v>0</x:v>
      </x:c>
      <x:c r="AH133" s="6" t="n">
        <x:f>SUM(D133,J133,P133,V133,AB133)+AH132</x:f>
        <x:v>1353.9499999999996</x:v>
      </x:c>
      <x:c r="AI133" s="2"/>
    </x:row>
    <x:row r="134" ht="23" customHeight="1">
      <x:c r="B134" s="2" t="n">
        <x:f>126</x:f>
        <x:v>126</x:v>
      </x:c>
      <x:c r="C134" s="6" t="n">
        <x:f>H133</x:f>
        <x:v>0</x:v>
      </x:c>
      <x:c r="D134" s="6" t="n">
        <x:f>ROUND(C134*'Debt strategy'!$D$9/12,2)</x:f>
        <x:v>0</x:v>
      </x:c>
      <x:c r="E134" s="6" t="n">
        <x:f>MIN(C134+D134,'Debt strategy'!$E$9)</x:f>
        <x:v>0</x:v>
      </x:c>
      <x:c r="F134" s="27" t="n">
        <x:f>IF(C134+D134-E134&lt;=0,99,1+SUM(IF(AND(I134+J134-K134&gt;0,OR(I134+J134-K134&lt;C134+D134-E134,AND(I134+J134-K134=C134+D134-E134,1&lt;0))),1,0),IF(AND(O134+P134-Q134&gt;0,OR(O134+P134-Q134&lt;C134+D134-E134,AND(O134+P134-Q134=C134+D134-E134,2&lt;0))),1,0),IF(AND(U134+V134-W134&gt;0,OR(U134+V134-W134&lt;C134+D134-E134,AND(U134+V134-W134=C134+D134-E134,3&lt;0))),1,0),IF(AND(AA134+AB134-AC134&gt;0,OR(AA134+AB134-AC134&lt;C134+D134-E134,AND(AA134+AB134-AC134=C134+D134-E134,4&lt;0))),1,0)))</x:f>
        <x:v>99</x:v>
      </x:c>
      <x:c r="G134" s="6" t="n">
        <x:f>IF('Debt strategy'!$C$16&gt;0,0,MIN(C134+D134-E134,MAX(0,'Debt strategy'!$C$5-SUM(E134,K134,Q134,W134,AC134)-SUM(IF(L134&lt;F134,I134+J134-K134,0),IF(R134&lt;F134,O134+P134-Q134,0),IF(X134&lt;F134,U134+V134-W134,0),IF(AD134&lt;F134,AA134+AB134-AC134,0)))))</x:f>
        <x:v>0</x:v>
      </x:c>
      <x:c r="H134" s="6" t="n">
        <x:f>ROUND(MAX(0,C134+D134-E134-G134),2)</x:f>
        <x:v>0</x:v>
      </x:c>
      <x:c r="I134" s="6" t="n">
        <x:f>N133</x:f>
        <x:v>0</x:v>
      </x:c>
      <x:c r="J134" s="6" t="n">
        <x:f>ROUND(I134*'Debt strategy'!$D$10/12,2)</x:f>
        <x:v>0</x:v>
      </x:c>
      <x:c r="K134" s="6" t="n">
        <x:f>MIN(I134+J134,'Debt strategy'!$E$10)</x:f>
        <x:v>0</x:v>
      </x:c>
      <x:c r="L134" s="27" t="n">
        <x:f>IF(I134+J134-K134&lt;=0,99,1+SUM(IF(AND(C134+D134-E134&gt;0,OR(C134+D134-E134&lt;I134+J134-K134,AND(C134+D134-E134=I134+J134-K134,0&lt;1))),1,0),IF(AND(O134+P134-Q134&gt;0,OR(O134+P134-Q134&lt;I134+J134-K134,AND(O134+P134-Q134=I134+J134-K134,2&lt;1))),1,0),IF(AND(U134+V134-W134&gt;0,OR(U134+V134-W134&lt;I134+J134-K134,AND(U134+V134-W134=I134+J134-K134,3&lt;1))),1,0),IF(AND(AA134+AB134-AC134&gt;0,OR(AA134+AB134-AC134&lt;I134+J134-K134,AND(AA134+AB134-AC134=I134+J134-K134,4&lt;1))),1,0)))</x:f>
        <x:v>99</x:v>
      </x:c>
      <x:c r="M134" s="6" t="n">
        <x:f>IF('Debt strategy'!$C$16&gt;0,0,MIN(I134+J134-K134,MAX(0,'Debt strategy'!$C$5-SUM(E134,K134,Q134,W134,AC134)-SUM(IF(F134&lt;L134,C134+D134-E134,0),IF(R134&lt;L134,O134+P134-Q134,0),IF(X134&lt;L134,U134+V134-W134,0),IF(AD134&lt;L134,AA134+AB134-AC134,0)))))</x:f>
        <x:v>0</x:v>
      </x:c>
      <x:c r="N134" s="6" t="n">
        <x:f>ROUND(MAX(0,I134+J134-K134-M134),2)</x:f>
        <x:v>0</x:v>
      </x:c>
      <x:c r="O134" s="6" t="n">
        <x:f>T133</x:f>
        <x:v>0</x:v>
      </x:c>
      <x:c r="P134" s="6" t="n">
        <x:f>ROUND(O134*'Debt strategy'!$D$11/12,2)</x:f>
        <x:v>0</x:v>
      </x:c>
      <x:c r="Q134" s="6" t="n">
        <x:f>MIN(O134+P134,'Debt strategy'!$E$11)</x:f>
        <x:v>0</x:v>
      </x:c>
      <x:c r="R134" s="27" t="n">
        <x:f>IF(O134+P134-Q134&lt;=0,99,1+SUM(IF(AND(C134+D134-E134&gt;0,OR(C134+D134-E134&lt;O134+P134-Q134,AND(C134+D134-E134=O134+P134-Q134,0&lt;2))),1,0),IF(AND(I134+J134-K134&gt;0,OR(I134+J134-K134&lt;O134+P134-Q134,AND(I134+J134-K134=O134+P134-Q134,1&lt;2))),1,0),IF(AND(U134+V134-W134&gt;0,OR(U134+V134-W134&lt;O134+P134-Q134,AND(U134+V134-W134=O134+P134-Q134,3&lt;2))),1,0),IF(AND(AA134+AB134-AC134&gt;0,OR(AA134+AB134-AC134&lt;O134+P134-Q134,AND(AA134+AB134-AC134=O134+P134-Q134,4&lt;2))),1,0)))</x:f>
        <x:v>99</x:v>
      </x:c>
      <x:c r="S134" s="6" t="n">
        <x:f>IF('Debt strategy'!$C$16&gt;0,0,MIN(O134+P134-Q134,MAX(0,'Debt strategy'!$C$5-SUM(E134,K134,Q134,W134,AC134)-SUM(IF(F134&lt;R134,C134+D134-E134,0),IF(L134&lt;R134,I134+J134-K134,0),IF(X134&lt;R134,U134+V134-W134,0),IF(AD134&lt;R134,AA134+AB134-AC134,0)))))</x:f>
        <x:v>0</x:v>
      </x:c>
      <x:c r="T134" s="6" t="n">
        <x:f>ROUND(MAX(0,O134+P134-Q134-S134),2)</x:f>
        <x:v>0</x:v>
      </x:c>
      <x:c r="U134" s="6" t="n">
        <x:f>Z133</x:f>
        <x:v>0</x:v>
      </x:c>
      <x:c r="V134" s="6" t="n">
        <x:f>ROUND(U134*'Debt strategy'!$D$12/12,2)</x:f>
        <x:v>0</x:v>
      </x:c>
      <x:c r="W134" s="6" t="n">
        <x:f>MIN(U134+V134,'Debt strategy'!$E$12)</x:f>
        <x:v>0</x:v>
      </x:c>
      <x:c r="X134" s="27" t="n">
        <x:f>IF(U134+V134-W134&lt;=0,99,1+SUM(IF(AND(C134+D134-E134&gt;0,OR(C134+D134-E134&lt;U134+V134-W134,AND(C134+D134-E134=U134+V134-W134,0&lt;3))),1,0),IF(AND(I134+J134-K134&gt;0,OR(I134+J134-K134&lt;U134+V134-W134,AND(I134+J134-K134=U134+V134-W134,1&lt;3))),1,0),IF(AND(O134+P134-Q134&gt;0,OR(O134+P134-Q134&lt;U134+V134-W134,AND(O134+P134-Q134=U134+V134-W134,2&lt;3))),1,0),IF(AND(AA134+AB134-AC134&gt;0,OR(AA134+AB134-AC134&lt;U134+V134-W134,AND(AA134+AB134-AC134=U134+V134-W134,4&lt;3))),1,0)))</x:f>
        <x:v>99</x:v>
      </x:c>
      <x:c r="Y134" s="6" t="n">
        <x:f>IF('Debt strategy'!$C$16&gt;0,0,MIN(U134+V134-W134,MAX(0,'Debt strategy'!$C$5-SUM(E134,K134,Q134,W134,AC134)-SUM(IF(F134&lt;X134,C134+D134-E134,0),IF(L134&lt;X134,I134+J134-K134,0),IF(R134&lt;X134,O134+P134-Q134,0),IF(AD134&lt;X134,AA134+AB134-AC134,0)))))</x:f>
        <x:v>0</x:v>
      </x:c>
      <x:c r="Z134" s="6" t="n">
        <x:f>ROUND(MAX(0,U134+V134-W134-Y134),2)</x:f>
        <x:v>0</x:v>
      </x:c>
      <x:c r="AA134" s="6" t="n">
        <x:f>AF133</x:f>
        <x:v>0</x:v>
      </x:c>
      <x:c r="AB134" s="6" t="n">
        <x:f>ROUND(AA134*'Debt strategy'!$D$13/12,2)</x:f>
        <x:v>0</x:v>
      </x:c>
      <x:c r="AC134" s="6" t="n">
        <x:f>MIN(AA134+AB134,'Debt strategy'!$E$13)</x:f>
        <x:v>0</x:v>
      </x:c>
      <x:c r="AD134" s="27" t="n">
        <x:f>IF(AA134+AB134-AC134&lt;=0,99,1+SUM(IF(AND(C134+D134-E134&gt;0,OR(C134+D134-E134&lt;AA134+AB134-AC134,AND(C134+D134-E134=AA134+AB134-AC134,0&lt;4))),1,0),IF(AND(I134+J134-K134&gt;0,OR(I134+J134-K134&lt;AA134+AB134-AC134,AND(I134+J134-K134=AA134+AB134-AC134,1&lt;4))),1,0),IF(AND(O134+P134-Q134&gt;0,OR(O134+P134-Q134&lt;AA134+AB134-AC134,AND(O134+P134-Q134=AA134+AB134-AC134,2&lt;4))),1,0),IF(AND(U134+V134-W134&gt;0,OR(U134+V134-W134&lt;AA134+AB134-AC134,AND(U134+V134-W134=AA134+AB134-AC134,3&lt;4))),1,0)))</x:f>
        <x:v>99</x:v>
      </x:c>
      <x:c r="AE134" s="6" t="n">
        <x:f>IF('Debt strategy'!$C$16&gt;0,0,MIN(AA134+AB134-AC134,MAX(0,'Debt strategy'!$C$5-SUM(E134,K134,Q134,W134,AC134)-SUM(IF(F134&lt;AD134,C134+D134-E134,0),IF(L134&lt;AD134,I134+J134-K134,0),IF(R134&lt;AD134,O134+P134-Q134,0),IF(X134&lt;AD134,U134+V134-W134,0)))))</x:f>
        <x:v>0</x:v>
      </x:c>
      <x:c r="AF134" s="6" t="n">
        <x:f>ROUND(MAX(0,AA134+AB134-AC134-AE134),2)</x:f>
        <x:v>0</x:v>
      </x:c>
      <x:c r="AG134" s="6" t="n">
        <x:f>SUM(H134,N134,T134,Z134,AF134)</x:f>
        <x:v>0</x:v>
      </x:c>
      <x:c r="AH134" s="6" t="n">
        <x:f>SUM(D134,J134,P134,V134,AB134)+AH133</x:f>
        <x:v>1353.9499999999996</x:v>
      </x:c>
      <x:c r="AI134" s="2"/>
    </x:row>
    <x:row r="135" ht="23" customHeight="1">
      <x:c r="B135" s="2" t="n">
        <x:f>127</x:f>
        <x:v>127</x:v>
      </x:c>
      <x:c r="C135" s="6" t="n">
        <x:f>H134</x:f>
        <x:v>0</x:v>
      </x:c>
      <x:c r="D135" s="6" t="n">
        <x:f>ROUND(C135*'Debt strategy'!$D$9/12,2)</x:f>
        <x:v>0</x:v>
      </x:c>
      <x:c r="E135" s="6" t="n">
        <x:f>MIN(C135+D135,'Debt strategy'!$E$9)</x:f>
        <x:v>0</x:v>
      </x:c>
      <x:c r="F135" s="27" t="n">
        <x:f>IF(C135+D135-E135&lt;=0,99,1+SUM(IF(AND(I135+J135-K135&gt;0,OR(I135+J135-K135&lt;C135+D135-E135,AND(I135+J135-K135=C135+D135-E135,1&lt;0))),1,0),IF(AND(O135+P135-Q135&gt;0,OR(O135+P135-Q135&lt;C135+D135-E135,AND(O135+P135-Q135=C135+D135-E135,2&lt;0))),1,0),IF(AND(U135+V135-W135&gt;0,OR(U135+V135-W135&lt;C135+D135-E135,AND(U135+V135-W135=C135+D135-E135,3&lt;0))),1,0),IF(AND(AA135+AB135-AC135&gt;0,OR(AA135+AB135-AC135&lt;C135+D135-E135,AND(AA135+AB135-AC135=C135+D135-E135,4&lt;0))),1,0)))</x:f>
        <x:v>99</x:v>
      </x:c>
      <x:c r="G135" s="6" t="n">
        <x:f>IF('Debt strategy'!$C$16&gt;0,0,MIN(C135+D135-E135,MAX(0,'Debt strategy'!$C$5-SUM(E135,K135,Q135,W135,AC135)-SUM(IF(L135&lt;F135,I135+J135-K135,0),IF(R135&lt;F135,O135+P135-Q135,0),IF(X135&lt;F135,U135+V135-W135,0),IF(AD135&lt;F135,AA135+AB135-AC135,0)))))</x:f>
        <x:v>0</x:v>
      </x:c>
      <x:c r="H135" s="6" t="n">
        <x:f>ROUND(MAX(0,C135+D135-E135-G135),2)</x:f>
        <x:v>0</x:v>
      </x:c>
      <x:c r="I135" s="6" t="n">
        <x:f>N134</x:f>
        <x:v>0</x:v>
      </x:c>
      <x:c r="J135" s="6" t="n">
        <x:f>ROUND(I135*'Debt strategy'!$D$10/12,2)</x:f>
        <x:v>0</x:v>
      </x:c>
      <x:c r="K135" s="6" t="n">
        <x:f>MIN(I135+J135,'Debt strategy'!$E$10)</x:f>
        <x:v>0</x:v>
      </x:c>
      <x:c r="L135" s="27" t="n">
        <x:f>IF(I135+J135-K135&lt;=0,99,1+SUM(IF(AND(C135+D135-E135&gt;0,OR(C135+D135-E135&lt;I135+J135-K135,AND(C135+D135-E135=I135+J135-K135,0&lt;1))),1,0),IF(AND(O135+P135-Q135&gt;0,OR(O135+P135-Q135&lt;I135+J135-K135,AND(O135+P135-Q135=I135+J135-K135,2&lt;1))),1,0),IF(AND(U135+V135-W135&gt;0,OR(U135+V135-W135&lt;I135+J135-K135,AND(U135+V135-W135=I135+J135-K135,3&lt;1))),1,0),IF(AND(AA135+AB135-AC135&gt;0,OR(AA135+AB135-AC135&lt;I135+J135-K135,AND(AA135+AB135-AC135=I135+J135-K135,4&lt;1))),1,0)))</x:f>
        <x:v>99</x:v>
      </x:c>
      <x:c r="M135" s="6" t="n">
        <x:f>IF('Debt strategy'!$C$16&gt;0,0,MIN(I135+J135-K135,MAX(0,'Debt strategy'!$C$5-SUM(E135,K135,Q135,W135,AC135)-SUM(IF(F135&lt;L135,C135+D135-E135,0),IF(R135&lt;L135,O135+P135-Q135,0),IF(X135&lt;L135,U135+V135-W135,0),IF(AD135&lt;L135,AA135+AB135-AC135,0)))))</x:f>
        <x:v>0</x:v>
      </x:c>
      <x:c r="N135" s="6" t="n">
        <x:f>ROUND(MAX(0,I135+J135-K135-M135),2)</x:f>
        <x:v>0</x:v>
      </x:c>
      <x:c r="O135" s="6" t="n">
        <x:f>T134</x:f>
        <x:v>0</x:v>
      </x:c>
      <x:c r="P135" s="6" t="n">
        <x:f>ROUND(O135*'Debt strategy'!$D$11/12,2)</x:f>
        <x:v>0</x:v>
      </x:c>
      <x:c r="Q135" s="6" t="n">
        <x:f>MIN(O135+P135,'Debt strategy'!$E$11)</x:f>
        <x:v>0</x:v>
      </x:c>
      <x:c r="R135" s="27" t="n">
        <x:f>IF(O135+P135-Q135&lt;=0,99,1+SUM(IF(AND(C135+D135-E135&gt;0,OR(C135+D135-E135&lt;O135+P135-Q135,AND(C135+D135-E135=O135+P135-Q135,0&lt;2))),1,0),IF(AND(I135+J135-K135&gt;0,OR(I135+J135-K135&lt;O135+P135-Q135,AND(I135+J135-K135=O135+P135-Q135,1&lt;2))),1,0),IF(AND(U135+V135-W135&gt;0,OR(U135+V135-W135&lt;O135+P135-Q135,AND(U135+V135-W135=O135+P135-Q135,3&lt;2))),1,0),IF(AND(AA135+AB135-AC135&gt;0,OR(AA135+AB135-AC135&lt;O135+P135-Q135,AND(AA135+AB135-AC135=O135+P135-Q135,4&lt;2))),1,0)))</x:f>
        <x:v>99</x:v>
      </x:c>
      <x:c r="S135" s="6" t="n">
        <x:f>IF('Debt strategy'!$C$16&gt;0,0,MIN(O135+P135-Q135,MAX(0,'Debt strategy'!$C$5-SUM(E135,K135,Q135,W135,AC135)-SUM(IF(F135&lt;R135,C135+D135-E135,0),IF(L135&lt;R135,I135+J135-K135,0),IF(X135&lt;R135,U135+V135-W135,0),IF(AD135&lt;R135,AA135+AB135-AC135,0)))))</x:f>
        <x:v>0</x:v>
      </x:c>
      <x:c r="T135" s="6" t="n">
        <x:f>ROUND(MAX(0,O135+P135-Q135-S135),2)</x:f>
        <x:v>0</x:v>
      </x:c>
      <x:c r="U135" s="6" t="n">
        <x:f>Z134</x:f>
        <x:v>0</x:v>
      </x:c>
      <x:c r="V135" s="6" t="n">
        <x:f>ROUND(U135*'Debt strategy'!$D$12/12,2)</x:f>
        <x:v>0</x:v>
      </x:c>
      <x:c r="W135" s="6" t="n">
        <x:f>MIN(U135+V135,'Debt strategy'!$E$12)</x:f>
        <x:v>0</x:v>
      </x:c>
      <x:c r="X135" s="27" t="n">
        <x:f>IF(U135+V135-W135&lt;=0,99,1+SUM(IF(AND(C135+D135-E135&gt;0,OR(C135+D135-E135&lt;U135+V135-W135,AND(C135+D135-E135=U135+V135-W135,0&lt;3))),1,0),IF(AND(I135+J135-K135&gt;0,OR(I135+J135-K135&lt;U135+V135-W135,AND(I135+J135-K135=U135+V135-W135,1&lt;3))),1,0),IF(AND(O135+P135-Q135&gt;0,OR(O135+P135-Q135&lt;U135+V135-W135,AND(O135+P135-Q135=U135+V135-W135,2&lt;3))),1,0),IF(AND(AA135+AB135-AC135&gt;0,OR(AA135+AB135-AC135&lt;U135+V135-W135,AND(AA135+AB135-AC135=U135+V135-W135,4&lt;3))),1,0)))</x:f>
        <x:v>99</x:v>
      </x:c>
      <x:c r="Y135" s="6" t="n">
        <x:f>IF('Debt strategy'!$C$16&gt;0,0,MIN(U135+V135-W135,MAX(0,'Debt strategy'!$C$5-SUM(E135,K135,Q135,W135,AC135)-SUM(IF(F135&lt;X135,C135+D135-E135,0),IF(L135&lt;X135,I135+J135-K135,0),IF(R135&lt;X135,O135+P135-Q135,0),IF(AD135&lt;X135,AA135+AB135-AC135,0)))))</x:f>
        <x:v>0</x:v>
      </x:c>
      <x:c r="Z135" s="6" t="n">
        <x:f>ROUND(MAX(0,U135+V135-W135-Y135),2)</x:f>
        <x:v>0</x:v>
      </x:c>
      <x:c r="AA135" s="6" t="n">
        <x:f>AF134</x:f>
        <x:v>0</x:v>
      </x:c>
      <x:c r="AB135" s="6" t="n">
        <x:f>ROUND(AA135*'Debt strategy'!$D$13/12,2)</x:f>
        <x:v>0</x:v>
      </x:c>
      <x:c r="AC135" s="6" t="n">
        <x:f>MIN(AA135+AB135,'Debt strategy'!$E$13)</x:f>
        <x:v>0</x:v>
      </x:c>
      <x:c r="AD135" s="27" t="n">
        <x:f>IF(AA135+AB135-AC135&lt;=0,99,1+SUM(IF(AND(C135+D135-E135&gt;0,OR(C135+D135-E135&lt;AA135+AB135-AC135,AND(C135+D135-E135=AA135+AB135-AC135,0&lt;4))),1,0),IF(AND(I135+J135-K135&gt;0,OR(I135+J135-K135&lt;AA135+AB135-AC135,AND(I135+J135-K135=AA135+AB135-AC135,1&lt;4))),1,0),IF(AND(O135+P135-Q135&gt;0,OR(O135+P135-Q135&lt;AA135+AB135-AC135,AND(O135+P135-Q135=AA135+AB135-AC135,2&lt;4))),1,0),IF(AND(U135+V135-W135&gt;0,OR(U135+V135-W135&lt;AA135+AB135-AC135,AND(U135+V135-W135=AA135+AB135-AC135,3&lt;4))),1,0)))</x:f>
        <x:v>99</x:v>
      </x:c>
      <x:c r="AE135" s="6" t="n">
        <x:f>IF('Debt strategy'!$C$16&gt;0,0,MIN(AA135+AB135-AC135,MAX(0,'Debt strategy'!$C$5-SUM(E135,K135,Q135,W135,AC135)-SUM(IF(F135&lt;AD135,C135+D135-E135,0),IF(L135&lt;AD135,I135+J135-K135,0),IF(R135&lt;AD135,O135+P135-Q135,0),IF(X135&lt;AD135,U135+V135-W135,0)))))</x:f>
        <x:v>0</x:v>
      </x:c>
      <x:c r="AF135" s="6" t="n">
        <x:f>ROUND(MAX(0,AA135+AB135-AC135-AE135),2)</x:f>
        <x:v>0</x:v>
      </x:c>
      <x:c r="AG135" s="6" t="n">
        <x:f>SUM(H135,N135,T135,Z135,AF135)</x:f>
        <x:v>0</x:v>
      </x:c>
      <x:c r="AH135" s="6" t="n">
        <x:f>SUM(D135,J135,P135,V135,AB135)+AH134</x:f>
        <x:v>1353.9499999999996</x:v>
      </x:c>
      <x:c r="AI135" s="2"/>
    </x:row>
    <x:row r="136" ht="23" customHeight="1">
      <x:c r="B136" s="2" t="n">
        <x:f>128</x:f>
        <x:v>128</x:v>
      </x:c>
      <x:c r="C136" s="6" t="n">
        <x:f>H135</x:f>
        <x:v>0</x:v>
      </x:c>
      <x:c r="D136" s="6" t="n">
        <x:f>ROUND(C136*'Debt strategy'!$D$9/12,2)</x:f>
        <x:v>0</x:v>
      </x:c>
      <x:c r="E136" s="6" t="n">
        <x:f>MIN(C136+D136,'Debt strategy'!$E$9)</x:f>
        <x:v>0</x:v>
      </x:c>
      <x:c r="F136" s="27" t="n">
        <x:f>IF(C136+D136-E136&lt;=0,99,1+SUM(IF(AND(I136+J136-K136&gt;0,OR(I136+J136-K136&lt;C136+D136-E136,AND(I136+J136-K136=C136+D136-E136,1&lt;0))),1,0),IF(AND(O136+P136-Q136&gt;0,OR(O136+P136-Q136&lt;C136+D136-E136,AND(O136+P136-Q136=C136+D136-E136,2&lt;0))),1,0),IF(AND(U136+V136-W136&gt;0,OR(U136+V136-W136&lt;C136+D136-E136,AND(U136+V136-W136=C136+D136-E136,3&lt;0))),1,0),IF(AND(AA136+AB136-AC136&gt;0,OR(AA136+AB136-AC136&lt;C136+D136-E136,AND(AA136+AB136-AC136=C136+D136-E136,4&lt;0))),1,0)))</x:f>
        <x:v>99</x:v>
      </x:c>
      <x:c r="G136" s="6" t="n">
        <x:f>IF('Debt strategy'!$C$16&gt;0,0,MIN(C136+D136-E136,MAX(0,'Debt strategy'!$C$5-SUM(E136,K136,Q136,W136,AC136)-SUM(IF(L136&lt;F136,I136+J136-K136,0),IF(R136&lt;F136,O136+P136-Q136,0),IF(X136&lt;F136,U136+V136-W136,0),IF(AD136&lt;F136,AA136+AB136-AC136,0)))))</x:f>
        <x:v>0</x:v>
      </x:c>
      <x:c r="H136" s="6" t="n">
        <x:f>ROUND(MAX(0,C136+D136-E136-G136),2)</x:f>
        <x:v>0</x:v>
      </x:c>
      <x:c r="I136" s="6" t="n">
        <x:f>N135</x:f>
        <x:v>0</x:v>
      </x:c>
      <x:c r="J136" s="6" t="n">
        <x:f>ROUND(I136*'Debt strategy'!$D$10/12,2)</x:f>
        <x:v>0</x:v>
      </x:c>
      <x:c r="K136" s="6" t="n">
        <x:f>MIN(I136+J136,'Debt strategy'!$E$10)</x:f>
        <x:v>0</x:v>
      </x:c>
      <x:c r="L136" s="27" t="n">
        <x:f>IF(I136+J136-K136&lt;=0,99,1+SUM(IF(AND(C136+D136-E136&gt;0,OR(C136+D136-E136&lt;I136+J136-K136,AND(C136+D136-E136=I136+J136-K136,0&lt;1))),1,0),IF(AND(O136+P136-Q136&gt;0,OR(O136+P136-Q136&lt;I136+J136-K136,AND(O136+P136-Q136=I136+J136-K136,2&lt;1))),1,0),IF(AND(U136+V136-W136&gt;0,OR(U136+V136-W136&lt;I136+J136-K136,AND(U136+V136-W136=I136+J136-K136,3&lt;1))),1,0),IF(AND(AA136+AB136-AC136&gt;0,OR(AA136+AB136-AC136&lt;I136+J136-K136,AND(AA136+AB136-AC136=I136+J136-K136,4&lt;1))),1,0)))</x:f>
        <x:v>99</x:v>
      </x:c>
      <x:c r="M136" s="6" t="n">
        <x:f>IF('Debt strategy'!$C$16&gt;0,0,MIN(I136+J136-K136,MAX(0,'Debt strategy'!$C$5-SUM(E136,K136,Q136,W136,AC136)-SUM(IF(F136&lt;L136,C136+D136-E136,0),IF(R136&lt;L136,O136+P136-Q136,0),IF(X136&lt;L136,U136+V136-W136,0),IF(AD136&lt;L136,AA136+AB136-AC136,0)))))</x:f>
        <x:v>0</x:v>
      </x:c>
      <x:c r="N136" s="6" t="n">
        <x:f>ROUND(MAX(0,I136+J136-K136-M136),2)</x:f>
        <x:v>0</x:v>
      </x:c>
      <x:c r="O136" s="6" t="n">
        <x:f>T135</x:f>
        <x:v>0</x:v>
      </x:c>
      <x:c r="P136" s="6" t="n">
        <x:f>ROUND(O136*'Debt strategy'!$D$11/12,2)</x:f>
        <x:v>0</x:v>
      </x:c>
      <x:c r="Q136" s="6" t="n">
        <x:f>MIN(O136+P136,'Debt strategy'!$E$11)</x:f>
        <x:v>0</x:v>
      </x:c>
      <x:c r="R136" s="27" t="n">
        <x:f>IF(O136+P136-Q136&lt;=0,99,1+SUM(IF(AND(C136+D136-E136&gt;0,OR(C136+D136-E136&lt;O136+P136-Q136,AND(C136+D136-E136=O136+P136-Q136,0&lt;2))),1,0),IF(AND(I136+J136-K136&gt;0,OR(I136+J136-K136&lt;O136+P136-Q136,AND(I136+J136-K136=O136+P136-Q136,1&lt;2))),1,0),IF(AND(U136+V136-W136&gt;0,OR(U136+V136-W136&lt;O136+P136-Q136,AND(U136+V136-W136=O136+P136-Q136,3&lt;2))),1,0),IF(AND(AA136+AB136-AC136&gt;0,OR(AA136+AB136-AC136&lt;O136+P136-Q136,AND(AA136+AB136-AC136=O136+P136-Q136,4&lt;2))),1,0)))</x:f>
        <x:v>99</x:v>
      </x:c>
      <x:c r="S136" s="6" t="n">
        <x:f>IF('Debt strategy'!$C$16&gt;0,0,MIN(O136+P136-Q136,MAX(0,'Debt strategy'!$C$5-SUM(E136,K136,Q136,W136,AC136)-SUM(IF(F136&lt;R136,C136+D136-E136,0),IF(L136&lt;R136,I136+J136-K136,0),IF(X136&lt;R136,U136+V136-W136,0),IF(AD136&lt;R136,AA136+AB136-AC136,0)))))</x:f>
        <x:v>0</x:v>
      </x:c>
      <x:c r="T136" s="6" t="n">
        <x:f>ROUND(MAX(0,O136+P136-Q136-S136),2)</x:f>
        <x:v>0</x:v>
      </x:c>
      <x:c r="U136" s="6" t="n">
        <x:f>Z135</x:f>
        <x:v>0</x:v>
      </x:c>
      <x:c r="V136" s="6" t="n">
        <x:f>ROUND(U136*'Debt strategy'!$D$12/12,2)</x:f>
        <x:v>0</x:v>
      </x:c>
      <x:c r="W136" s="6" t="n">
        <x:f>MIN(U136+V136,'Debt strategy'!$E$12)</x:f>
        <x:v>0</x:v>
      </x:c>
      <x:c r="X136" s="27" t="n">
        <x:f>IF(U136+V136-W136&lt;=0,99,1+SUM(IF(AND(C136+D136-E136&gt;0,OR(C136+D136-E136&lt;U136+V136-W136,AND(C136+D136-E136=U136+V136-W136,0&lt;3))),1,0),IF(AND(I136+J136-K136&gt;0,OR(I136+J136-K136&lt;U136+V136-W136,AND(I136+J136-K136=U136+V136-W136,1&lt;3))),1,0),IF(AND(O136+P136-Q136&gt;0,OR(O136+P136-Q136&lt;U136+V136-W136,AND(O136+P136-Q136=U136+V136-W136,2&lt;3))),1,0),IF(AND(AA136+AB136-AC136&gt;0,OR(AA136+AB136-AC136&lt;U136+V136-W136,AND(AA136+AB136-AC136=U136+V136-W136,4&lt;3))),1,0)))</x:f>
        <x:v>99</x:v>
      </x:c>
      <x:c r="Y136" s="6" t="n">
        <x:f>IF('Debt strategy'!$C$16&gt;0,0,MIN(U136+V136-W136,MAX(0,'Debt strategy'!$C$5-SUM(E136,K136,Q136,W136,AC136)-SUM(IF(F136&lt;X136,C136+D136-E136,0),IF(L136&lt;X136,I136+J136-K136,0),IF(R136&lt;X136,O136+P136-Q136,0),IF(AD136&lt;X136,AA136+AB136-AC136,0)))))</x:f>
        <x:v>0</x:v>
      </x:c>
      <x:c r="Z136" s="6" t="n">
        <x:f>ROUND(MAX(0,U136+V136-W136-Y136),2)</x:f>
        <x:v>0</x:v>
      </x:c>
      <x:c r="AA136" s="6" t="n">
        <x:f>AF135</x:f>
        <x:v>0</x:v>
      </x:c>
      <x:c r="AB136" s="6" t="n">
        <x:f>ROUND(AA136*'Debt strategy'!$D$13/12,2)</x:f>
        <x:v>0</x:v>
      </x:c>
      <x:c r="AC136" s="6" t="n">
        <x:f>MIN(AA136+AB136,'Debt strategy'!$E$13)</x:f>
        <x:v>0</x:v>
      </x:c>
      <x:c r="AD136" s="27" t="n">
        <x:f>IF(AA136+AB136-AC136&lt;=0,99,1+SUM(IF(AND(C136+D136-E136&gt;0,OR(C136+D136-E136&lt;AA136+AB136-AC136,AND(C136+D136-E136=AA136+AB136-AC136,0&lt;4))),1,0),IF(AND(I136+J136-K136&gt;0,OR(I136+J136-K136&lt;AA136+AB136-AC136,AND(I136+J136-K136=AA136+AB136-AC136,1&lt;4))),1,0),IF(AND(O136+P136-Q136&gt;0,OR(O136+P136-Q136&lt;AA136+AB136-AC136,AND(O136+P136-Q136=AA136+AB136-AC136,2&lt;4))),1,0),IF(AND(U136+V136-W136&gt;0,OR(U136+V136-W136&lt;AA136+AB136-AC136,AND(U136+V136-W136=AA136+AB136-AC136,3&lt;4))),1,0)))</x:f>
        <x:v>99</x:v>
      </x:c>
      <x:c r="AE136" s="6" t="n">
        <x:f>IF('Debt strategy'!$C$16&gt;0,0,MIN(AA136+AB136-AC136,MAX(0,'Debt strategy'!$C$5-SUM(E136,K136,Q136,W136,AC136)-SUM(IF(F136&lt;AD136,C136+D136-E136,0),IF(L136&lt;AD136,I136+J136-K136,0),IF(R136&lt;AD136,O136+P136-Q136,0),IF(X136&lt;AD136,U136+V136-W136,0)))))</x:f>
        <x:v>0</x:v>
      </x:c>
      <x:c r="AF136" s="6" t="n">
        <x:f>ROUND(MAX(0,AA136+AB136-AC136-AE136),2)</x:f>
        <x:v>0</x:v>
      </x:c>
      <x:c r="AG136" s="6" t="n">
        <x:f>SUM(H136,N136,T136,Z136,AF136)</x:f>
        <x:v>0</x:v>
      </x:c>
      <x:c r="AH136" s="6" t="n">
        <x:f>SUM(D136,J136,P136,V136,AB136)+AH135</x:f>
        <x:v>1353.9499999999996</x:v>
      </x:c>
      <x:c r="AI136" s="2"/>
    </x:row>
    <x:row r="137" ht="23" customHeight="1">
      <x:c r="B137" s="2" t="n">
        <x:f>129</x:f>
        <x:v>129</x:v>
      </x:c>
      <x:c r="C137" s="6" t="n">
        <x:f>H136</x:f>
        <x:v>0</x:v>
      </x:c>
      <x:c r="D137" s="6" t="n">
        <x:f>ROUND(C137*'Debt strategy'!$D$9/12,2)</x:f>
        <x:v>0</x:v>
      </x:c>
      <x:c r="E137" s="6" t="n">
        <x:f>MIN(C137+D137,'Debt strategy'!$E$9)</x:f>
        <x:v>0</x:v>
      </x:c>
      <x:c r="F137" s="27" t="n">
        <x:f>IF(C137+D137-E137&lt;=0,99,1+SUM(IF(AND(I137+J137-K137&gt;0,OR(I137+J137-K137&lt;C137+D137-E137,AND(I137+J137-K137=C137+D137-E137,1&lt;0))),1,0),IF(AND(O137+P137-Q137&gt;0,OR(O137+P137-Q137&lt;C137+D137-E137,AND(O137+P137-Q137=C137+D137-E137,2&lt;0))),1,0),IF(AND(U137+V137-W137&gt;0,OR(U137+V137-W137&lt;C137+D137-E137,AND(U137+V137-W137=C137+D137-E137,3&lt;0))),1,0),IF(AND(AA137+AB137-AC137&gt;0,OR(AA137+AB137-AC137&lt;C137+D137-E137,AND(AA137+AB137-AC137=C137+D137-E137,4&lt;0))),1,0)))</x:f>
        <x:v>99</x:v>
      </x:c>
      <x:c r="G137" s="6" t="n">
        <x:f>IF('Debt strategy'!$C$16&gt;0,0,MIN(C137+D137-E137,MAX(0,'Debt strategy'!$C$5-SUM(E137,K137,Q137,W137,AC137)-SUM(IF(L137&lt;F137,I137+J137-K137,0),IF(R137&lt;F137,O137+P137-Q137,0),IF(X137&lt;F137,U137+V137-W137,0),IF(AD137&lt;F137,AA137+AB137-AC137,0)))))</x:f>
        <x:v>0</x:v>
      </x:c>
      <x:c r="H137" s="6" t="n">
        <x:f>ROUND(MAX(0,C137+D137-E137-G137),2)</x:f>
        <x:v>0</x:v>
      </x:c>
      <x:c r="I137" s="6" t="n">
        <x:f>N136</x:f>
        <x:v>0</x:v>
      </x:c>
      <x:c r="J137" s="6" t="n">
        <x:f>ROUND(I137*'Debt strategy'!$D$10/12,2)</x:f>
        <x:v>0</x:v>
      </x:c>
      <x:c r="K137" s="6" t="n">
        <x:f>MIN(I137+J137,'Debt strategy'!$E$10)</x:f>
        <x:v>0</x:v>
      </x:c>
      <x:c r="L137" s="27" t="n">
        <x:f>IF(I137+J137-K137&lt;=0,99,1+SUM(IF(AND(C137+D137-E137&gt;0,OR(C137+D137-E137&lt;I137+J137-K137,AND(C137+D137-E137=I137+J137-K137,0&lt;1))),1,0),IF(AND(O137+P137-Q137&gt;0,OR(O137+P137-Q137&lt;I137+J137-K137,AND(O137+P137-Q137=I137+J137-K137,2&lt;1))),1,0),IF(AND(U137+V137-W137&gt;0,OR(U137+V137-W137&lt;I137+J137-K137,AND(U137+V137-W137=I137+J137-K137,3&lt;1))),1,0),IF(AND(AA137+AB137-AC137&gt;0,OR(AA137+AB137-AC137&lt;I137+J137-K137,AND(AA137+AB137-AC137=I137+J137-K137,4&lt;1))),1,0)))</x:f>
        <x:v>99</x:v>
      </x:c>
      <x:c r="M137" s="6" t="n">
        <x:f>IF('Debt strategy'!$C$16&gt;0,0,MIN(I137+J137-K137,MAX(0,'Debt strategy'!$C$5-SUM(E137,K137,Q137,W137,AC137)-SUM(IF(F137&lt;L137,C137+D137-E137,0),IF(R137&lt;L137,O137+P137-Q137,0),IF(X137&lt;L137,U137+V137-W137,0),IF(AD137&lt;L137,AA137+AB137-AC137,0)))))</x:f>
        <x:v>0</x:v>
      </x:c>
      <x:c r="N137" s="6" t="n">
        <x:f>ROUND(MAX(0,I137+J137-K137-M137),2)</x:f>
        <x:v>0</x:v>
      </x:c>
      <x:c r="O137" s="6" t="n">
        <x:f>T136</x:f>
        <x:v>0</x:v>
      </x:c>
      <x:c r="P137" s="6" t="n">
        <x:f>ROUND(O137*'Debt strategy'!$D$11/12,2)</x:f>
        <x:v>0</x:v>
      </x:c>
      <x:c r="Q137" s="6" t="n">
        <x:f>MIN(O137+P137,'Debt strategy'!$E$11)</x:f>
        <x:v>0</x:v>
      </x:c>
      <x:c r="R137" s="27" t="n">
        <x:f>IF(O137+P137-Q137&lt;=0,99,1+SUM(IF(AND(C137+D137-E137&gt;0,OR(C137+D137-E137&lt;O137+P137-Q137,AND(C137+D137-E137=O137+P137-Q137,0&lt;2))),1,0),IF(AND(I137+J137-K137&gt;0,OR(I137+J137-K137&lt;O137+P137-Q137,AND(I137+J137-K137=O137+P137-Q137,1&lt;2))),1,0),IF(AND(U137+V137-W137&gt;0,OR(U137+V137-W137&lt;O137+P137-Q137,AND(U137+V137-W137=O137+P137-Q137,3&lt;2))),1,0),IF(AND(AA137+AB137-AC137&gt;0,OR(AA137+AB137-AC137&lt;O137+P137-Q137,AND(AA137+AB137-AC137=O137+P137-Q137,4&lt;2))),1,0)))</x:f>
        <x:v>99</x:v>
      </x:c>
      <x:c r="S137" s="6" t="n">
        <x:f>IF('Debt strategy'!$C$16&gt;0,0,MIN(O137+P137-Q137,MAX(0,'Debt strategy'!$C$5-SUM(E137,K137,Q137,W137,AC137)-SUM(IF(F137&lt;R137,C137+D137-E137,0),IF(L137&lt;R137,I137+J137-K137,0),IF(X137&lt;R137,U137+V137-W137,0),IF(AD137&lt;R137,AA137+AB137-AC137,0)))))</x:f>
        <x:v>0</x:v>
      </x:c>
      <x:c r="T137" s="6" t="n">
        <x:f>ROUND(MAX(0,O137+P137-Q137-S137),2)</x:f>
        <x:v>0</x:v>
      </x:c>
      <x:c r="U137" s="6" t="n">
        <x:f>Z136</x:f>
        <x:v>0</x:v>
      </x:c>
      <x:c r="V137" s="6" t="n">
        <x:f>ROUND(U137*'Debt strategy'!$D$12/12,2)</x:f>
        <x:v>0</x:v>
      </x:c>
      <x:c r="W137" s="6" t="n">
        <x:f>MIN(U137+V137,'Debt strategy'!$E$12)</x:f>
        <x:v>0</x:v>
      </x:c>
      <x:c r="X137" s="27" t="n">
        <x:f>IF(U137+V137-W137&lt;=0,99,1+SUM(IF(AND(C137+D137-E137&gt;0,OR(C137+D137-E137&lt;U137+V137-W137,AND(C137+D137-E137=U137+V137-W137,0&lt;3))),1,0),IF(AND(I137+J137-K137&gt;0,OR(I137+J137-K137&lt;U137+V137-W137,AND(I137+J137-K137=U137+V137-W137,1&lt;3))),1,0),IF(AND(O137+P137-Q137&gt;0,OR(O137+P137-Q137&lt;U137+V137-W137,AND(O137+P137-Q137=U137+V137-W137,2&lt;3))),1,0),IF(AND(AA137+AB137-AC137&gt;0,OR(AA137+AB137-AC137&lt;U137+V137-W137,AND(AA137+AB137-AC137=U137+V137-W137,4&lt;3))),1,0)))</x:f>
        <x:v>99</x:v>
      </x:c>
      <x:c r="Y137" s="6" t="n">
        <x:f>IF('Debt strategy'!$C$16&gt;0,0,MIN(U137+V137-W137,MAX(0,'Debt strategy'!$C$5-SUM(E137,K137,Q137,W137,AC137)-SUM(IF(F137&lt;X137,C137+D137-E137,0),IF(L137&lt;X137,I137+J137-K137,0),IF(R137&lt;X137,O137+P137-Q137,0),IF(AD137&lt;X137,AA137+AB137-AC137,0)))))</x:f>
        <x:v>0</x:v>
      </x:c>
      <x:c r="Z137" s="6" t="n">
        <x:f>ROUND(MAX(0,U137+V137-W137-Y137),2)</x:f>
        <x:v>0</x:v>
      </x:c>
      <x:c r="AA137" s="6" t="n">
        <x:f>AF136</x:f>
        <x:v>0</x:v>
      </x:c>
      <x:c r="AB137" s="6" t="n">
        <x:f>ROUND(AA137*'Debt strategy'!$D$13/12,2)</x:f>
        <x:v>0</x:v>
      </x:c>
      <x:c r="AC137" s="6" t="n">
        <x:f>MIN(AA137+AB137,'Debt strategy'!$E$13)</x:f>
        <x:v>0</x:v>
      </x:c>
      <x:c r="AD137" s="27" t="n">
        <x:f>IF(AA137+AB137-AC137&lt;=0,99,1+SUM(IF(AND(C137+D137-E137&gt;0,OR(C137+D137-E137&lt;AA137+AB137-AC137,AND(C137+D137-E137=AA137+AB137-AC137,0&lt;4))),1,0),IF(AND(I137+J137-K137&gt;0,OR(I137+J137-K137&lt;AA137+AB137-AC137,AND(I137+J137-K137=AA137+AB137-AC137,1&lt;4))),1,0),IF(AND(O137+P137-Q137&gt;0,OR(O137+P137-Q137&lt;AA137+AB137-AC137,AND(O137+P137-Q137=AA137+AB137-AC137,2&lt;4))),1,0),IF(AND(U137+V137-W137&gt;0,OR(U137+V137-W137&lt;AA137+AB137-AC137,AND(U137+V137-W137=AA137+AB137-AC137,3&lt;4))),1,0)))</x:f>
        <x:v>99</x:v>
      </x:c>
      <x:c r="AE137" s="6" t="n">
        <x:f>IF('Debt strategy'!$C$16&gt;0,0,MIN(AA137+AB137-AC137,MAX(0,'Debt strategy'!$C$5-SUM(E137,K137,Q137,W137,AC137)-SUM(IF(F137&lt;AD137,C137+D137-E137,0),IF(L137&lt;AD137,I137+J137-K137,0),IF(R137&lt;AD137,O137+P137-Q137,0),IF(X137&lt;AD137,U137+V137-W137,0)))))</x:f>
        <x:v>0</x:v>
      </x:c>
      <x:c r="AF137" s="6" t="n">
        <x:f>ROUND(MAX(0,AA137+AB137-AC137-AE137),2)</x:f>
        <x:v>0</x:v>
      </x:c>
      <x:c r="AG137" s="6" t="n">
        <x:f>SUM(H137,N137,T137,Z137,AF137)</x:f>
        <x:v>0</x:v>
      </x:c>
      <x:c r="AH137" s="6" t="n">
        <x:f>SUM(D137,J137,P137,V137,AB137)+AH136</x:f>
        <x:v>1353.9499999999996</x:v>
      </x:c>
      <x:c r="AI137" s="2"/>
    </x:row>
    <x:row r="138" ht="23" customHeight="1">
      <x:c r="B138" s="2" t="n">
        <x:f>130</x:f>
        <x:v>130</x:v>
      </x:c>
      <x:c r="C138" s="6" t="n">
        <x:f>H137</x:f>
        <x:v>0</x:v>
      </x:c>
      <x:c r="D138" s="6" t="n">
        <x:f>ROUND(C138*'Debt strategy'!$D$9/12,2)</x:f>
        <x:v>0</x:v>
      </x:c>
      <x:c r="E138" s="6" t="n">
        <x:f>MIN(C138+D138,'Debt strategy'!$E$9)</x:f>
        <x:v>0</x:v>
      </x:c>
      <x:c r="F138" s="27" t="n">
        <x:f>IF(C138+D138-E138&lt;=0,99,1+SUM(IF(AND(I138+J138-K138&gt;0,OR(I138+J138-K138&lt;C138+D138-E138,AND(I138+J138-K138=C138+D138-E138,1&lt;0))),1,0),IF(AND(O138+P138-Q138&gt;0,OR(O138+P138-Q138&lt;C138+D138-E138,AND(O138+P138-Q138=C138+D138-E138,2&lt;0))),1,0),IF(AND(U138+V138-W138&gt;0,OR(U138+V138-W138&lt;C138+D138-E138,AND(U138+V138-W138=C138+D138-E138,3&lt;0))),1,0),IF(AND(AA138+AB138-AC138&gt;0,OR(AA138+AB138-AC138&lt;C138+D138-E138,AND(AA138+AB138-AC138=C138+D138-E138,4&lt;0))),1,0)))</x:f>
        <x:v>99</x:v>
      </x:c>
      <x:c r="G138" s="6" t="n">
        <x:f>IF('Debt strategy'!$C$16&gt;0,0,MIN(C138+D138-E138,MAX(0,'Debt strategy'!$C$5-SUM(E138,K138,Q138,W138,AC138)-SUM(IF(L138&lt;F138,I138+J138-K138,0),IF(R138&lt;F138,O138+P138-Q138,0),IF(X138&lt;F138,U138+V138-W138,0),IF(AD138&lt;F138,AA138+AB138-AC138,0)))))</x:f>
        <x:v>0</x:v>
      </x:c>
      <x:c r="H138" s="6" t="n">
        <x:f>ROUND(MAX(0,C138+D138-E138-G138),2)</x:f>
        <x:v>0</x:v>
      </x:c>
      <x:c r="I138" s="6" t="n">
        <x:f>N137</x:f>
        <x:v>0</x:v>
      </x:c>
      <x:c r="J138" s="6" t="n">
        <x:f>ROUND(I138*'Debt strategy'!$D$10/12,2)</x:f>
        <x:v>0</x:v>
      </x:c>
      <x:c r="K138" s="6" t="n">
        <x:f>MIN(I138+J138,'Debt strategy'!$E$10)</x:f>
        <x:v>0</x:v>
      </x:c>
      <x:c r="L138" s="27" t="n">
        <x:f>IF(I138+J138-K138&lt;=0,99,1+SUM(IF(AND(C138+D138-E138&gt;0,OR(C138+D138-E138&lt;I138+J138-K138,AND(C138+D138-E138=I138+J138-K138,0&lt;1))),1,0),IF(AND(O138+P138-Q138&gt;0,OR(O138+P138-Q138&lt;I138+J138-K138,AND(O138+P138-Q138=I138+J138-K138,2&lt;1))),1,0),IF(AND(U138+V138-W138&gt;0,OR(U138+V138-W138&lt;I138+J138-K138,AND(U138+V138-W138=I138+J138-K138,3&lt;1))),1,0),IF(AND(AA138+AB138-AC138&gt;0,OR(AA138+AB138-AC138&lt;I138+J138-K138,AND(AA138+AB138-AC138=I138+J138-K138,4&lt;1))),1,0)))</x:f>
        <x:v>99</x:v>
      </x:c>
      <x:c r="M138" s="6" t="n">
        <x:f>IF('Debt strategy'!$C$16&gt;0,0,MIN(I138+J138-K138,MAX(0,'Debt strategy'!$C$5-SUM(E138,K138,Q138,W138,AC138)-SUM(IF(F138&lt;L138,C138+D138-E138,0),IF(R138&lt;L138,O138+P138-Q138,0),IF(X138&lt;L138,U138+V138-W138,0),IF(AD138&lt;L138,AA138+AB138-AC138,0)))))</x:f>
        <x:v>0</x:v>
      </x:c>
      <x:c r="N138" s="6" t="n">
        <x:f>ROUND(MAX(0,I138+J138-K138-M138),2)</x:f>
        <x:v>0</x:v>
      </x:c>
      <x:c r="O138" s="6" t="n">
        <x:f>T137</x:f>
        <x:v>0</x:v>
      </x:c>
      <x:c r="P138" s="6" t="n">
        <x:f>ROUND(O138*'Debt strategy'!$D$11/12,2)</x:f>
        <x:v>0</x:v>
      </x:c>
      <x:c r="Q138" s="6" t="n">
        <x:f>MIN(O138+P138,'Debt strategy'!$E$11)</x:f>
        <x:v>0</x:v>
      </x:c>
      <x:c r="R138" s="27" t="n">
        <x:f>IF(O138+P138-Q138&lt;=0,99,1+SUM(IF(AND(C138+D138-E138&gt;0,OR(C138+D138-E138&lt;O138+P138-Q138,AND(C138+D138-E138=O138+P138-Q138,0&lt;2))),1,0),IF(AND(I138+J138-K138&gt;0,OR(I138+J138-K138&lt;O138+P138-Q138,AND(I138+J138-K138=O138+P138-Q138,1&lt;2))),1,0),IF(AND(U138+V138-W138&gt;0,OR(U138+V138-W138&lt;O138+P138-Q138,AND(U138+V138-W138=O138+P138-Q138,3&lt;2))),1,0),IF(AND(AA138+AB138-AC138&gt;0,OR(AA138+AB138-AC138&lt;O138+P138-Q138,AND(AA138+AB138-AC138=O138+P138-Q138,4&lt;2))),1,0)))</x:f>
        <x:v>99</x:v>
      </x:c>
      <x:c r="S138" s="6" t="n">
        <x:f>IF('Debt strategy'!$C$16&gt;0,0,MIN(O138+P138-Q138,MAX(0,'Debt strategy'!$C$5-SUM(E138,K138,Q138,W138,AC138)-SUM(IF(F138&lt;R138,C138+D138-E138,0),IF(L138&lt;R138,I138+J138-K138,0),IF(X138&lt;R138,U138+V138-W138,0),IF(AD138&lt;R138,AA138+AB138-AC138,0)))))</x:f>
        <x:v>0</x:v>
      </x:c>
      <x:c r="T138" s="6" t="n">
        <x:f>ROUND(MAX(0,O138+P138-Q138-S138),2)</x:f>
        <x:v>0</x:v>
      </x:c>
      <x:c r="U138" s="6" t="n">
        <x:f>Z137</x:f>
        <x:v>0</x:v>
      </x:c>
      <x:c r="V138" s="6" t="n">
        <x:f>ROUND(U138*'Debt strategy'!$D$12/12,2)</x:f>
        <x:v>0</x:v>
      </x:c>
      <x:c r="W138" s="6" t="n">
        <x:f>MIN(U138+V138,'Debt strategy'!$E$12)</x:f>
        <x:v>0</x:v>
      </x:c>
      <x:c r="X138" s="27" t="n">
        <x:f>IF(U138+V138-W138&lt;=0,99,1+SUM(IF(AND(C138+D138-E138&gt;0,OR(C138+D138-E138&lt;U138+V138-W138,AND(C138+D138-E138=U138+V138-W138,0&lt;3))),1,0),IF(AND(I138+J138-K138&gt;0,OR(I138+J138-K138&lt;U138+V138-W138,AND(I138+J138-K138=U138+V138-W138,1&lt;3))),1,0),IF(AND(O138+P138-Q138&gt;0,OR(O138+P138-Q138&lt;U138+V138-W138,AND(O138+P138-Q138=U138+V138-W138,2&lt;3))),1,0),IF(AND(AA138+AB138-AC138&gt;0,OR(AA138+AB138-AC138&lt;U138+V138-W138,AND(AA138+AB138-AC138=U138+V138-W138,4&lt;3))),1,0)))</x:f>
        <x:v>99</x:v>
      </x:c>
      <x:c r="Y138" s="6" t="n">
        <x:f>IF('Debt strategy'!$C$16&gt;0,0,MIN(U138+V138-W138,MAX(0,'Debt strategy'!$C$5-SUM(E138,K138,Q138,W138,AC138)-SUM(IF(F138&lt;X138,C138+D138-E138,0),IF(L138&lt;X138,I138+J138-K138,0),IF(R138&lt;X138,O138+P138-Q138,0),IF(AD138&lt;X138,AA138+AB138-AC138,0)))))</x:f>
        <x:v>0</x:v>
      </x:c>
      <x:c r="Z138" s="6" t="n">
        <x:f>ROUND(MAX(0,U138+V138-W138-Y138),2)</x:f>
        <x:v>0</x:v>
      </x:c>
      <x:c r="AA138" s="6" t="n">
        <x:f>AF137</x:f>
        <x:v>0</x:v>
      </x:c>
      <x:c r="AB138" s="6" t="n">
        <x:f>ROUND(AA138*'Debt strategy'!$D$13/12,2)</x:f>
        <x:v>0</x:v>
      </x:c>
      <x:c r="AC138" s="6" t="n">
        <x:f>MIN(AA138+AB138,'Debt strategy'!$E$13)</x:f>
        <x:v>0</x:v>
      </x:c>
      <x:c r="AD138" s="27" t="n">
        <x:f>IF(AA138+AB138-AC138&lt;=0,99,1+SUM(IF(AND(C138+D138-E138&gt;0,OR(C138+D138-E138&lt;AA138+AB138-AC138,AND(C138+D138-E138=AA138+AB138-AC138,0&lt;4))),1,0),IF(AND(I138+J138-K138&gt;0,OR(I138+J138-K138&lt;AA138+AB138-AC138,AND(I138+J138-K138=AA138+AB138-AC138,1&lt;4))),1,0),IF(AND(O138+P138-Q138&gt;0,OR(O138+P138-Q138&lt;AA138+AB138-AC138,AND(O138+P138-Q138=AA138+AB138-AC138,2&lt;4))),1,0),IF(AND(U138+V138-W138&gt;0,OR(U138+V138-W138&lt;AA138+AB138-AC138,AND(U138+V138-W138=AA138+AB138-AC138,3&lt;4))),1,0)))</x:f>
        <x:v>99</x:v>
      </x:c>
      <x:c r="AE138" s="6" t="n">
        <x:f>IF('Debt strategy'!$C$16&gt;0,0,MIN(AA138+AB138-AC138,MAX(0,'Debt strategy'!$C$5-SUM(E138,K138,Q138,W138,AC138)-SUM(IF(F138&lt;AD138,C138+D138-E138,0),IF(L138&lt;AD138,I138+J138-K138,0),IF(R138&lt;AD138,O138+P138-Q138,0),IF(X138&lt;AD138,U138+V138-W138,0)))))</x:f>
        <x:v>0</x:v>
      </x:c>
      <x:c r="AF138" s="6" t="n">
        <x:f>ROUND(MAX(0,AA138+AB138-AC138-AE138),2)</x:f>
        <x:v>0</x:v>
      </x:c>
      <x:c r="AG138" s="6" t="n">
        <x:f>SUM(H138,N138,T138,Z138,AF138)</x:f>
        <x:v>0</x:v>
      </x:c>
      <x:c r="AH138" s="6" t="n">
        <x:f>SUM(D138,J138,P138,V138,AB138)+AH137</x:f>
        <x:v>1353.9499999999996</x:v>
      </x:c>
      <x:c r="AI138" s="2"/>
    </x:row>
    <x:row r="139" ht="23" customHeight="1">
      <x:c r="B139" s="2" t="n">
        <x:f>131</x:f>
        <x:v>131</x:v>
      </x:c>
      <x:c r="C139" s="6" t="n">
        <x:f>H138</x:f>
        <x:v>0</x:v>
      </x:c>
      <x:c r="D139" s="6" t="n">
        <x:f>ROUND(C139*'Debt strategy'!$D$9/12,2)</x:f>
        <x:v>0</x:v>
      </x:c>
      <x:c r="E139" s="6" t="n">
        <x:f>MIN(C139+D139,'Debt strategy'!$E$9)</x:f>
        <x:v>0</x:v>
      </x:c>
      <x:c r="F139" s="27" t="n">
        <x:f>IF(C139+D139-E139&lt;=0,99,1+SUM(IF(AND(I139+J139-K139&gt;0,OR(I139+J139-K139&lt;C139+D139-E139,AND(I139+J139-K139=C139+D139-E139,1&lt;0))),1,0),IF(AND(O139+P139-Q139&gt;0,OR(O139+P139-Q139&lt;C139+D139-E139,AND(O139+P139-Q139=C139+D139-E139,2&lt;0))),1,0),IF(AND(U139+V139-W139&gt;0,OR(U139+V139-W139&lt;C139+D139-E139,AND(U139+V139-W139=C139+D139-E139,3&lt;0))),1,0),IF(AND(AA139+AB139-AC139&gt;0,OR(AA139+AB139-AC139&lt;C139+D139-E139,AND(AA139+AB139-AC139=C139+D139-E139,4&lt;0))),1,0)))</x:f>
        <x:v>99</x:v>
      </x:c>
      <x:c r="G139" s="6" t="n">
        <x:f>IF('Debt strategy'!$C$16&gt;0,0,MIN(C139+D139-E139,MAX(0,'Debt strategy'!$C$5-SUM(E139,K139,Q139,W139,AC139)-SUM(IF(L139&lt;F139,I139+J139-K139,0),IF(R139&lt;F139,O139+P139-Q139,0),IF(X139&lt;F139,U139+V139-W139,0),IF(AD139&lt;F139,AA139+AB139-AC139,0)))))</x:f>
        <x:v>0</x:v>
      </x:c>
      <x:c r="H139" s="6" t="n">
        <x:f>ROUND(MAX(0,C139+D139-E139-G139),2)</x:f>
        <x:v>0</x:v>
      </x:c>
      <x:c r="I139" s="6" t="n">
        <x:f>N138</x:f>
        <x:v>0</x:v>
      </x:c>
      <x:c r="J139" s="6" t="n">
        <x:f>ROUND(I139*'Debt strategy'!$D$10/12,2)</x:f>
        <x:v>0</x:v>
      </x:c>
      <x:c r="K139" s="6" t="n">
        <x:f>MIN(I139+J139,'Debt strategy'!$E$10)</x:f>
        <x:v>0</x:v>
      </x:c>
      <x:c r="L139" s="27" t="n">
        <x:f>IF(I139+J139-K139&lt;=0,99,1+SUM(IF(AND(C139+D139-E139&gt;0,OR(C139+D139-E139&lt;I139+J139-K139,AND(C139+D139-E139=I139+J139-K139,0&lt;1))),1,0),IF(AND(O139+P139-Q139&gt;0,OR(O139+P139-Q139&lt;I139+J139-K139,AND(O139+P139-Q139=I139+J139-K139,2&lt;1))),1,0),IF(AND(U139+V139-W139&gt;0,OR(U139+V139-W139&lt;I139+J139-K139,AND(U139+V139-W139=I139+J139-K139,3&lt;1))),1,0),IF(AND(AA139+AB139-AC139&gt;0,OR(AA139+AB139-AC139&lt;I139+J139-K139,AND(AA139+AB139-AC139=I139+J139-K139,4&lt;1))),1,0)))</x:f>
        <x:v>99</x:v>
      </x:c>
      <x:c r="M139" s="6" t="n">
        <x:f>IF('Debt strategy'!$C$16&gt;0,0,MIN(I139+J139-K139,MAX(0,'Debt strategy'!$C$5-SUM(E139,K139,Q139,W139,AC139)-SUM(IF(F139&lt;L139,C139+D139-E139,0),IF(R139&lt;L139,O139+P139-Q139,0),IF(X139&lt;L139,U139+V139-W139,0),IF(AD139&lt;L139,AA139+AB139-AC139,0)))))</x:f>
        <x:v>0</x:v>
      </x:c>
      <x:c r="N139" s="6" t="n">
        <x:f>ROUND(MAX(0,I139+J139-K139-M139),2)</x:f>
        <x:v>0</x:v>
      </x:c>
      <x:c r="O139" s="6" t="n">
        <x:f>T138</x:f>
        <x:v>0</x:v>
      </x:c>
      <x:c r="P139" s="6" t="n">
        <x:f>ROUND(O139*'Debt strategy'!$D$11/12,2)</x:f>
        <x:v>0</x:v>
      </x:c>
      <x:c r="Q139" s="6" t="n">
        <x:f>MIN(O139+P139,'Debt strategy'!$E$11)</x:f>
        <x:v>0</x:v>
      </x:c>
      <x:c r="R139" s="27" t="n">
        <x:f>IF(O139+P139-Q139&lt;=0,99,1+SUM(IF(AND(C139+D139-E139&gt;0,OR(C139+D139-E139&lt;O139+P139-Q139,AND(C139+D139-E139=O139+P139-Q139,0&lt;2))),1,0),IF(AND(I139+J139-K139&gt;0,OR(I139+J139-K139&lt;O139+P139-Q139,AND(I139+J139-K139=O139+P139-Q139,1&lt;2))),1,0),IF(AND(U139+V139-W139&gt;0,OR(U139+V139-W139&lt;O139+P139-Q139,AND(U139+V139-W139=O139+P139-Q139,3&lt;2))),1,0),IF(AND(AA139+AB139-AC139&gt;0,OR(AA139+AB139-AC139&lt;O139+P139-Q139,AND(AA139+AB139-AC139=O139+P139-Q139,4&lt;2))),1,0)))</x:f>
        <x:v>99</x:v>
      </x:c>
      <x:c r="S139" s="6" t="n">
        <x:f>IF('Debt strategy'!$C$16&gt;0,0,MIN(O139+P139-Q139,MAX(0,'Debt strategy'!$C$5-SUM(E139,K139,Q139,W139,AC139)-SUM(IF(F139&lt;R139,C139+D139-E139,0),IF(L139&lt;R139,I139+J139-K139,0),IF(X139&lt;R139,U139+V139-W139,0),IF(AD139&lt;R139,AA139+AB139-AC139,0)))))</x:f>
        <x:v>0</x:v>
      </x:c>
      <x:c r="T139" s="6" t="n">
        <x:f>ROUND(MAX(0,O139+P139-Q139-S139),2)</x:f>
        <x:v>0</x:v>
      </x:c>
      <x:c r="U139" s="6" t="n">
        <x:f>Z138</x:f>
        <x:v>0</x:v>
      </x:c>
      <x:c r="V139" s="6" t="n">
        <x:f>ROUND(U139*'Debt strategy'!$D$12/12,2)</x:f>
        <x:v>0</x:v>
      </x:c>
      <x:c r="W139" s="6" t="n">
        <x:f>MIN(U139+V139,'Debt strategy'!$E$12)</x:f>
        <x:v>0</x:v>
      </x:c>
      <x:c r="X139" s="27" t="n">
        <x:f>IF(U139+V139-W139&lt;=0,99,1+SUM(IF(AND(C139+D139-E139&gt;0,OR(C139+D139-E139&lt;U139+V139-W139,AND(C139+D139-E139=U139+V139-W139,0&lt;3))),1,0),IF(AND(I139+J139-K139&gt;0,OR(I139+J139-K139&lt;U139+V139-W139,AND(I139+J139-K139=U139+V139-W139,1&lt;3))),1,0),IF(AND(O139+P139-Q139&gt;0,OR(O139+P139-Q139&lt;U139+V139-W139,AND(O139+P139-Q139=U139+V139-W139,2&lt;3))),1,0),IF(AND(AA139+AB139-AC139&gt;0,OR(AA139+AB139-AC139&lt;U139+V139-W139,AND(AA139+AB139-AC139=U139+V139-W139,4&lt;3))),1,0)))</x:f>
        <x:v>99</x:v>
      </x:c>
      <x:c r="Y139" s="6" t="n">
        <x:f>IF('Debt strategy'!$C$16&gt;0,0,MIN(U139+V139-W139,MAX(0,'Debt strategy'!$C$5-SUM(E139,K139,Q139,W139,AC139)-SUM(IF(F139&lt;X139,C139+D139-E139,0),IF(L139&lt;X139,I139+J139-K139,0),IF(R139&lt;X139,O139+P139-Q139,0),IF(AD139&lt;X139,AA139+AB139-AC139,0)))))</x:f>
        <x:v>0</x:v>
      </x:c>
      <x:c r="Z139" s="6" t="n">
        <x:f>ROUND(MAX(0,U139+V139-W139-Y139),2)</x:f>
        <x:v>0</x:v>
      </x:c>
      <x:c r="AA139" s="6" t="n">
        <x:f>AF138</x:f>
        <x:v>0</x:v>
      </x:c>
      <x:c r="AB139" s="6" t="n">
        <x:f>ROUND(AA139*'Debt strategy'!$D$13/12,2)</x:f>
        <x:v>0</x:v>
      </x:c>
      <x:c r="AC139" s="6" t="n">
        <x:f>MIN(AA139+AB139,'Debt strategy'!$E$13)</x:f>
        <x:v>0</x:v>
      </x:c>
      <x:c r="AD139" s="27" t="n">
        <x:f>IF(AA139+AB139-AC139&lt;=0,99,1+SUM(IF(AND(C139+D139-E139&gt;0,OR(C139+D139-E139&lt;AA139+AB139-AC139,AND(C139+D139-E139=AA139+AB139-AC139,0&lt;4))),1,0),IF(AND(I139+J139-K139&gt;0,OR(I139+J139-K139&lt;AA139+AB139-AC139,AND(I139+J139-K139=AA139+AB139-AC139,1&lt;4))),1,0),IF(AND(O139+P139-Q139&gt;0,OR(O139+P139-Q139&lt;AA139+AB139-AC139,AND(O139+P139-Q139=AA139+AB139-AC139,2&lt;4))),1,0),IF(AND(U139+V139-W139&gt;0,OR(U139+V139-W139&lt;AA139+AB139-AC139,AND(U139+V139-W139=AA139+AB139-AC139,3&lt;4))),1,0)))</x:f>
        <x:v>99</x:v>
      </x:c>
      <x:c r="AE139" s="6" t="n">
        <x:f>IF('Debt strategy'!$C$16&gt;0,0,MIN(AA139+AB139-AC139,MAX(0,'Debt strategy'!$C$5-SUM(E139,K139,Q139,W139,AC139)-SUM(IF(F139&lt;AD139,C139+D139-E139,0),IF(L139&lt;AD139,I139+J139-K139,0),IF(R139&lt;AD139,O139+P139-Q139,0),IF(X139&lt;AD139,U139+V139-W139,0)))))</x:f>
        <x:v>0</x:v>
      </x:c>
      <x:c r="AF139" s="6" t="n">
        <x:f>ROUND(MAX(0,AA139+AB139-AC139-AE139),2)</x:f>
        <x:v>0</x:v>
      </x:c>
      <x:c r="AG139" s="6" t="n">
        <x:f>SUM(H139,N139,T139,Z139,AF139)</x:f>
        <x:v>0</x:v>
      </x:c>
      <x:c r="AH139" s="6" t="n">
        <x:f>SUM(D139,J139,P139,V139,AB139)+AH138</x:f>
        <x:v>1353.9499999999996</x:v>
      </x:c>
      <x:c r="AI139" s="2"/>
    </x:row>
    <x:row r="140" ht="23" customHeight="1">
      <x:c r="B140" s="2" t="n">
        <x:f>132</x:f>
        <x:v>132</x:v>
      </x:c>
      <x:c r="C140" s="6" t="n">
        <x:f>H139</x:f>
        <x:v>0</x:v>
      </x:c>
      <x:c r="D140" s="6" t="n">
        <x:f>ROUND(C140*'Debt strategy'!$D$9/12,2)</x:f>
        <x:v>0</x:v>
      </x:c>
      <x:c r="E140" s="6" t="n">
        <x:f>MIN(C140+D140,'Debt strategy'!$E$9)</x:f>
        <x:v>0</x:v>
      </x:c>
      <x:c r="F140" s="27" t="n">
        <x:f>IF(C140+D140-E140&lt;=0,99,1+SUM(IF(AND(I140+J140-K140&gt;0,OR(I140+J140-K140&lt;C140+D140-E140,AND(I140+J140-K140=C140+D140-E140,1&lt;0))),1,0),IF(AND(O140+P140-Q140&gt;0,OR(O140+P140-Q140&lt;C140+D140-E140,AND(O140+P140-Q140=C140+D140-E140,2&lt;0))),1,0),IF(AND(U140+V140-W140&gt;0,OR(U140+V140-W140&lt;C140+D140-E140,AND(U140+V140-W140=C140+D140-E140,3&lt;0))),1,0),IF(AND(AA140+AB140-AC140&gt;0,OR(AA140+AB140-AC140&lt;C140+D140-E140,AND(AA140+AB140-AC140=C140+D140-E140,4&lt;0))),1,0)))</x:f>
        <x:v>99</x:v>
      </x:c>
      <x:c r="G140" s="6" t="n">
        <x:f>IF('Debt strategy'!$C$16&gt;0,0,MIN(C140+D140-E140,MAX(0,'Debt strategy'!$C$5-SUM(E140,K140,Q140,W140,AC140)-SUM(IF(L140&lt;F140,I140+J140-K140,0),IF(R140&lt;F140,O140+P140-Q140,0),IF(X140&lt;F140,U140+V140-W140,0),IF(AD140&lt;F140,AA140+AB140-AC140,0)))))</x:f>
        <x:v>0</x:v>
      </x:c>
      <x:c r="H140" s="6" t="n">
        <x:f>ROUND(MAX(0,C140+D140-E140-G140),2)</x:f>
        <x:v>0</x:v>
      </x:c>
      <x:c r="I140" s="6" t="n">
        <x:f>N139</x:f>
        <x:v>0</x:v>
      </x:c>
      <x:c r="J140" s="6" t="n">
        <x:f>ROUND(I140*'Debt strategy'!$D$10/12,2)</x:f>
        <x:v>0</x:v>
      </x:c>
      <x:c r="K140" s="6" t="n">
        <x:f>MIN(I140+J140,'Debt strategy'!$E$10)</x:f>
        <x:v>0</x:v>
      </x:c>
      <x:c r="L140" s="27" t="n">
        <x:f>IF(I140+J140-K140&lt;=0,99,1+SUM(IF(AND(C140+D140-E140&gt;0,OR(C140+D140-E140&lt;I140+J140-K140,AND(C140+D140-E140=I140+J140-K140,0&lt;1))),1,0),IF(AND(O140+P140-Q140&gt;0,OR(O140+P140-Q140&lt;I140+J140-K140,AND(O140+P140-Q140=I140+J140-K140,2&lt;1))),1,0),IF(AND(U140+V140-W140&gt;0,OR(U140+V140-W140&lt;I140+J140-K140,AND(U140+V140-W140=I140+J140-K140,3&lt;1))),1,0),IF(AND(AA140+AB140-AC140&gt;0,OR(AA140+AB140-AC140&lt;I140+J140-K140,AND(AA140+AB140-AC140=I140+J140-K140,4&lt;1))),1,0)))</x:f>
        <x:v>99</x:v>
      </x:c>
      <x:c r="M140" s="6" t="n">
        <x:f>IF('Debt strategy'!$C$16&gt;0,0,MIN(I140+J140-K140,MAX(0,'Debt strategy'!$C$5-SUM(E140,K140,Q140,W140,AC140)-SUM(IF(F140&lt;L140,C140+D140-E140,0),IF(R140&lt;L140,O140+P140-Q140,0),IF(X140&lt;L140,U140+V140-W140,0),IF(AD140&lt;L140,AA140+AB140-AC140,0)))))</x:f>
        <x:v>0</x:v>
      </x:c>
      <x:c r="N140" s="6" t="n">
        <x:f>ROUND(MAX(0,I140+J140-K140-M140),2)</x:f>
        <x:v>0</x:v>
      </x:c>
      <x:c r="O140" s="6" t="n">
        <x:f>T139</x:f>
        <x:v>0</x:v>
      </x:c>
      <x:c r="P140" s="6" t="n">
        <x:f>ROUND(O140*'Debt strategy'!$D$11/12,2)</x:f>
        <x:v>0</x:v>
      </x:c>
      <x:c r="Q140" s="6" t="n">
        <x:f>MIN(O140+P140,'Debt strategy'!$E$11)</x:f>
        <x:v>0</x:v>
      </x:c>
      <x:c r="R140" s="27" t="n">
        <x:f>IF(O140+P140-Q140&lt;=0,99,1+SUM(IF(AND(C140+D140-E140&gt;0,OR(C140+D140-E140&lt;O140+P140-Q140,AND(C140+D140-E140=O140+P140-Q140,0&lt;2))),1,0),IF(AND(I140+J140-K140&gt;0,OR(I140+J140-K140&lt;O140+P140-Q140,AND(I140+J140-K140=O140+P140-Q140,1&lt;2))),1,0),IF(AND(U140+V140-W140&gt;0,OR(U140+V140-W140&lt;O140+P140-Q140,AND(U140+V140-W140=O140+P140-Q140,3&lt;2))),1,0),IF(AND(AA140+AB140-AC140&gt;0,OR(AA140+AB140-AC140&lt;O140+P140-Q140,AND(AA140+AB140-AC140=O140+P140-Q140,4&lt;2))),1,0)))</x:f>
        <x:v>99</x:v>
      </x:c>
      <x:c r="S140" s="6" t="n">
        <x:f>IF('Debt strategy'!$C$16&gt;0,0,MIN(O140+P140-Q140,MAX(0,'Debt strategy'!$C$5-SUM(E140,K140,Q140,W140,AC140)-SUM(IF(F140&lt;R140,C140+D140-E140,0),IF(L140&lt;R140,I140+J140-K140,0),IF(X140&lt;R140,U140+V140-W140,0),IF(AD140&lt;R140,AA140+AB140-AC140,0)))))</x:f>
        <x:v>0</x:v>
      </x:c>
      <x:c r="T140" s="6" t="n">
        <x:f>ROUND(MAX(0,O140+P140-Q140-S140),2)</x:f>
        <x:v>0</x:v>
      </x:c>
      <x:c r="U140" s="6" t="n">
        <x:f>Z139</x:f>
        <x:v>0</x:v>
      </x:c>
      <x:c r="V140" s="6" t="n">
        <x:f>ROUND(U140*'Debt strategy'!$D$12/12,2)</x:f>
        <x:v>0</x:v>
      </x:c>
      <x:c r="W140" s="6" t="n">
        <x:f>MIN(U140+V140,'Debt strategy'!$E$12)</x:f>
        <x:v>0</x:v>
      </x:c>
      <x:c r="X140" s="27" t="n">
        <x:f>IF(U140+V140-W140&lt;=0,99,1+SUM(IF(AND(C140+D140-E140&gt;0,OR(C140+D140-E140&lt;U140+V140-W140,AND(C140+D140-E140=U140+V140-W140,0&lt;3))),1,0),IF(AND(I140+J140-K140&gt;0,OR(I140+J140-K140&lt;U140+V140-W140,AND(I140+J140-K140=U140+V140-W140,1&lt;3))),1,0),IF(AND(O140+P140-Q140&gt;0,OR(O140+P140-Q140&lt;U140+V140-W140,AND(O140+P140-Q140=U140+V140-W140,2&lt;3))),1,0),IF(AND(AA140+AB140-AC140&gt;0,OR(AA140+AB140-AC140&lt;U140+V140-W140,AND(AA140+AB140-AC140=U140+V140-W140,4&lt;3))),1,0)))</x:f>
        <x:v>99</x:v>
      </x:c>
      <x:c r="Y140" s="6" t="n">
        <x:f>IF('Debt strategy'!$C$16&gt;0,0,MIN(U140+V140-W140,MAX(0,'Debt strategy'!$C$5-SUM(E140,K140,Q140,W140,AC140)-SUM(IF(F140&lt;X140,C140+D140-E140,0),IF(L140&lt;X140,I140+J140-K140,0),IF(R140&lt;X140,O140+P140-Q140,0),IF(AD140&lt;X140,AA140+AB140-AC140,0)))))</x:f>
        <x:v>0</x:v>
      </x:c>
      <x:c r="Z140" s="6" t="n">
        <x:f>ROUND(MAX(0,U140+V140-W140-Y140),2)</x:f>
        <x:v>0</x:v>
      </x:c>
      <x:c r="AA140" s="6" t="n">
        <x:f>AF139</x:f>
        <x:v>0</x:v>
      </x:c>
      <x:c r="AB140" s="6" t="n">
        <x:f>ROUND(AA140*'Debt strategy'!$D$13/12,2)</x:f>
        <x:v>0</x:v>
      </x:c>
      <x:c r="AC140" s="6" t="n">
        <x:f>MIN(AA140+AB140,'Debt strategy'!$E$13)</x:f>
        <x:v>0</x:v>
      </x:c>
      <x:c r="AD140" s="27" t="n">
        <x:f>IF(AA140+AB140-AC140&lt;=0,99,1+SUM(IF(AND(C140+D140-E140&gt;0,OR(C140+D140-E140&lt;AA140+AB140-AC140,AND(C140+D140-E140=AA140+AB140-AC140,0&lt;4))),1,0),IF(AND(I140+J140-K140&gt;0,OR(I140+J140-K140&lt;AA140+AB140-AC140,AND(I140+J140-K140=AA140+AB140-AC140,1&lt;4))),1,0),IF(AND(O140+P140-Q140&gt;0,OR(O140+P140-Q140&lt;AA140+AB140-AC140,AND(O140+P140-Q140=AA140+AB140-AC140,2&lt;4))),1,0),IF(AND(U140+V140-W140&gt;0,OR(U140+V140-W140&lt;AA140+AB140-AC140,AND(U140+V140-W140=AA140+AB140-AC140,3&lt;4))),1,0)))</x:f>
        <x:v>99</x:v>
      </x:c>
      <x:c r="AE140" s="6" t="n">
        <x:f>IF('Debt strategy'!$C$16&gt;0,0,MIN(AA140+AB140-AC140,MAX(0,'Debt strategy'!$C$5-SUM(E140,K140,Q140,W140,AC140)-SUM(IF(F140&lt;AD140,C140+D140-E140,0),IF(L140&lt;AD140,I140+J140-K140,0),IF(R140&lt;AD140,O140+P140-Q140,0),IF(X140&lt;AD140,U140+V140-W140,0)))))</x:f>
        <x:v>0</x:v>
      </x:c>
      <x:c r="AF140" s="6" t="n">
        <x:f>ROUND(MAX(0,AA140+AB140-AC140-AE140),2)</x:f>
        <x:v>0</x:v>
      </x:c>
      <x:c r="AG140" s="6" t="n">
        <x:f>SUM(H140,N140,T140,Z140,AF140)</x:f>
        <x:v>0</x:v>
      </x:c>
      <x:c r="AH140" s="6" t="n">
        <x:f>SUM(D140,J140,P140,V140,AB140)+AH139</x:f>
        <x:v>1353.9499999999996</x:v>
      </x:c>
      <x:c r="AI140" s="2"/>
    </x:row>
    <x:row r="141" ht="23" customHeight="1">
      <x:c r="B141" s="2" t="n">
        <x:f>133</x:f>
        <x:v>133</x:v>
      </x:c>
      <x:c r="C141" s="6" t="n">
        <x:f>H140</x:f>
        <x:v>0</x:v>
      </x:c>
      <x:c r="D141" s="6" t="n">
        <x:f>ROUND(C141*'Debt strategy'!$D$9/12,2)</x:f>
        <x:v>0</x:v>
      </x:c>
      <x:c r="E141" s="6" t="n">
        <x:f>MIN(C141+D141,'Debt strategy'!$E$9)</x:f>
        <x:v>0</x:v>
      </x:c>
      <x:c r="F141" s="27" t="n">
        <x:f>IF(C141+D141-E141&lt;=0,99,1+SUM(IF(AND(I141+J141-K141&gt;0,OR(I141+J141-K141&lt;C141+D141-E141,AND(I141+J141-K141=C141+D141-E141,1&lt;0))),1,0),IF(AND(O141+P141-Q141&gt;0,OR(O141+P141-Q141&lt;C141+D141-E141,AND(O141+P141-Q141=C141+D141-E141,2&lt;0))),1,0),IF(AND(U141+V141-W141&gt;0,OR(U141+V141-W141&lt;C141+D141-E141,AND(U141+V141-W141=C141+D141-E141,3&lt;0))),1,0),IF(AND(AA141+AB141-AC141&gt;0,OR(AA141+AB141-AC141&lt;C141+D141-E141,AND(AA141+AB141-AC141=C141+D141-E141,4&lt;0))),1,0)))</x:f>
        <x:v>99</x:v>
      </x:c>
      <x:c r="G141" s="6" t="n">
        <x:f>IF('Debt strategy'!$C$16&gt;0,0,MIN(C141+D141-E141,MAX(0,'Debt strategy'!$C$5-SUM(E141,K141,Q141,W141,AC141)-SUM(IF(L141&lt;F141,I141+J141-K141,0),IF(R141&lt;F141,O141+P141-Q141,0),IF(X141&lt;F141,U141+V141-W141,0),IF(AD141&lt;F141,AA141+AB141-AC141,0)))))</x:f>
        <x:v>0</x:v>
      </x:c>
      <x:c r="H141" s="6" t="n">
        <x:f>ROUND(MAX(0,C141+D141-E141-G141),2)</x:f>
        <x:v>0</x:v>
      </x:c>
      <x:c r="I141" s="6" t="n">
        <x:f>N140</x:f>
        <x:v>0</x:v>
      </x:c>
      <x:c r="J141" s="6" t="n">
        <x:f>ROUND(I141*'Debt strategy'!$D$10/12,2)</x:f>
        <x:v>0</x:v>
      </x:c>
      <x:c r="K141" s="6" t="n">
        <x:f>MIN(I141+J141,'Debt strategy'!$E$10)</x:f>
        <x:v>0</x:v>
      </x:c>
      <x:c r="L141" s="27" t="n">
        <x:f>IF(I141+J141-K141&lt;=0,99,1+SUM(IF(AND(C141+D141-E141&gt;0,OR(C141+D141-E141&lt;I141+J141-K141,AND(C141+D141-E141=I141+J141-K141,0&lt;1))),1,0),IF(AND(O141+P141-Q141&gt;0,OR(O141+P141-Q141&lt;I141+J141-K141,AND(O141+P141-Q141=I141+J141-K141,2&lt;1))),1,0),IF(AND(U141+V141-W141&gt;0,OR(U141+V141-W141&lt;I141+J141-K141,AND(U141+V141-W141=I141+J141-K141,3&lt;1))),1,0),IF(AND(AA141+AB141-AC141&gt;0,OR(AA141+AB141-AC141&lt;I141+J141-K141,AND(AA141+AB141-AC141=I141+J141-K141,4&lt;1))),1,0)))</x:f>
        <x:v>99</x:v>
      </x:c>
      <x:c r="M141" s="6" t="n">
        <x:f>IF('Debt strategy'!$C$16&gt;0,0,MIN(I141+J141-K141,MAX(0,'Debt strategy'!$C$5-SUM(E141,K141,Q141,W141,AC141)-SUM(IF(F141&lt;L141,C141+D141-E141,0),IF(R141&lt;L141,O141+P141-Q141,0),IF(X141&lt;L141,U141+V141-W141,0),IF(AD141&lt;L141,AA141+AB141-AC141,0)))))</x:f>
        <x:v>0</x:v>
      </x:c>
      <x:c r="N141" s="6" t="n">
        <x:f>ROUND(MAX(0,I141+J141-K141-M141),2)</x:f>
        <x:v>0</x:v>
      </x:c>
      <x:c r="O141" s="6" t="n">
        <x:f>T140</x:f>
        <x:v>0</x:v>
      </x:c>
      <x:c r="P141" s="6" t="n">
        <x:f>ROUND(O141*'Debt strategy'!$D$11/12,2)</x:f>
        <x:v>0</x:v>
      </x:c>
      <x:c r="Q141" s="6" t="n">
        <x:f>MIN(O141+P141,'Debt strategy'!$E$11)</x:f>
        <x:v>0</x:v>
      </x:c>
      <x:c r="R141" s="27" t="n">
        <x:f>IF(O141+P141-Q141&lt;=0,99,1+SUM(IF(AND(C141+D141-E141&gt;0,OR(C141+D141-E141&lt;O141+P141-Q141,AND(C141+D141-E141=O141+P141-Q141,0&lt;2))),1,0),IF(AND(I141+J141-K141&gt;0,OR(I141+J141-K141&lt;O141+P141-Q141,AND(I141+J141-K141=O141+P141-Q141,1&lt;2))),1,0),IF(AND(U141+V141-W141&gt;0,OR(U141+V141-W141&lt;O141+P141-Q141,AND(U141+V141-W141=O141+P141-Q141,3&lt;2))),1,0),IF(AND(AA141+AB141-AC141&gt;0,OR(AA141+AB141-AC141&lt;O141+P141-Q141,AND(AA141+AB141-AC141=O141+P141-Q141,4&lt;2))),1,0)))</x:f>
        <x:v>99</x:v>
      </x:c>
      <x:c r="S141" s="6" t="n">
        <x:f>IF('Debt strategy'!$C$16&gt;0,0,MIN(O141+P141-Q141,MAX(0,'Debt strategy'!$C$5-SUM(E141,K141,Q141,W141,AC141)-SUM(IF(F141&lt;R141,C141+D141-E141,0),IF(L141&lt;R141,I141+J141-K141,0),IF(X141&lt;R141,U141+V141-W141,0),IF(AD141&lt;R141,AA141+AB141-AC141,0)))))</x:f>
        <x:v>0</x:v>
      </x:c>
      <x:c r="T141" s="6" t="n">
        <x:f>ROUND(MAX(0,O141+P141-Q141-S141),2)</x:f>
        <x:v>0</x:v>
      </x:c>
      <x:c r="U141" s="6" t="n">
        <x:f>Z140</x:f>
        <x:v>0</x:v>
      </x:c>
      <x:c r="V141" s="6" t="n">
        <x:f>ROUND(U141*'Debt strategy'!$D$12/12,2)</x:f>
        <x:v>0</x:v>
      </x:c>
      <x:c r="W141" s="6" t="n">
        <x:f>MIN(U141+V141,'Debt strategy'!$E$12)</x:f>
        <x:v>0</x:v>
      </x:c>
      <x:c r="X141" s="27" t="n">
        <x:f>IF(U141+V141-W141&lt;=0,99,1+SUM(IF(AND(C141+D141-E141&gt;0,OR(C141+D141-E141&lt;U141+V141-W141,AND(C141+D141-E141=U141+V141-W141,0&lt;3))),1,0),IF(AND(I141+J141-K141&gt;0,OR(I141+J141-K141&lt;U141+V141-W141,AND(I141+J141-K141=U141+V141-W141,1&lt;3))),1,0),IF(AND(O141+P141-Q141&gt;0,OR(O141+P141-Q141&lt;U141+V141-W141,AND(O141+P141-Q141=U141+V141-W141,2&lt;3))),1,0),IF(AND(AA141+AB141-AC141&gt;0,OR(AA141+AB141-AC141&lt;U141+V141-W141,AND(AA141+AB141-AC141=U141+V141-W141,4&lt;3))),1,0)))</x:f>
        <x:v>99</x:v>
      </x:c>
      <x:c r="Y141" s="6" t="n">
        <x:f>IF('Debt strategy'!$C$16&gt;0,0,MIN(U141+V141-W141,MAX(0,'Debt strategy'!$C$5-SUM(E141,K141,Q141,W141,AC141)-SUM(IF(F141&lt;X141,C141+D141-E141,0),IF(L141&lt;X141,I141+J141-K141,0),IF(R141&lt;X141,O141+P141-Q141,0),IF(AD141&lt;X141,AA141+AB141-AC141,0)))))</x:f>
        <x:v>0</x:v>
      </x:c>
      <x:c r="Z141" s="6" t="n">
        <x:f>ROUND(MAX(0,U141+V141-W141-Y141),2)</x:f>
        <x:v>0</x:v>
      </x:c>
      <x:c r="AA141" s="6" t="n">
        <x:f>AF140</x:f>
        <x:v>0</x:v>
      </x:c>
      <x:c r="AB141" s="6" t="n">
        <x:f>ROUND(AA141*'Debt strategy'!$D$13/12,2)</x:f>
        <x:v>0</x:v>
      </x:c>
      <x:c r="AC141" s="6" t="n">
        <x:f>MIN(AA141+AB141,'Debt strategy'!$E$13)</x:f>
        <x:v>0</x:v>
      </x:c>
      <x:c r="AD141" s="27" t="n">
        <x:f>IF(AA141+AB141-AC141&lt;=0,99,1+SUM(IF(AND(C141+D141-E141&gt;0,OR(C141+D141-E141&lt;AA141+AB141-AC141,AND(C141+D141-E141=AA141+AB141-AC141,0&lt;4))),1,0),IF(AND(I141+J141-K141&gt;0,OR(I141+J141-K141&lt;AA141+AB141-AC141,AND(I141+J141-K141=AA141+AB141-AC141,1&lt;4))),1,0),IF(AND(O141+P141-Q141&gt;0,OR(O141+P141-Q141&lt;AA141+AB141-AC141,AND(O141+P141-Q141=AA141+AB141-AC141,2&lt;4))),1,0),IF(AND(U141+V141-W141&gt;0,OR(U141+V141-W141&lt;AA141+AB141-AC141,AND(U141+V141-W141=AA141+AB141-AC141,3&lt;4))),1,0)))</x:f>
        <x:v>99</x:v>
      </x:c>
      <x:c r="AE141" s="6" t="n">
        <x:f>IF('Debt strategy'!$C$16&gt;0,0,MIN(AA141+AB141-AC141,MAX(0,'Debt strategy'!$C$5-SUM(E141,K141,Q141,W141,AC141)-SUM(IF(F141&lt;AD141,C141+D141-E141,0),IF(L141&lt;AD141,I141+J141-K141,0),IF(R141&lt;AD141,O141+P141-Q141,0),IF(X141&lt;AD141,U141+V141-W141,0)))))</x:f>
        <x:v>0</x:v>
      </x:c>
      <x:c r="AF141" s="6" t="n">
        <x:f>ROUND(MAX(0,AA141+AB141-AC141-AE141),2)</x:f>
        <x:v>0</x:v>
      </x:c>
      <x:c r="AG141" s="6" t="n">
        <x:f>SUM(H141,N141,T141,Z141,AF141)</x:f>
        <x:v>0</x:v>
      </x:c>
      <x:c r="AH141" s="6" t="n">
        <x:f>SUM(D141,J141,P141,V141,AB141)+AH140</x:f>
        <x:v>1353.9499999999996</x:v>
      </x:c>
      <x:c r="AI141" s="2"/>
    </x:row>
    <x:row r="142" ht="23" customHeight="1">
      <x:c r="B142" s="2" t="n">
        <x:f>134</x:f>
        <x:v>134</x:v>
      </x:c>
      <x:c r="C142" s="6" t="n">
        <x:f>H141</x:f>
        <x:v>0</x:v>
      </x:c>
      <x:c r="D142" s="6" t="n">
        <x:f>ROUND(C142*'Debt strategy'!$D$9/12,2)</x:f>
        <x:v>0</x:v>
      </x:c>
      <x:c r="E142" s="6" t="n">
        <x:f>MIN(C142+D142,'Debt strategy'!$E$9)</x:f>
        <x:v>0</x:v>
      </x:c>
      <x:c r="F142" s="27" t="n">
        <x:f>IF(C142+D142-E142&lt;=0,99,1+SUM(IF(AND(I142+J142-K142&gt;0,OR(I142+J142-K142&lt;C142+D142-E142,AND(I142+J142-K142=C142+D142-E142,1&lt;0))),1,0),IF(AND(O142+P142-Q142&gt;0,OR(O142+P142-Q142&lt;C142+D142-E142,AND(O142+P142-Q142=C142+D142-E142,2&lt;0))),1,0),IF(AND(U142+V142-W142&gt;0,OR(U142+V142-W142&lt;C142+D142-E142,AND(U142+V142-W142=C142+D142-E142,3&lt;0))),1,0),IF(AND(AA142+AB142-AC142&gt;0,OR(AA142+AB142-AC142&lt;C142+D142-E142,AND(AA142+AB142-AC142=C142+D142-E142,4&lt;0))),1,0)))</x:f>
        <x:v>99</x:v>
      </x:c>
      <x:c r="G142" s="6" t="n">
        <x:f>IF('Debt strategy'!$C$16&gt;0,0,MIN(C142+D142-E142,MAX(0,'Debt strategy'!$C$5-SUM(E142,K142,Q142,W142,AC142)-SUM(IF(L142&lt;F142,I142+J142-K142,0),IF(R142&lt;F142,O142+P142-Q142,0),IF(X142&lt;F142,U142+V142-W142,0),IF(AD142&lt;F142,AA142+AB142-AC142,0)))))</x:f>
        <x:v>0</x:v>
      </x:c>
      <x:c r="H142" s="6" t="n">
        <x:f>ROUND(MAX(0,C142+D142-E142-G142),2)</x:f>
        <x:v>0</x:v>
      </x:c>
      <x:c r="I142" s="6" t="n">
        <x:f>N141</x:f>
        <x:v>0</x:v>
      </x:c>
      <x:c r="J142" s="6" t="n">
        <x:f>ROUND(I142*'Debt strategy'!$D$10/12,2)</x:f>
        <x:v>0</x:v>
      </x:c>
      <x:c r="K142" s="6" t="n">
        <x:f>MIN(I142+J142,'Debt strategy'!$E$10)</x:f>
        <x:v>0</x:v>
      </x:c>
      <x:c r="L142" s="27" t="n">
        <x:f>IF(I142+J142-K142&lt;=0,99,1+SUM(IF(AND(C142+D142-E142&gt;0,OR(C142+D142-E142&lt;I142+J142-K142,AND(C142+D142-E142=I142+J142-K142,0&lt;1))),1,0),IF(AND(O142+P142-Q142&gt;0,OR(O142+P142-Q142&lt;I142+J142-K142,AND(O142+P142-Q142=I142+J142-K142,2&lt;1))),1,0),IF(AND(U142+V142-W142&gt;0,OR(U142+V142-W142&lt;I142+J142-K142,AND(U142+V142-W142=I142+J142-K142,3&lt;1))),1,0),IF(AND(AA142+AB142-AC142&gt;0,OR(AA142+AB142-AC142&lt;I142+J142-K142,AND(AA142+AB142-AC142=I142+J142-K142,4&lt;1))),1,0)))</x:f>
        <x:v>99</x:v>
      </x:c>
      <x:c r="M142" s="6" t="n">
        <x:f>IF('Debt strategy'!$C$16&gt;0,0,MIN(I142+J142-K142,MAX(0,'Debt strategy'!$C$5-SUM(E142,K142,Q142,W142,AC142)-SUM(IF(F142&lt;L142,C142+D142-E142,0),IF(R142&lt;L142,O142+P142-Q142,0),IF(X142&lt;L142,U142+V142-W142,0),IF(AD142&lt;L142,AA142+AB142-AC142,0)))))</x:f>
        <x:v>0</x:v>
      </x:c>
      <x:c r="N142" s="6" t="n">
        <x:f>ROUND(MAX(0,I142+J142-K142-M142),2)</x:f>
        <x:v>0</x:v>
      </x:c>
      <x:c r="O142" s="6" t="n">
        <x:f>T141</x:f>
        <x:v>0</x:v>
      </x:c>
      <x:c r="P142" s="6" t="n">
        <x:f>ROUND(O142*'Debt strategy'!$D$11/12,2)</x:f>
        <x:v>0</x:v>
      </x:c>
      <x:c r="Q142" s="6" t="n">
        <x:f>MIN(O142+P142,'Debt strategy'!$E$11)</x:f>
        <x:v>0</x:v>
      </x:c>
      <x:c r="R142" s="27" t="n">
        <x:f>IF(O142+P142-Q142&lt;=0,99,1+SUM(IF(AND(C142+D142-E142&gt;0,OR(C142+D142-E142&lt;O142+P142-Q142,AND(C142+D142-E142=O142+P142-Q142,0&lt;2))),1,0),IF(AND(I142+J142-K142&gt;0,OR(I142+J142-K142&lt;O142+P142-Q142,AND(I142+J142-K142=O142+P142-Q142,1&lt;2))),1,0),IF(AND(U142+V142-W142&gt;0,OR(U142+V142-W142&lt;O142+P142-Q142,AND(U142+V142-W142=O142+P142-Q142,3&lt;2))),1,0),IF(AND(AA142+AB142-AC142&gt;0,OR(AA142+AB142-AC142&lt;O142+P142-Q142,AND(AA142+AB142-AC142=O142+P142-Q142,4&lt;2))),1,0)))</x:f>
        <x:v>99</x:v>
      </x:c>
      <x:c r="S142" s="6" t="n">
        <x:f>IF('Debt strategy'!$C$16&gt;0,0,MIN(O142+P142-Q142,MAX(0,'Debt strategy'!$C$5-SUM(E142,K142,Q142,W142,AC142)-SUM(IF(F142&lt;R142,C142+D142-E142,0),IF(L142&lt;R142,I142+J142-K142,0),IF(X142&lt;R142,U142+V142-W142,0),IF(AD142&lt;R142,AA142+AB142-AC142,0)))))</x:f>
        <x:v>0</x:v>
      </x:c>
      <x:c r="T142" s="6" t="n">
        <x:f>ROUND(MAX(0,O142+P142-Q142-S142),2)</x:f>
        <x:v>0</x:v>
      </x:c>
      <x:c r="U142" s="6" t="n">
        <x:f>Z141</x:f>
        <x:v>0</x:v>
      </x:c>
      <x:c r="V142" s="6" t="n">
        <x:f>ROUND(U142*'Debt strategy'!$D$12/12,2)</x:f>
        <x:v>0</x:v>
      </x:c>
      <x:c r="W142" s="6" t="n">
        <x:f>MIN(U142+V142,'Debt strategy'!$E$12)</x:f>
        <x:v>0</x:v>
      </x:c>
      <x:c r="X142" s="27" t="n">
        <x:f>IF(U142+V142-W142&lt;=0,99,1+SUM(IF(AND(C142+D142-E142&gt;0,OR(C142+D142-E142&lt;U142+V142-W142,AND(C142+D142-E142=U142+V142-W142,0&lt;3))),1,0),IF(AND(I142+J142-K142&gt;0,OR(I142+J142-K142&lt;U142+V142-W142,AND(I142+J142-K142=U142+V142-W142,1&lt;3))),1,0),IF(AND(O142+P142-Q142&gt;0,OR(O142+P142-Q142&lt;U142+V142-W142,AND(O142+P142-Q142=U142+V142-W142,2&lt;3))),1,0),IF(AND(AA142+AB142-AC142&gt;0,OR(AA142+AB142-AC142&lt;U142+V142-W142,AND(AA142+AB142-AC142=U142+V142-W142,4&lt;3))),1,0)))</x:f>
        <x:v>99</x:v>
      </x:c>
      <x:c r="Y142" s="6" t="n">
        <x:f>IF('Debt strategy'!$C$16&gt;0,0,MIN(U142+V142-W142,MAX(0,'Debt strategy'!$C$5-SUM(E142,K142,Q142,W142,AC142)-SUM(IF(F142&lt;X142,C142+D142-E142,0),IF(L142&lt;X142,I142+J142-K142,0),IF(R142&lt;X142,O142+P142-Q142,0),IF(AD142&lt;X142,AA142+AB142-AC142,0)))))</x:f>
        <x:v>0</x:v>
      </x:c>
      <x:c r="Z142" s="6" t="n">
        <x:f>ROUND(MAX(0,U142+V142-W142-Y142),2)</x:f>
        <x:v>0</x:v>
      </x:c>
      <x:c r="AA142" s="6" t="n">
        <x:f>AF141</x:f>
        <x:v>0</x:v>
      </x:c>
      <x:c r="AB142" s="6" t="n">
        <x:f>ROUND(AA142*'Debt strategy'!$D$13/12,2)</x:f>
        <x:v>0</x:v>
      </x:c>
      <x:c r="AC142" s="6" t="n">
        <x:f>MIN(AA142+AB142,'Debt strategy'!$E$13)</x:f>
        <x:v>0</x:v>
      </x:c>
      <x:c r="AD142" s="27" t="n">
        <x:f>IF(AA142+AB142-AC142&lt;=0,99,1+SUM(IF(AND(C142+D142-E142&gt;0,OR(C142+D142-E142&lt;AA142+AB142-AC142,AND(C142+D142-E142=AA142+AB142-AC142,0&lt;4))),1,0),IF(AND(I142+J142-K142&gt;0,OR(I142+J142-K142&lt;AA142+AB142-AC142,AND(I142+J142-K142=AA142+AB142-AC142,1&lt;4))),1,0),IF(AND(O142+P142-Q142&gt;0,OR(O142+P142-Q142&lt;AA142+AB142-AC142,AND(O142+P142-Q142=AA142+AB142-AC142,2&lt;4))),1,0),IF(AND(U142+V142-W142&gt;0,OR(U142+V142-W142&lt;AA142+AB142-AC142,AND(U142+V142-W142=AA142+AB142-AC142,3&lt;4))),1,0)))</x:f>
        <x:v>99</x:v>
      </x:c>
      <x:c r="AE142" s="6" t="n">
        <x:f>IF('Debt strategy'!$C$16&gt;0,0,MIN(AA142+AB142-AC142,MAX(0,'Debt strategy'!$C$5-SUM(E142,K142,Q142,W142,AC142)-SUM(IF(F142&lt;AD142,C142+D142-E142,0),IF(L142&lt;AD142,I142+J142-K142,0),IF(R142&lt;AD142,O142+P142-Q142,0),IF(X142&lt;AD142,U142+V142-W142,0)))))</x:f>
        <x:v>0</x:v>
      </x:c>
      <x:c r="AF142" s="6" t="n">
        <x:f>ROUND(MAX(0,AA142+AB142-AC142-AE142),2)</x:f>
        <x:v>0</x:v>
      </x:c>
      <x:c r="AG142" s="6" t="n">
        <x:f>SUM(H142,N142,T142,Z142,AF142)</x:f>
        <x:v>0</x:v>
      </x:c>
      <x:c r="AH142" s="6" t="n">
        <x:f>SUM(D142,J142,P142,V142,AB142)+AH141</x:f>
        <x:v>1353.9499999999996</x:v>
      </x:c>
      <x:c r="AI142" s="2"/>
    </x:row>
    <x:row r="143" ht="23" customHeight="1">
      <x:c r="B143" s="2" t="n">
        <x:f>135</x:f>
        <x:v>135</x:v>
      </x:c>
      <x:c r="C143" s="6" t="n">
        <x:f>H142</x:f>
        <x:v>0</x:v>
      </x:c>
      <x:c r="D143" s="6" t="n">
        <x:f>ROUND(C143*'Debt strategy'!$D$9/12,2)</x:f>
        <x:v>0</x:v>
      </x:c>
      <x:c r="E143" s="6" t="n">
        <x:f>MIN(C143+D143,'Debt strategy'!$E$9)</x:f>
        <x:v>0</x:v>
      </x:c>
      <x:c r="F143" s="27" t="n">
        <x:f>IF(C143+D143-E143&lt;=0,99,1+SUM(IF(AND(I143+J143-K143&gt;0,OR(I143+J143-K143&lt;C143+D143-E143,AND(I143+J143-K143=C143+D143-E143,1&lt;0))),1,0),IF(AND(O143+P143-Q143&gt;0,OR(O143+P143-Q143&lt;C143+D143-E143,AND(O143+P143-Q143=C143+D143-E143,2&lt;0))),1,0),IF(AND(U143+V143-W143&gt;0,OR(U143+V143-W143&lt;C143+D143-E143,AND(U143+V143-W143=C143+D143-E143,3&lt;0))),1,0),IF(AND(AA143+AB143-AC143&gt;0,OR(AA143+AB143-AC143&lt;C143+D143-E143,AND(AA143+AB143-AC143=C143+D143-E143,4&lt;0))),1,0)))</x:f>
        <x:v>99</x:v>
      </x:c>
      <x:c r="G143" s="6" t="n">
        <x:f>IF('Debt strategy'!$C$16&gt;0,0,MIN(C143+D143-E143,MAX(0,'Debt strategy'!$C$5-SUM(E143,K143,Q143,W143,AC143)-SUM(IF(L143&lt;F143,I143+J143-K143,0),IF(R143&lt;F143,O143+P143-Q143,0),IF(X143&lt;F143,U143+V143-W143,0),IF(AD143&lt;F143,AA143+AB143-AC143,0)))))</x:f>
        <x:v>0</x:v>
      </x:c>
      <x:c r="H143" s="6" t="n">
        <x:f>ROUND(MAX(0,C143+D143-E143-G143),2)</x:f>
        <x:v>0</x:v>
      </x:c>
      <x:c r="I143" s="6" t="n">
        <x:f>N142</x:f>
        <x:v>0</x:v>
      </x:c>
      <x:c r="J143" s="6" t="n">
        <x:f>ROUND(I143*'Debt strategy'!$D$10/12,2)</x:f>
        <x:v>0</x:v>
      </x:c>
      <x:c r="K143" s="6" t="n">
        <x:f>MIN(I143+J143,'Debt strategy'!$E$10)</x:f>
        <x:v>0</x:v>
      </x:c>
      <x:c r="L143" s="27" t="n">
        <x:f>IF(I143+J143-K143&lt;=0,99,1+SUM(IF(AND(C143+D143-E143&gt;0,OR(C143+D143-E143&lt;I143+J143-K143,AND(C143+D143-E143=I143+J143-K143,0&lt;1))),1,0),IF(AND(O143+P143-Q143&gt;0,OR(O143+P143-Q143&lt;I143+J143-K143,AND(O143+P143-Q143=I143+J143-K143,2&lt;1))),1,0),IF(AND(U143+V143-W143&gt;0,OR(U143+V143-W143&lt;I143+J143-K143,AND(U143+V143-W143=I143+J143-K143,3&lt;1))),1,0),IF(AND(AA143+AB143-AC143&gt;0,OR(AA143+AB143-AC143&lt;I143+J143-K143,AND(AA143+AB143-AC143=I143+J143-K143,4&lt;1))),1,0)))</x:f>
        <x:v>99</x:v>
      </x:c>
      <x:c r="M143" s="6" t="n">
        <x:f>IF('Debt strategy'!$C$16&gt;0,0,MIN(I143+J143-K143,MAX(0,'Debt strategy'!$C$5-SUM(E143,K143,Q143,W143,AC143)-SUM(IF(F143&lt;L143,C143+D143-E143,0),IF(R143&lt;L143,O143+P143-Q143,0),IF(X143&lt;L143,U143+V143-W143,0),IF(AD143&lt;L143,AA143+AB143-AC143,0)))))</x:f>
        <x:v>0</x:v>
      </x:c>
      <x:c r="N143" s="6" t="n">
        <x:f>ROUND(MAX(0,I143+J143-K143-M143),2)</x:f>
        <x:v>0</x:v>
      </x:c>
      <x:c r="O143" s="6" t="n">
        <x:f>T142</x:f>
        <x:v>0</x:v>
      </x:c>
      <x:c r="P143" s="6" t="n">
        <x:f>ROUND(O143*'Debt strategy'!$D$11/12,2)</x:f>
        <x:v>0</x:v>
      </x:c>
      <x:c r="Q143" s="6" t="n">
        <x:f>MIN(O143+P143,'Debt strategy'!$E$11)</x:f>
        <x:v>0</x:v>
      </x:c>
      <x:c r="R143" s="27" t="n">
        <x:f>IF(O143+P143-Q143&lt;=0,99,1+SUM(IF(AND(C143+D143-E143&gt;0,OR(C143+D143-E143&lt;O143+P143-Q143,AND(C143+D143-E143=O143+P143-Q143,0&lt;2))),1,0),IF(AND(I143+J143-K143&gt;0,OR(I143+J143-K143&lt;O143+P143-Q143,AND(I143+J143-K143=O143+P143-Q143,1&lt;2))),1,0),IF(AND(U143+V143-W143&gt;0,OR(U143+V143-W143&lt;O143+P143-Q143,AND(U143+V143-W143=O143+P143-Q143,3&lt;2))),1,0),IF(AND(AA143+AB143-AC143&gt;0,OR(AA143+AB143-AC143&lt;O143+P143-Q143,AND(AA143+AB143-AC143=O143+P143-Q143,4&lt;2))),1,0)))</x:f>
        <x:v>99</x:v>
      </x:c>
      <x:c r="S143" s="6" t="n">
        <x:f>IF('Debt strategy'!$C$16&gt;0,0,MIN(O143+P143-Q143,MAX(0,'Debt strategy'!$C$5-SUM(E143,K143,Q143,W143,AC143)-SUM(IF(F143&lt;R143,C143+D143-E143,0),IF(L143&lt;R143,I143+J143-K143,0),IF(X143&lt;R143,U143+V143-W143,0),IF(AD143&lt;R143,AA143+AB143-AC143,0)))))</x:f>
        <x:v>0</x:v>
      </x:c>
      <x:c r="T143" s="6" t="n">
        <x:f>ROUND(MAX(0,O143+P143-Q143-S143),2)</x:f>
        <x:v>0</x:v>
      </x:c>
      <x:c r="U143" s="6" t="n">
        <x:f>Z142</x:f>
        <x:v>0</x:v>
      </x:c>
      <x:c r="V143" s="6" t="n">
        <x:f>ROUND(U143*'Debt strategy'!$D$12/12,2)</x:f>
        <x:v>0</x:v>
      </x:c>
      <x:c r="W143" s="6" t="n">
        <x:f>MIN(U143+V143,'Debt strategy'!$E$12)</x:f>
        <x:v>0</x:v>
      </x:c>
      <x:c r="X143" s="27" t="n">
        <x:f>IF(U143+V143-W143&lt;=0,99,1+SUM(IF(AND(C143+D143-E143&gt;0,OR(C143+D143-E143&lt;U143+V143-W143,AND(C143+D143-E143=U143+V143-W143,0&lt;3))),1,0),IF(AND(I143+J143-K143&gt;0,OR(I143+J143-K143&lt;U143+V143-W143,AND(I143+J143-K143=U143+V143-W143,1&lt;3))),1,0),IF(AND(O143+P143-Q143&gt;0,OR(O143+P143-Q143&lt;U143+V143-W143,AND(O143+P143-Q143=U143+V143-W143,2&lt;3))),1,0),IF(AND(AA143+AB143-AC143&gt;0,OR(AA143+AB143-AC143&lt;U143+V143-W143,AND(AA143+AB143-AC143=U143+V143-W143,4&lt;3))),1,0)))</x:f>
        <x:v>99</x:v>
      </x:c>
      <x:c r="Y143" s="6" t="n">
        <x:f>IF('Debt strategy'!$C$16&gt;0,0,MIN(U143+V143-W143,MAX(0,'Debt strategy'!$C$5-SUM(E143,K143,Q143,W143,AC143)-SUM(IF(F143&lt;X143,C143+D143-E143,0),IF(L143&lt;X143,I143+J143-K143,0),IF(R143&lt;X143,O143+P143-Q143,0),IF(AD143&lt;X143,AA143+AB143-AC143,0)))))</x:f>
        <x:v>0</x:v>
      </x:c>
      <x:c r="Z143" s="6" t="n">
        <x:f>ROUND(MAX(0,U143+V143-W143-Y143),2)</x:f>
        <x:v>0</x:v>
      </x:c>
      <x:c r="AA143" s="6" t="n">
        <x:f>AF142</x:f>
        <x:v>0</x:v>
      </x:c>
      <x:c r="AB143" s="6" t="n">
        <x:f>ROUND(AA143*'Debt strategy'!$D$13/12,2)</x:f>
        <x:v>0</x:v>
      </x:c>
      <x:c r="AC143" s="6" t="n">
        <x:f>MIN(AA143+AB143,'Debt strategy'!$E$13)</x:f>
        <x:v>0</x:v>
      </x:c>
      <x:c r="AD143" s="27" t="n">
        <x:f>IF(AA143+AB143-AC143&lt;=0,99,1+SUM(IF(AND(C143+D143-E143&gt;0,OR(C143+D143-E143&lt;AA143+AB143-AC143,AND(C143+D143-E143=AA143+AB143-AC143,0&lt;4))),1,0),IF(AND(I143+J143-K143&gt;0,OR(I143+J143-K143&lt;AA143+AB143-AC143,AND(I143+J143-K143=AA143+AB143-AC143,1&lt;4))),1,0),IF(AND(O143+P143-Q143&gt;0,OR(O143+P143-Q143&lt;AA143+AB143-AC143,AND(O143+P143-Q143=AA143+AB143-AC143,2&lt;4))),1,0),IF(AND(U143+V143-W143&gt;0,OR(U143+V143-W143&lt;AA143+AB143-AC143,AND(U143+V143-W143=AA143+AB143-AC143,3&lt;4))),1,0)))</x:f>
        <x:v>99</x:v>
      </x:c>
      <x:c r="AE143" s="6" t="n">
        <x:f>IF('Debt strategy'!$C$16&gt;0,0,MIN(AA143+AB143-AC143,MAX(0,'Debt strategy'!$C$5-SUM(E143,K143,Q143,W143,AC143)-SUM(IF(F143&lt;AD143,C143+D143-E143,0),IF(L143&lt;AD143,I143+J143-K143,0),IF(R143&lt;AD143,O143+P143-Q143,0),IF(X143&lt;AD143,U143+V143-W143,0)))))</x:f>
        <x:v>0</x:v>
      </x:c>
      <x:c r="AF143" s="6" t="n">
        <x:f>ROUND(MAX(0,AA143+AB143-AC143-AE143),2)</x:f>
        <x:v>0</x:v>
      </x:c>
      <x:c r="AG143" s="6" t="n">
        <x:f>SUM(H143,N143,T143,Z143,AF143)</x:f>
        <x:v>0</x:v>
      </x:c>
      <x:c r="AH143" s="6" t="n">
        <x:f>SUM(D143,J143,P143,V143,AB143)+AH142</x:f>
        <x:v>1353.9499999999996</x:v>
      </x:c>
      <x:c r="AI143" s="2"/>
    </x:row>
    <x:row r="144" ht="23" customHeight="1">
      <x:c r="B144" s="2" t="n">
        <x:f>136</x:f>
        <x:v>136</x:v>
      </x:c>
      <x:c r="C144" s="6" t="n">
        <x:f>H143</x:f>
        <x:v>0</x:v>
      </x:c>
      <x:c r="D144" s="6" t="n">
        <x:f>ROUND(C144*'Debt strategy'!$D$9/12,2)</x:f>
        <x:v>0</x:v>
      </x:c>
      <x:c r="E144" s="6" t="n">
        <x:f>MIN(C144+D144,'Debt strategy'!$E$9)</x:f>
        <x:v>0</x:v>
      </x:c>
      <x:c r="F144" s="27" t="n">
        <x:f>IF(C144+D144-E144&lt;=0,99,1+SUM(IF(AND(I144+J144-K144&gt;0,OR(I144+J144-K144&lt;C144+D144-E144,AND(I144+J144-K144=C144+D144-E144,1&lt;0))),1,0),IF(AND(O144+P144-Q144&gt;0,OR(O144+P144-Q144&lt;C144+D144-E144,AND(O144+P144-Q144=C144+D144-E144,2&lt;0))),1,0),IF(AND(U144+V144-W144&gt;0,OR(U144+V144-W144&lt;C144+D144-E144,AND(U144+V144-W144=C144+D144-E144,3&lt;0))),1,0),IF(AND(AA144+AB144-AC144&gt;0,OR(AA144+AB144-AC144&lt;C144+D144-E144,AND(AA144+AB144-AC144=C144+D144-E144,4&lt;0))),1,0)))</x:f>
        <x:v>99</x:v>
      </x:c>
      <x:c r="G144" s="6" t="n">
        <x:f>IF('Debt strategy'!$C$16&gt;0,0,MIN(C144+D144-E144,MAX(0,'Debt strategy'!$C$5-SUM(E144,K144,Q144,W144,AC144)-SUM(IF(L144&lt;F144,I144+J144-K144,0),IF(R144&lt;F144,O144+P144-Q144,0),IF(X144&lt;F144,U144+V144-W144,0),IF(AD144&lt;F144,AA144+AB144-AC144,0)))))</x:f>
        <x:v>0</x:v>
      </x:c>
      <x:c r="H144" s="6" t="n">
        <x:f>ROUND(MAX(0,C144+D144-E144-G144),2)</x:f>
        <x:v>0</x:v>
      </x:c>
      <x:c r="I144" s="6" t="n">
        <x:f>N143</x:f>
        <x:v>0</x:v>
      </x:c>
      <x:c r="J144" s="6" t="n">
        <x:f>ROUND(I144*'Debt strategy'!$D$10/12,2)</x:f>
        <x:v>0</x:v>
      </x:c>
      <x:c r="K144" s="6" t="n">
        <x:f>MIN(I144+J144,'Debt strategy'!$E$10)</x:f>
        <x:v>0</x:v>
      </x:c>
      <x:c r="L144" s="27" t="n">
        <x:f>IF(I144+J144-K144&lt;=0,99,1+SUM(IF(AND(C144+D144-E144&gt;0,OR(C144+D144-E144&lt;I144+J144-K144,AND(C144+D144-E144=I144+J144-K144,0&lt;1))),1,0),IF(AND(O144+P144-Q144&gt;0,OR(O144+P144-Q144&lt;I144+J144-K144,AND(O144+P144-Q144=I144+J144-K144,2&lt;1))),1,0),IF(AND(U144+V144-W144&gt;0,OR(U144+V144-W144&lt;I144+J144-K144,AND(U144+V144-W144=I144+J144-K144,3&lt;1))),1,0),IF(AND(AA144+AB144-AC144&gt;0,OR(AA144+AB144-AC144&lt;I144+J144-K144,AND(AA144+AB144-AC144=I144+J144-K144,4&lt;1))),1,0)))</x:f>
        <x:v>99</x:v>
      </x:c>
      <x:c r="M144" s="6" t="n">
        <x:f>IF('Debt strategy'!$C$16&gt;0,0,MIN(I144+J144-K144,MAX(0,'Debt strategy'!$C$5-SUM(E144,K144,Q144,W144,AC144)-SUM(IF(F144&lt;L144,C144+D144-E144,0),IF(R144&lt;L144,O144+P144-Q144,0),IF(X144&lt;L144,U144+V144-W144,0),IF(AD144&lt;L144,AA144+AB144-AC144,0)))))</x:f>
        <x:v>0</x:v>
      </x:c>
      <x:c r="N144" s="6" t="n">
        <x:f>ROUND(MAX(0,I144+J144-K144-M144),2)</x:f>
        <x:v>0</x:v>
      </x:c>
      <x:c r="O144" s="6" t="n">
        <x:f>T143</x:f>
        <x:v>0</x:v>
      </x:c>
      <x:c r="P144" s="6" t="n">
        <x:f>ROUND(O144*'Debt strategy'!$D$11/12,2)</x:f>
        <x:v>0</x:v>
      </x:c>
      <x:c r="Q144" s="6" t="n">
        <x:f>MIN(O144+P144,'Debt strategy'!$E$11)</x:f>
        <x:v>0</x:v>
      </x:c>
      <x:c r="R144" s="27" t="n">
        <x:f>IF(O144+P144-Q144&lt;=0,99,1+SUM(IF(AND(C144+D144-E144&gt;0,OR(C144+D144-E144&lt;O144+P144-Q144,AND(C144+D144-E144=O144+P144-Q144,0&lt;2))),1,0),IF(AND(I144+J144-K144&gt;0,OR(I144+J144-K144&lt;O144+P144-Q144,AND(I144+J144-K144=O144+P144-Q144,1&lt;2))),1,0),IF(AND(U144+V144-W144&gt;0,OR(U144+V144-W144&lt;O144+P144-Q144,AND(U144+V144-W144=O144+P144-Q144,3&lt;2))),1,0),IF(AND(AA144+AB144-AC144&gt;0,OR(AA144+AB144-AC144&lt;O144+P144-Q144,AND(AA144+AB144-AC144=O144+P144-Q144,4&lt;2))),1,0)))</x:f>
        <x:v>99</x:v>
      </x:c>
      <x:c r="S144" s="6" t="n">
        <x:f>IF('Debt strategy'!$C$16&gt;0,0,MIN(O144+P144-Q144,MAX(0,'Debt strategy'!$C$5-SUM(E144,K144,Q144,W144,AC144)-SUM(IF(F144&lt;R144,C144+D144-E144,0),IF(L144&lt;R144,I144+J144-K144,0),IF(X144&lt;R144,U144+V144-W144,0),IF(AD144&lt;R144,AA144+AB144-AC144,0)))))</x:f>
        <x:v>0</x:v>
      </x:c>
      <x:c r="T144" s="6" t="n">
        <x:f>ROUND(MAX(0,O144+P144-Q144-S144),2)</x:f>
        <x:v>0</x:v>
      </x:c>
      <x:c r="U144" s="6" t="n">
        <x:f>Z143</x:f>
        <x:v>0</x:v>
      </x:c>
      <x:c r="V144" s="6" t="n">
        <x:f>ROUND(U144*'Debt strategy'!$D$12/12,2)</x:f>
        <x:v>0</x:v>
      </x:c>
      <x:c r="W144" s="6" t="n">
        <x:f>MIN(U144+V144,'Debt strategy'!$E$12)</x:f>
        <x:v>0</x:v>
      </x:c>
      <x:c r="X144" s="27" t="n">
        <x:f>IF(U144+V144-W144&lt;=0,99,1+SUM(IF(AND(C144+D144-E144&gt;0,OR(C144+D144-E144&lt;U144+V144-W144,AND(C144+D144-E144=U144+V144-W144,0&lt;3))),1,0),IF(AND(I144+J144-K144&gt;0,OR(I144+J144-K144&lt;U144+V144-W144,AND(I144+J144-K144=U144+V144-W144,1&lt;3))),1,0),IF(AND(O144+P144-Q144&gt;0,OR(O144+P144-Q144&lt;U144+V144-W144,AND(O144+P144-Q144=U144+V144-W144,2&lt;3))),1,0),IF(AND(AA144+AB144-AC144&gt;0,OR(AA144+AB144-AC144&lt;U144+V144-W144,AND(AA144+AB144-AC144=U144+V144-W144,4&lt;3))),1,0)))</x:f>
        <x:v>99</x:v>
      </x:c>
      <x:c r="Y144" s="6" t="n">
        <x:f>IF('Debt strategy'!$C$16&gt;0,0,MIN(U144+V144-W144,MAX(0,'Debt strategy'!$C$5-SUM(E144,K144,Q144,W144,AC144)-SUM(IF(F144&lt;X144,C144+D144-E144,0),IF(L144&lt;X144,I144+J144-K144,0),IF(R144&lt;X144,O144+P144-Q144,0),IF(AD144&lt;X144,AA144+AB144-AC144,0)))))</x:f>
        <x:v>0</x:v>
      </x:c>
      <x:c r="Z144" s="6" t="n">
        <x:f>ROUND(MAX(0,U144+V144-W144-Y144),2)</x:f>
        <x:v>0</x:v>
      </x:c>
      <x:c r="AA144" s="6" t="n">
        <x:f>AF143</x:f>
        <x:v>0</x:v>
      </x:c>
      <x:c r="AB144" s="6" t="n">
        <x:f>ROUND(AA144*'Debt strategy'!$D$13/12,2)</x:f>
        <x:v>0</x:v>
      </x:c>
      <x:c r="AC144" s="6" t="n">
        <x:f>MIN(AA144+AB144,'Debt strategy'!$E$13)</x:f>
        <x:v>0</x:v>
      </x:c>
      <x:c r="AD144" s="27" t="n">
        <x:f>IF(AA144+AB144-AC144&lt;=0,99,1+SUM(IF(AND(C144+D144-E144&gt;0,OR(C144+D144-E144&lt;AA144+AB144-AC144,AND(C144+D144-E144=AA144+AB144-AC144,0&lt;4))),1,0),IF(AND(I144+J144-K144&gt;0,OR(I144+J144-K144&lt;AA144+AB144-AC144,AND(I144+J144-K144=AA144+AB144-AC144,1&lt;4))),1,0),IF(AND(O144+P144-Q144&gt;0,OR(O144+P144-Q144&lt;AA144+AB144-AC144,AND(O144+P144-Q144=AA144+AB144-AC144,2&lt;4))),1,0),IF(AND(U144+V144-W144&gt;0,OR(U144+V144-W144&lt;AA144+AB144-AC144,AND(U144+V144-W144=AA144+AB144-AC144,3&lt;4))),1,0)))</x:f>
        <x:v>99</x:v>
      </x:c>
      <x:c r="AE144" s="6" t="n">
        <x:f>IF('Debt strategy'!$C$16&gt;0,0,MIN(AA144+AB144-AC144,MAX(0,'Debt strategy'!$C$5-SUM(E144,K144,Q144,W144,AC144)-SUM(IF(F144&lt;AD144,C144+D144-E144,0),IF(L144&lt;AD144,I144+J144-K144,0),IF(R144&lt;AD144,O144+P144-Q144,0),IF(X144&lt;AD144,U144+V144-W144,0)))))</x:f>
        <x:v>0</x:v>
      </x:c>
      <x:c r="AF144" s="6" t="n">
        <x:f>ROUND(MAX(0,AA144+AB144-AC144-AE144),2)</x:f>
        <x:v>0</x:v>
      </x:c>
      <x:c r="AG144" s="6" t="n">
        <x:f>SUM(H144,N144,T144,Z144,AF144)</x:f>
        <x:v>0</x:v>
      </x:c>
      <x:c r="AH144" s="6" t="n">
        <x:f>SUM(D144,J144,P144,V144,AB144)+AH143</x:f>
        <x:v>1353.9499999999996</x:v>
      </x:c>
      <x:c r="AI144" s="2"/>
    </x:row>
    <x:row r="145" ht="23" customHeight="1">
      <x:c r="B145" s="2" t="n">
        <x:f>137</x:f>
        <x:v>137</x:v>
      </x:c>
      <x:c r="C145" s="6" t="n">
        <x:f>H144</x:f>
        <x:v>0</x:v>
      </x:c>
      <x:c r="D145" s="6" t="n">
        <x:f>ROUND(C145*'Debt strategy'!$D$9/12,2)</x:f>
        <x:v>0</x:v>
      </x:c>
      <x:c r="E145" s="6" t="n">
        <x:f>MIN(C145+D145,'Debt strategy'!$E$9)</x:f>
        <x:v>0</x:v>
      </x:c>
      <x:c r="F145" s="27" t="n">
        <x:f>IF(C145+D145-E145&lt;=0,99,1+SUM(IF(AND(I145+J145-K145&gt;0,OR(I145+J145-K145&lt;C145+D145-E145,AND(I145+J145-K145=C145+D145-E145,1&lt;0))),1,0),IF(AND(O145+P145-Q145&gt;0,OR(O145+P145-Q145&lt;C145+D145-E145,AND(O145+P145-Q145=C145+D145-E145,2&lt;0))),1,0),IF(AND(U145+V145-W145&gt;0,OR(U145+V145-W145&lt;C145+D145-E145,AND(U145+V145-W145=C145+D145-E145,3&lt;0))),1,0),IF(AND(AA145+AB145-AC145&gt;0,OR(AA145+AB145-AC145&lt;C145+D145-E145,AND(AA145+AB145-AC145=C145+D145-E145,4&lt;0))),1,0)))</x:f>
        <x:v>99</x:v>
      </x:c>
      <x:c r="G145" s="6" t="n">
        <x:f>IF('Debt strategy'!$C$16&gt;0,0,MIN(C145+D145-E145,MAX(0,'Debt strategy'!$C$5-SUM(E145,K145,Q145,W145,AC145)-SUM(IF(L145&lt;F145,I145+J145-K145,0),IF(R145&lt;F145,O145+P145-Q145,0),IF(X145&lt;F145,U145+V145-W145,0),IF(AD145&lt;F145,AA145+AB145-AC145,0)))))</x:f>
        <x:v>0</x:v>
      </x:c>
      <x:c r="H145" s="6" t="n">
        <x:f>ROUND(MAX(0,C145+D145-E145-G145),2)</x:f>
        <x:v>0</x:v>
      </x:c>
      <x:c r="I145" s="6" t="n">
        <x:f>N144</x:f>
        <x:v>0</x:v>
      </x:c>
      <x:c r="J145" s="6" t="n">
        <x:f>ROUND(I145*'Debt strategy'!$D$10/12,2)</x:f>
        <x:v>0</x:v>
      </x:c>
      <x:c r="K145" s="6" t="n">
        <x:f>MIN(I145+J145,'Debt strategy'!$E$10)</x:f>
        <x:v>0</x:v>
      </x:c>
      <x:c r="L145" s="27" t="n">
        <x:f>IF(I145+J145-K145&lt;=0,99,1+SUM(IF(AND(C145+D145-E145&gt;0,OR(C145+D145-E145&lt;I145+J145-K145,AND(C145+D145-E145=I145+J145-K145,0&lt;1))),1,0),IF(AND(O145+P145-Q145&gt;0,OR(O145+P145-Q145&lt;I145+J145-K145,AND(O145+P145-Q145=I145+J145-K145,2&lt;1))),1,0),IF(AND(U145+V145-W145&gt;0,OR(U145+V145-W145&lt;I145+J145-K145,AND(U145+V145-W145=I145+J145-K145,3&lt;1))),1,0),IF(AND(AA145+AB145-AC145&gt;0,OR(AA145+AB145-AC145&lt;I145+J145-K145,AND(AA145+AB145-AC145=I145+J145-K145,4&lt;1))),1,0)))</x:f>
        <x:v>99</x:v>
      </x:c>
      <x:c r="M145" s="6" t="n">
        <x:f>IF('Debt strategy'!$C$16&gt;0,0,MIN(I145+J145-K145,MAX(0,'Debt strategy'!$C$5-SUM(E145,K145,Q145,W145,AC145)-SUM(IF(F145&lt;L145,C145+D145-E145,0),IF(R145&lt;L145,O145+P145-Q145,0),IF(X145&lt;L145,U145+V145-W145,0),IF(AD145&lt;L145,AA145+AB145-AC145,0)))))</x:f>
        <x:v>0</x:v>
      </x:c>
      <x:c r="N145" s="6" t="n">
        <x:f>ROUND(MAX(0,I145+J145-K145-M145),2)</x:f>
        <x:v>0</x:v>
      </x:c>
      <x:c r="O145" s="6" t="n">
        <x:f>T144</x:f>
        <x:v>0</x:v>
      </x:c>
      <x:c r="P145" s="6" t="n">
        <x:f>ROUND(O145*'Debt strategy'!$D$11/12,2)</x:f>
        <x:v>0</x:v>
      </x:c>
      <x:c r="Q145" s="6" t="n">
        <x:f>MIN(O145+P145,'Debt strategy'!$E$11)</x:f>
        <x:v>0</x:v>
      </x:c>
      <x:c r="R145" s="27" t="n">
        <x:f>IF(O145+P145-Q145&lt;=0,99,1+SUM(IF(AND(C145+D145-E145&gt;0,OR(C145+D145-E145&lt;O145+P145-Q145,AND(C145+D145-E145=O145+P145-Q145,0&lt;2))),1,0),IF(AND(I145+J145-K145&gt;0,OR(I145+J145-K145&lt;O145+P145-Q145,AND(I145+J145-K145=O145+P145-Q145,1&lt;2))),1,0),IF(AND(U145+V145-W145&gt;0,OR(U145+V145-W145&lt;O145+P145-Q145,AND(U145+V145-W145=O145+P145-Q145,3&lt;2))),1,0),IF(AND(AA145+AB145-AC145&gt;0,OR(AA145+AB145-AC145&lt;O145+P145-Q145,AND(AA145+AB145-AC145=O145+P145-Q145,4&lt;2))),1,0)))</x:f>
        <x:v>99</x:v>
      </x:c>
      <x:c r="S145" s="6" t="n">
        <x:f>IF('Debt strategy'!$C$16&gt;0,0,MIN(O145+P145-Q145,MAX(0,'Debt strategy'!$C$5-SUM(E145,K145,Q145,W145,AC145)-SUM(IF(F145&lt;R145,C145+D145-E145,0),IF(L145&lt;R145,I145+J145-K145,0),IF(X145&lt;R145,U145+V145-W145,0),IF(AD145&lt;R145,AA145+AB145-AC145,0)))))</x:f>
        <x:v>0</x:v>
      </x:c>
      <x:c r="T145" s="6" t="n">
        <x:f>ROUND(MAX(0,O145+P145-Q145-S145),2)</x:f>
        <x:v>0</x:v>
      </x:c>
      <x:c r="U145" s="6" t="n">
        <x:f>Z144</x:f>
        <x:v>0</x:v>
      </x:c>
      <x:c r="V145" s="6" t="n">
        <x:f>ROUND(U145*'Debt strategy'!$D$12/12,2)</x:f>
        <x:v>0</x:v>
      </x:c>
      <x:c r="W145" s="6" t="n">
        <x:f>MIN(U145+V145,'Debt strategy'!$E$12)</x:f>
        <x:v>0</x:v>
      </x:c>
      <x:c r="X145" s="27" t="n">
        <x:f>IF(U145+V145-W145&lt;=0,99,1+SUM(IF(AND(C145+D145-E145&gt;0,OR(C145+D145-E145&lt;U145+V145-W145,AND(C145+D145-E145=U145+V145-W145,0&lt;3))),1,0),IF(AND(I145+J145-K145&gt;0,OR(I145+J145-K145&lt;U145+V145-W145,AND(I145+J145-K145=U145+V145-W145,1&lt;3))),1,0),IF(AND(O145+P145-Q145&gt;0,OR(O145+P145-Q145&lt;U145+V145-W145,AND(O145+P145-Q145=U145+V145-W145,2&lt;3))),1,0),IF(AND(AA145+AB145-AC145&gt;0,OR(AA145+AB145-AC145&lt;U145+V145-W145,AND(AA145+AB145-AC145=U145+V145-W145,4&lt;3))),1,0)))</x:f>
        <x:v>99</x:v>
      </x:c>
      <x:c r="Y145" s="6" t="n">
        <x:f>IF('Debt strategy'!$C$16&gt;0,0,MIN(U145+V145-W145,MAX(0,'Debt strategy'!$C$5-SUM(E145,K145,Q145,W145,AC145)-SUM(IF(F145&lt;X145,C145+D145-E145,0),IF(L145&lt;X145,I145+J145-K145,0),IF(R145&lt;X145,O145+P145-Q145,0),IF(AD145&lt;X145,AA145+AB145-AC145,0)))))</x:f>
        <x:v>0</x:v>
      </x:c>
      <x:c r="Z145" s="6" t="n">
        <x:f>ROUND(MAX(0,U145+V145-W145-Y145),2)</x:f>
        <x:v>0</x:v>
      </x:c>
      <x:c r="AA145" s="6" t="n">
        <x:f>AF144</x:f>
        <x:v>0</x:v>
      </x:c>
      <x:c r="AB145" s="6" t="n">
        <x:f>ROUND(AA145*'Debt strategy'!$D$13/12,2)</x:f>
        <x:v>0</x:v>
      </x:c>
      <x:c r="AC145" s="6" t="n">
        <x:f>MIN(AA145+AB145,'Debt strategy'!$E$13)</x:f>
        <x:v>0</x:v>
      </x:c>
      <x:c r="AD145" s="27" t="n">
        <x:f>IF(AA145+AB145-AC145&lt;=0,99,1+SUM(IF(AND(C145+D145-E145&gt;0,OR(C145+D145-E145&lt;AA145+AB145-AC145,AND(C145+D145-E145=AA145+AB145-AC145,0&lt;4))),1,0),IF(AND(I145+J145-K145&gt;0,OR(I145+J145-K145&lt;AA145+AB145-AC145,AND(I145+J145-K145=AA145+AB145-AC145,1&lt;4))),1,0),IF(AND(O145+P145-Q145&gt;0,OR(O145+P145-Q145&lt;AA145+AB145-AC145,AND(O145+P145-Q145=AA145+AB145-AC145,2&lt;4))),1,0),IF(AND(U145+V145-W145&gt;0,OR(U145+V145-W145&lt;AA145+AB145-AC145,AND(U145+V145-W145=AA145+AB145-AC145,3&lt;4))),1,0)))</x:f>
        <x:v>99</x:v>
      </x:c>
      <x:c r="AE145" s="6" t="n">
        <x:f>IF('Debt strategy'!$C$16&gt;0,0,MIN(AA145+AB145-AC145,MAX(0,'Debt strategy'!$C$5-SUM(E145,K145,Q145,W145,AC145)-SUM(IF(F145&lt;AD145,C145+D145-E145,0),IF(L145&lt;AD145,I145+J145-K145,0),IF(R145&lt;AD145,O145+P145-Q145,0),IF(X145&lt;AD145,U145+V145-W145,0)))))</x:f>
        <x:v>0</x:v>
      </x:c>
      <x:c r="AF145" s="6" t="n">
        <x:f>ROUND(MAX(0,AA145+AB145-AC145-AE145),2)</x:f>
        <x:v>0</x:v>
      </x:c>
      <x:c r="AG145" s="6" t="n">
        <x:f>SUM(H145,N145,T145,Z145,AF145)</x:f>
        <x:v>0</x:v>
      </x:c>
      <x:c r="AH145" s="6" t="n">
        <x:f>SUM(D145,J145,P145,V145,AB145)+AH144</x:f>
        <x:v>1353.9499999999996</x:v>
      </x:c>
      <x:c r="AI145" s="2"/>
    </x:row>
    <x:row r="146" ht="23" customHeight="1">
      <x:c r="B146" s="2" t="n">
        <x:f>138</x:f>
        <x:v>138</x:v>
      </x:c>
      <x:c r="C146" s="6" t="n">
        <x:f>H145</x:f>
        <x:v>0</x:v>
      </x:c>
      <x:c r="D146" s="6" t="n">
        <x:f>ROUND(C146*'Debt strategy'!$D$9/12,2)</x:f>
        <x:v>0</x:v>
      </x:c>
      <x:c r="E146" s="6" t="n">
        <x:f>MIN(C146+D146,'Debt strategy'!$E$9)</x:f>
        <x:v>0</x:v>
      </x:c>
      <x:c r="F146" s="27" t="n">
        <x:f>IF(C146+D146-E146&lt;=0,99,1+SUM(IF(AND(I146+J146-K146&gt;0,OR(I146+J146-K146&lt;C146+D146-E146,AND(I146+J146-K146=C146+D146-E146,1&lt;0))),1,0),IF(AND(O146+P146-Q146&gt;0,OR(O146+P146-Q146&lt;C146+D146-E146,AND(O146+P146-Q146=C146+D146-E146,2&lt;0))),1,0),IF(AND(U146+V146-W146&gt;0,OR(U146+V146-W146&lt;C146+D146-E146,AND(U146+V146-W146=C146+D146-E146,3&lt;0))),1,0),IF(AND(AA146+AB146-AC146&gt;0,OR(AA146+AB146-AC146&lt;C146+D146-E146,AND(AA146+AB146-AC146=C146+D146-E146,4&lt;0))),1,0)))</x:f>
        <x:v>99</x:v>
      </x:c>
      <x:c r="G146" s="6" t="n">
        <x:f>IF('Debt strategy'!$C$16&gt;0,0,MIN(C146+D146-E146,MAX(0,'Debt strategy'!$C$5-SUM(E146,K146,Q146,W146,AC146)-SUM(IF(L146&lt;F146,I146+J146-K146,0),IF(R146&lt;F146,O146+P146-Q146,0),IF(X146&lt;F146,U146+V146-W146,0),IF(AD146&lt;F146,AA146+AB146-AC146,0)))))</x:f>
        <x:v>0</x:v>
      </x:c>
      <x:c r="H146" s="6" t="n">
        <x:f>ROUND(MAX(0,C146+D146-E146-G146),2)</x:f>
        <x:v>0</x:v>
      </x:c>
      <x:c r="I146" s="6" t="n">
        <x:f>N145</x:f>
        <x:v>0</x:v>
      </x:c>
      <x:c r="J146" s="6" t="n">
        <x:f>ROUND(I146*'Debt strategy'!$D$10/12,2)</x:f>
        <x:v>0</x:v>
      </x:c>
      <x:c r="K146" s="6" t="n">
        <x:f>MIN(I146+J146,'Debt strategy'!$E$10)</x:f>
        <x:v>0</x:v>
      </x:c>
      <x:c r="L146" s="27" t="n">
        <x:f>IF(I146+J146-K146&lt;=0,99,1+SUM(IF(AND(C146+D146-E146&gt;0,OR(C146+D146-E146&lt;I146+J146-K146,AND(C146+D146-E146=I146+J146-K146,0&lt;1))),1,0),IF(AND(O146+P146-Q146&gt;0,OR(O146+P146-Q146&lt;I146+J146-K146,AND(O146+P146-Q146=I146+J146-K146,2&lt;1))),1,0),IF(AND(U146+V146-W146&gt;0,OR(U146+V146-W146&lt;I146+J146-K146,AND(U146+V146-W146=I146+J146-K146,3&lt;1))),1,0),IF(AND(AA146+AB146-AC146&gt;0,OR(AA146+AB146-AC146&lt;I146+J146-K146,AND(AA146+AB146-AC146=I146+J146-K146,4&lt;1))),1,0)))</x:f>
        <x:v>99</x:v>
      </x:c>
      <x:c r="M146" s="6" t="n">
        <x:f>IF('Debt strategy'!$C$16&gt;0,0,MIN(I146+J146-K146,MAX(0,'Debt strategy'!$C$5-SUM(E146,K146,Q146,W146,AC146)-SUM(IF(F146&lt;L146,C146+D146-E146,0),IF(R146&lt;L146,O146+P146-Q146,0),IF(X146&lt;L146,U146+V146-W146,0),IF(AD146&lt;L146,AA146+AB146-AC146,0)))))</x:f>
        <x:v>0</x:v>
      </x:c>
      <x:c r="N146" s="6" t="n">
        <x:f>ROUND(MAX(0,I146+J146-K146-M146),2)</x:f>
        <x:v>0</x:v>
      </x:c>
      <x:c r="O146" s="6" t="n">
        <x:f>T145</x:f>
        <x:v>0</x:v>
      </x:c>
      <x:c r="P146" s="6" t="n">
        <x:f>ROUND(O146*'Debt strategy'!$D$11/12,2)</x:f>
        <x:v>0</x:v>
      </x:c>
      <x:c r="Q146" s="6" t="n">
        <x:f>MIN(O146+P146,'Debt strategy'!$E$11)</x:f>
        <x:v>0</x:v>
      </x:c>
      <x:c r="R146" s="27" t="n">
        <x:f>IF(O146+P146-Q146&lt;=0,99,1+SUM(IF(AND(C146+D146-E146&gt;0,OR(C146+D146-E146&lt;O146+P146-Q146,AND(C146+D146-E146=O146+P146-Q146,0&lt;2))),1,0),IF(AND(I146+J146-K146&gt;0,OR(I146+J146-K146&lt;O146+P146-Q146,AND(I146+J146-K146=O146+P146-Q146,1&lt;2))),1,0),IF(AND(U146+V146-W146&gt;0,OR(U146+V146-W146&lt;O146+P146-Q146,AND(U146+V146-W146=O146+P146-Q146,3&lt;2))),1,0),IF(AND(AA146+AB146-AC146&gt;0,OR(AA146+AB146-AC146&lt;O146+P146-Q146,AND(AA146+AB146-AC146=O146+P146-Q146,4&lt;2))),1,0)))</x:f>
        <x:v>99</x:v>
      </x:c>
      <x:c r="S146" s="6" t="n">
        <x:f>IF('Debt strategy'!$C$16&gt;0,0,MIN(O146+P146-Q146,MAX(0,'Debt strategy'!$C$5-SUM(E146,K146,Q146,W146,AC146)-SUM(IF(F146&lt;R146,C146+D146-E146,0),IF(L146&lt;R146,I146+J146-K146,0),IF(X146&lt;R146,U146+V146-W146,0),IF(AD146&lt;R146,AA146+AB146-AC146,0)))))</x:f>
        <x:v>0</x:v>
      </x:c>
      <x:c r="T146" s="6" t="n">
        <x:f>ROUND(MAX(0,O146+P146-Q146-S146),2)</x:f>
        <x:v>0</x:v>
      </x:c>
      <x:c r="U146" s="6" t="n">
        <x:f>Z145</x:f>
        <x:v>0</x:v>
      </x:c>
      <x:c r="V146" s="6" t="n">
        <x:f>ROUND(U146*'Debt strategy'!$D$12/12,2)</x:f>
        <x:v>0</x:v>
      </x:c>
      <x:c r="W146" s="6" t="n">
        <x:f>MIN(U146+V146,'Debt strategy'!$E$12)</x:f>
        <x:v>0</x:v>
      </x:c>
      <x:c r="X146" s="27" t="n">
        <x:f>IF(U146+V146-W146&lt;=0,99,1+SUM(IF(AND(C146+D146-E146&gt;0,OR(C146+D146-E146&lt;U146+V146-W146,AND(C146+D146-E146=U146+V146-W146,0&lt;3))),1,0),IF(AND(I146+J146-K146&gt;0,OR(I146+J146-K146&lt;U146+V146-W146,AND(I146+J146-K146=U146+V146-W146,1&lt;3))),1,0),IF(AND(O146+P146-Q146&gt;0,OR(O146+P146-Q146&lt;U146+V146-W146,AND(O146+P146-Q146=U146+V146-W146,2&lt;3))),1,0),IF(AND(AA146+AB146-AC146&gt;0,OR(AA146+AB146-AC146&lt;U146+V146-W146,AND(AA146+AB146-AC146=U146+V146-W146,4&lt;3))),1,0)))</x:f>
        <x:v>99</x:v>
      </x:c>
      <x:c r="Y146" s="6" t="n">
        <x:f>IF('Debt strategy'!$C$16&gt;0,0,MIN(U146+V146-W146,MAX(0,'Debt strategy'!$C$5-SUM(E146,K146,Q146,W146,AC146)-SUM(IF(F146&lt;X146,C146+D146-E146,0),IF(L146&lt;X146,I146+J146-K146,0),IF(R146&lt;X146,O146+P146-Q146,0),IF(AD146&lt;X146,AA146+AB146-AC146,0)))))</x:f>
        <x:v>0</x:v>
      </x:c>
      <x:c r="Z146" s="6" t="n">
        <x:f>ROUND(MAX(0,U146+V146-W146-Y146),2)</x:f>
        <x:v>0</x:v>
      </x:c>
      <x:c r="AA146" s="6" t="n">
        <x:f>AF145</x:f>
        <x:v>0</x:v>
      </x:c>
      <x:c r="AB146" s="6" t="n">
        <x:f>ROUND(AA146*'Debt strategy'!$D$13/12,2)</x:f>
        <x:v>0</x:v>
      </x:c>
      <x:c r="AC146" s="6" t="n">
        <x:f>MIN(AA146+AB146,'Debt strategy'!$E$13)</x:f>
        <x:v>0</x:v>
      </x:c>
      <x:c r="AD146" s="27" t="n">
        <x:f>IF(AA146+AB146-AC146&lt;=0,99,1+SUM(IF(AND(C146+D146-E146&gt;0,OR(C146+D146-E146&lt;AA146+AB146-AC146,AND(C146+D146-E146=AA146+AB146-AC146,0&lt;4))),1,0),IF(AND(I146+J146-K146&gt;0,OR(I146+J146-K146&lt;AA146+AB146-AC146,AND(I146+J146-K146=AA146+AB146-AC146,1&lt;4))),1,0),IF(AND(O146+P146-Q146&gt;0,OR(O146+P146-Q146&lt;AA146+AB146-AC146,AND(O146+P146-Q146=AA146+AB146-AC146,2&lt;4))),1,0),IF(AND(U146+V146-W146&gt;0,OR(U146+V146-W146&lt;AA146+AB146-AC146,AND(U146+V146-W146=AA146+AB146-AC146,3&lt;4))),1,0)))</x:f>
        <x:v>99</x:v>
      </x:c>
      <x:c r="AE146" s="6" t="n">
        <x:f>IF('Debt strategy'!$C$16&gt;0,0,MIN(AA146+AB146-AC146,MAX(0,'Debt strategy'!$C$5-SUM(E146,K146,Q146,W146,AC146)-SUM(IF(F146&lt;AD146,C146+D146-E146,0),IF(L146&lt;AD146,I146+J146-K146,0),IF(R146&lt;AD146,O146+P146-Q146,0),IF(X146&lt;AD146,U146+V146-W146,0)))))</x:f>
        <x:v>0</x:v>
      </x:c>
      <x:c r="AF146" s="6" t="n">
        <x:f>ROUND(MAX(0,AA146+AB146-AC146-AE146),2)</x:f>
        <x:v>0</x:v>
      </x:c>
      <x:c r="AG146" s="6" t="n">
        <x:f>SUM(H146,N146,T146,Z146,AF146)</x:f>
        <x:v>0</x:v>
      </x:c>
      <x:c r="AH146" s="6" t="n">
        <x:f>SUM(D146,J146,P146,V146,AB146)+AH145</x:f>
        <x:v>1353.9499999999996</x:v>
      </x:c>
      <x:c r="AI146" s="2"/>
    </x:row>
    <x:row r="147" ht="23" customHeight="1">
      <x:c r="B147" s="2" t="n">
        <x:f>139</x:f>
        <x:v>139</x:v>
      </x:c>
      <x:c r="C147" s="6" t="n">
        <x:f>H146</x:f>
        <x:v>0</x:v>
      </x:c>
      <x:c r="D147" s="6" t="n">
        <x:f>ROUND(C147*'Debt strategy'!$D$9/12,2)</x:f>
        <x:v>0</x:v>
      </x:c>
      <x:c r="E147" s="6" t="n">
        <x:f>MIN(C147+D147,'Debt strategy'!$E$9)</x:f>
        <x:v>0</x:v>
      </x:c>
      <x:c r="F147" s="27" t="n">
        <x:f>IF(C147+D147-E147&lt;=0,99,1+SUM(IF(AND(I147+J147-K147&gt;0,OR(I147+J147-K147&lt;C147+D147-E147,AND(I147+J147-K147=C147+D147-E147,1&lt;0))),1,0),IF(AND(O147+P147-Q147&gt;0,OR(O147+P147-Q147&lt;C147+D147-E147,AND(O147+P147-Q147=C147+D147-E147,2&lt;0))),1,0),IF(AND(U147+V147-W147&gt;0,OR(U147+V147-W147&lt;C147+D147-E147,AND(U147+V147-W147=C147+D147-E147,3&lt;0))),1,0),IF(AND(AA147+AB147-AC147&gt;0,OR(AA147+AB147-AC147&lt;C147+D147-E147,AND(AA147+AB147-AC147=C147+D147-E147,4&lt;0))),1,0)))</x:f>
        <x:v>99</x:v>
      </x:c>
      <x:c r="G147" s="6" t="n">
        <x:f>IF('Debt strategy'!$C$16&gt;0,0,MIN(C147+D147-E147,MAX(0,'Debt strategy'!$C$5-SUM(E147,K147,Q147,W147,AC147)-SUM(IF(L147&lt;F147,I147+J147-K147,0),IF(R147&lt;F147,O147+P147-Q147,0),IF(X147&lt;F147,U147+V147-W147,0),IF(AD147&lt;F147,AA147+AB147-AC147,0)))))</x:f>
        <x:v>0</x:v>
      </x:c>
      <x:c r="H147" s="6" t="n">
        <x:f>ROUND(MAX(0,C147+D147-E147-G147),2)</x:f>
        <x:v>0</x:v>
      </x:c>
      <x:c r="I147" s="6" t="n">
        <x:f>N146</x:f>
        <x:v>0</x:v>
      </x:c>
      <x:c r="J147" s="6" t="n">
        <x:f>ROUND(I147*'Debt strategy'!$D$10/12,2)</x:f>
        <x:v>0</x:v>
      </x:c>
      <x:c r="K147" s="6" t="n">
        <x:f>MIN(I147+J147,'Debt strategy'!$E$10)</x:f>
        <x:v>0</x:v>
      </x:c>
      <x:c r="L147" s="27" t="n">
        <x:f>IF(I147+J147-K147&lt;=0,99,1+SUM(IF(AND(C147+D147-E147&gt;0,OR(C147+D147-E147&lt;I147+J147-K147,AND(C147+D147-E147=I147+J147-K147,0&lt;1))),1,0),IF(AND(O147+P147-Q147&gt;0,OR(O147+P147-Q147&lt;I147+J147-K147,AND(O147+P147-Q147=I147+J147-K147,2&lt;1))),1,0),IF(AND(U147+V147-W147&gt;0,OR(U147+V147-W147&lt;I147+J147-K147,AND(U147+V147-W147=I147+J147-K147,3&lt;1))),1,0),IF(AND(AA147+AB147-AC147&gt;0,OR(AA147+AB147-AC147&lt;I147+J147-K147,AND(AA147+AB147-AC147=I147+J147-K147,4&lt;1))),1,0)))</x:f>
        <x:v>99</x:v>
      </x:c>
      <x:c r="M147" s="6" t="n">
        <x:f>IF('Debt strategy'!$C$16&gt;0,0,MIN(I147+J147-K147,MAX(0,'Debt strategy'!$C$5-SUM(E147,K147,Q147,W147,AC147)-SUM(IF(F147&lt;L147,C147+D147-E147,0),IF(R147&lt;L147,O147+P147-Q147,0),IF(X147&lt;L147,U147+V147-W147,0),IF(AD147&lt;L147,AA147+AB147-AC147,0)))))</x:f>
        <x:v>0</x:v>
      </x:c>
      <x:c r="N147" s="6" t="n">
        <x:f>ROUND(MAX(0,I147+J147-K147-M147),2)</x:f>
        <x:v>0</x:v>
      </x:c>
      <x:c r="O147" s="6" t="n">
        <x:f>T146</x:f>
        <x:v>0</x:v>
      </x:c>
      <x:c r="P147" s="6" t="n">
        <x:f>ROUND(O147*'Debt strategy'!$D$11/12,2)</x:f>
        <x:v>0</x:v>
      </x:c>
      <x:c r="Q147" s="6" t="n">
        <x:f>MIN(O147+P147,'Debt strategy'!$E$11)</x:f>
        <x:v>0</x:v>
      </x:c>
      <x:c r="R147" s="27" t="n">
        <x:f>IF(O147+P147-Q147&lt;=0,99,1+SUM(IF(AND(C147+D147-E147&gt;0,OR(C147+D147-E147&lt;O147+P147-Q147,AND(C147+D147-E147=O147+P147-Q147,0&lt;2))),1,0),IF(AND(I147+J147-K147&gt;0,OR(I147+J147-K147&lt;O147+P147-Q147,AND(I147+J147-K147=O147+P147-Q147,1&lt;2))),1,0),IF(AND(U147+V147-W147&gt;0,OR(U147+V147-W147&lt;O147+P147-Q147,AND(U147+V147-W147=O147+P147-Q147,3&lt;2))),1,0),IF(AND(AA147+AB147-AC147&gt;0,OR(AA147+AB147-AC147&lt;O147+P147-Q147,AND(AA147+AB147-AC147=O147+P147-Q147,4&lt;2))),1,0)))</x:f>
        <x:v>99</x:v>
      </x:c>
      <x:c r="S147" s="6" t="n">
        <x:f>IF('Debt strategy'!$C$16&gt;0,0,MIN(O147+P147-Q147,MAX(0,'Debt strategy'!$C$5-SUM(E147,K147,Q147,W147,AC147)-SUM(IF(F147&lt;R147,C147+D147-E147,0),IF(L147&lt;R147,I147+J147-K147,0),IF(X147&lt;R147,U147+V147-W147,0),IF(AD147&lt;R147,AA147+AB147-AC147,0)))))</x:f>
        <x:v>0</x:v>
      </x:c>
      <x:c r="T147" s="6" t="n">
        <x:f>ROUND(MAX(0,O147+P147-Q147-S147),2)</x:f>
        <x:v>0</x:v>
      </x:c>
      <x:c r="U147" s="6" t="n">
        <x:f>Z146</x:f>
        <x:v>0</x:v>
      </x:c>
      <x:c r="V147" s="6" t="n">
        <x:f>ROUND(U147*'Debt strategy'!$D$12/12,2)</x:f>
        <x:v>0</x:v>
      </x:c>
      <x:c r="W147" s="6" t="n">
        <x:f>MIN(U147+V147,'Debt strategy'!$E$12)</x:f>
        <x:v>0</x:v>
      </x:c>
      <x:c r="X147" s="27" t="n">
        <x:f>IF(U147+V147-W147&lt;=0,99,1+SUM(IF(AND(C147+D147-E147&gt;0,OR(C147+D147-E147&lt;U147+V147-W147,AND(C147+D147-E147=U147+V147-W147,0&lt;3))),1,0),IF(AND(I147+J147-K147&gt;0,OR(I147+J147-K147&lt;U147+V147-W147,AND(I147+J147-K147=U147+V147-W147,1&lt;3))),1,0),IF(AND(O147+P147-Q147&gt;0,OR(O147+P147-Q147&lt;U147+V147-W147,AND(O147+P147-Q147=U147+V147-W147,2&lt;3))),1,0),IF(AND(AA147+AB147-AC147&gt;0,OR(AA147+AB147-AC147&lt;U147+V147-W147,AND(AA147+AB147-AC147=U147+V147-W147,4&lt;3))),1,0)))</x:f>
        <x:v>99</x:v>
      </x:c>
      <x:c r="Y147" s="6" t="n">
        <x:f>IF('Debt strategy'!$C$16&gt;0,0,MIN(U147+V147-W147,MAX(0,'Debt strategy'!$C$5-SUM(E147,K147,Q147,W147,AC147)-SUM(IF(F147&lt;X147,C147+D147-E147,0),IF(L147&lt;X147,I147+J147-K147,0),IF(R147&lt;X147,O147+P147-Q147,0),IF(AD147&lt;X147,AA147+AB147-AC147,0)))))</x:f>
        <x:v>0</x:v>
      </x:c>
      <x:c r="Z147" s="6" t="n">
        <x:f>ROUND(MAX(0,U147+V147-W147-Y147),2)</x:f>
        <x:v>0</x:v>
      </x:c>
      <x:c r="AA147" s="6" t="n">
        <x:f>AF146</x:f>
        <x:v>0</x:v>
      </x:c>
      <x:c r="AB147" s="6" t="n">
        <x:f>ROUND(AA147*'Debt strategy'!$D$13/12,2)</x:f>
        <x:v>0</x:v>
      </x:c>
      <x:c r="AC147" s="6" t="n">
        <x:f>MIN(AA147+AB147,'Debt strategy'!$E$13)</x:f>
        <x:v>0</x:v>
      </x:c>
      <x:c r="AD147" s="27" t="n">
        <x:f>IF(AA147+AB147-AC147&lt;=0,99,1+SUM(IF(AND(C147+D147-E147&gt;0,OR(C147+D147-E147&lt;AA147+AB147-AC147,AND(C147+D147-E147=AA147+AB147-AC147,0&lt;4))),1,0),IF(AND(I147+J147-K147&gt;0,OR(I147+J147-K147&lt;AA147+AB147-AC147,AND(I147+J147-K147=AA147+AB147-AC147,1&lt;4))),1,0),IF(AND(O147+P147-Q147&gt;0,OR(O147+P147-Q147&lt;AA147+AB147-AC147,AND(O147+P147-Q147=AA147+AB147-AC147,2&lt;4))),1,0),IF(AND(U147+V147-W147&gt;0,OR(U147+V147-W147&lt;AA147+AB147-AC147,AND(U147+V147-W147=AA147+AB147-AC147,3&lt;4))),1,0)))</x:f>
        <x:v>99</x:v>
      </x:c>
      <x:c r="AE147" s="6" t="n">
        <x:f>IF('Debt strategy'!$C$16&gt;0,0,MIN(AA147+AB147-AC147,MAX(0,'Debt strategy'!$C$5-SUM(E147,K147,Q147,W147,AC147)-SUM(IF(F147&lt;AD147,C147+D147-E147,0),IF(L147&lt;AD147,I147+J147-K147,0),IF(R147&lt;AD147,O147+P147-Q147,0),IF(X147&lt;AD147,U147+V147-W147,0)))))</x:f>
        <x:v>0</x:v>
      </x:c>
      <x:c r="AF147" s="6" t="n">
        <x:f>ROUND(MAX(0,AA147+AB147-AC147-AE147),2)</x:f>
        <x:v>0</x:v>
      </x:c>
      <x:c r="AG147" s="6" t="n">
        <x:f>SUM(H147,N147,T147,Z147,AF147)</x:f>
        <x:v>0</x:v>
      </x:c>
      <x:c r="AH147" s="6" t="n">
        <x:f>SUM(D147,J147,P147,V147,AB147)+AH146</x:f>
        <x:v>1353.9499999999996</x:v>
      </x:c>
      <x:c r="AI147" s="2"/>
    </x:row>
    <x:row r="148" ht="23" customHeight="1">
      <x:c r="B148" s="2" t="n">
        <x:f>140</x:f>
        <x:v>140</x:v>
      </x:c>
      <x:c r="C148" s="6" t="n">
        <x:f>H147</x:f>
        <x:v>0</x:v>
      </x:c>
      <x:c r="D148" s="6" t="n">
        <x:f>ROUND(C148*'Debt strategy'!$D$9/12,2)</x:f>
        <x:v>0</x:v>
      </x:c>
      <x:c r="E148" s="6" t="n">
        <x:f>MIN(C148+D148,'Debt strategy'!$E$9)</x:f>
        <x:v>0</x:v>
      </x:c>
      <x:c r="F148" s="27" t="n">
        <x:f>IF(C148+D148-E148&lt;=0,99,1+SUM(IF(AND(I148+J148-K148&gt;0,OR(I148+J148-K148&lt;C148+D148-E148,AND(I148+J148-K148=C148+D148-E148,1&lt;0))),1,0),IF(AND(O148+P148-Q148&gt;0,OR(O148+P148-Q148&lt;C148+D148-E148,AND(O148+P148-Q148=C148+D148-E148,2&lt;0))),1,0),IF(AND(U148+V148-W148&gt;0,OR(U148+V148-W148&lt;C148+D148-E148,AND(U148+V148-W148=C148+D148-E148,3&lt;0))),1,0),IF(AND(AA148+AB148-AC148&gt;0,OR(AA148+AB148-AC148&lt;C148+D148-E148,AND(AA148+AB148-AC148=C148+D148-E148,4&lt;0))),1,0)))</x:f>
        <x:v>99</x:v>
      </x:c>
      <x:c r="G148" s="6" t="n">
        <x:f>IF('Debt strategy'!$C$16&gt;0,0,MIN(C148+D148-E148,MAX(0,'Debt strategy'!$C$5-SUM(E148,K148,Q148,W148,AC148)-SUM(IF(L148&lt;F148,I148+J148-K148,0),IF(R148&lt;F148,O148+P148-Q148,0),IF(X148&lt;F148,U148+V148-W148,0),IF(AD148&lt;F148,AA148+AB148-AC148,0)))))</x:f>
        <x:v>0</x:v>
      </x:c>
      <x:c r="H148" s="6" t="n">
        <x:f>ROUND(MAX(0,C148+D148-E148-G148),2)</x:f>
        <x:v>0</x:v>
      </x:c>
      <x:c r="I148" s="6" t="n">
        <x:f>N147</x:f>
        <x:v>0</x:v>
      </x:c>
      <x:c r="J148" s="6" t="n">
        <x:f>ROUND(I148*'Debt strategy'!$D$10/12,2)</x:f>
        <x:v>0</x:v>
      </x:c>
      <x:c r="K148" s="6" t="n">
        <x:f>MIN(I148+J148,'Debt strategy'!$E$10)</x:f>
        <x:v>0</x:v>
      </x:c>
      <x:c r="L148" s="27" t="n">
        <x:f>IF(I148+J148-K148&lt;=0,99,1+SUM(IF(AND(C148+D148-E148&gt;0,OR(C148+D148-E148&lt;I148+J148-K148,AND(C148+D148-E148=I148+J148-K148,0&lt;1))),1,0),IF(AND(O148+P148-Q148&gt;0,OR(O148+P148-Q148&lt;I148+J148-K148,AND(O148+P148-Q148=I148+J148-K148,2&lt;1))),1,0),IF(AND(U148+V148-W148&gt;0,OR(U148+V148-W148&lt;I148+J148-K148,AND(U148+V148-W148=I148+J148-K148,3&lt;1))),1,0),IF(AND(AA148+AB148-AC148&gt;0,OR(AA148+AB148-AC148&lt;I148+J148-K148,AND(AA148+AB148-AC148=I148+J148-K148,4&lt;1))),1,0)))</x:f>
        <x:v>99</x:v>
      </x:c>
      <x:c r="M148" s="6" t="n">
        <x:f>IF('Debt strategy'!$C$16&gt;0,0,MIN(I148+J148-K148,MAX(0,'Debt strategy'!$C$5-SUM(E148,K148,Q148,W148,AC148)-SUM(IF(F148&lt;L148,C148+D148-E148,0),IF(R148&lt;L148,O148+P148-Q148,0),IF(X148&lt;L148,U148+V148-W148,0),IF(AD148&lt;L148,AA148+AB148-AC148,0)))))</x:f>
        <x:v>0</x:v>
      </x:c>
      <x:c r="N148" s="6" t="n">
        <x:f>ROUND(MAX(0,I148+J148-K148-M148),2)</x:f>
        <x:v>0</x:v>
      </x:c>
      <x:c r="O148" s="6" t="n">
        <x:f>T147</x:f>
        <x:v>0</x:v>
      </x:c>
      <x:c r="P148" s="6" t="n">
        <x:f>ROUND(O148*'Debt strategy'!$D$11/12,2)</x:f>
        <x:v>0</x:v>
      </x:c>
      <x:c r="Q148" s="6" t="n">
        <x:f>MIN(O148+P148,'Debt strategy'!$E$11)</x:f>
        <x:v>0</x:v>
      </x:c>
      <x:c r="R148" s="27" t="n">
        <x:f>IF(O148+P148-Q148&lt;=0,99,1+SUM(IF(AND(C148+D148-E148&gt;0,OR(C148+D148-E148&lt;O148+P148-Q148,AND(C148+D148-E148=O148+P148-Q148,0&lt;2))),1,0),IF(AND(I148+J148-K148&gt;0,OR(I148+J148-K148&lt;O148+P148-Q148,AND(I148+J148-K148=O148+P148-Q148,1&lt;2))),1,0),IF(AND(U148+V148-W148&gt;0,OR(U148+V148-W148&lt;O148+P148-Q148,AND(U148+V148-W148=O148+P148-Q148,3&lt;2))),1,0),IF(AND(AA148+AB148-AC148&gt;0,OR(AA148+AB148-AC148&lt;O148+P148-Q148,AND(AA148+AB148-AC148=O148+P148-Q148,4&lt;2))),1,0)))</x:f>
        <x:v>99</x:v>
      </x:c>
      <x:c r="S148" s="6" t="n">
        <x:f>IF('Debt strategy'!$C$16&gt;0,0,MIN(O148+P148-Q148,MAX(0,'Debt strategy'!$C$5-SUM(E148,K148,Q148,W148,AC148)-SUM(IF(F148&lt;R148,C148+D148-E148,0),IF(L148&lt;R148,I148+J148-K148,0),IF(X148&lt;R148,U148+V148-W148,0),IF(AD148&lt;R148,AA148+AB148-AC148,0)))))</x:f>
        <x:v>0</x:v>
      </x:c>
      <x:c r="T148" s="6" t="n">
        <x:f>ROUND(MAX(0,O148+P148-Q148-S148),2)</x:f>
        <x:v>0</x:v>
      </x:c>
      <x:c r="U148" s="6" t="n">
        <x:f>Z147</x:f>
        <x:v>0</x:v>
      </x:c>
      <x:c r="V148" s="6" t="n">
        <x:f>ROUND(U148*'Debt strategy'!$D$12/12,2)</x:f>
        <x:v>0</x:v>
      </x:c>
      <x:c r="W148" s="6" t="n">
        <x:f>MIN(U148+V148,'Debt strategy'!$E$12)</x:f>
        <x:v>0</x:v>
      </x:c>
      <x:c r="X148" s="27" t="n">
        <x:f>IF(U148+V148-W148&lt;=0,99,1+SUM(IF(AND(C148+D148-E148&gt;0,OR(C148+D148-E148&lt;U148+V148-W148,AND(C148+D148-E148=U148+V148-W148,0&lt;3))),1,0),IF(AND(I148+J148-K148&gt;0,OR(I148+J148-K148&lt;U148+V148-W148,AND(I148+J148-K148=U148+V148-W148,1&lt;3))),1,0),IF(AND(O148+P148-Q148&gt;0,OR(O148+P148-Q148&lt;U148+V148-W148,AND(O148+P148-Q148=U148+V148-W148,2&lt;3))),1,0),IF(AND(AA148+AB148-AC148&gt;0,OR(AA148+AB148-AC148&lt;U148+V148-W148,AND(AA148+AB148-AC148=U148+V148-W148,4&lt;3))),1,0)))</x:f>
        <x:v>99</x:v>
      </x:c>
      <x:c r="Y148" s="6" t="n">
        <x:f>IF('Debt strategy'!$C$16&gt;0,0,MIN(U148+V148-W148,MAX(0,'Debt strategy'!$C$5-SUM(E148,K148,Q148,W148,AC148)-SUM(IF(F148&lt;X148,C148+D148-E148,0),IF(L148&lt;X148,I148+J148-K148,0),IF(R148&lt;X148,O148+P148-Q148,0),IF(AD148&lt;X148,AA148+AB148-AC148,0)))))</x:f>
        <x:v>0</x:v>
      </x:c>
      <x:c r="Z148" s="6" t="n">
        <x:f>ROUND(MAX(0,U148+V148-W148-Y148),2)</x:f>
        <x:v>0</x:v>
      </x:c>
      <x:c r="AA148" s="6" t="n">
        <x:f>AF147</x:f>
        <x:v>0</x:v>
      </x:c>
      <x:c r="AB148" s="6" t="n">
        <x:f>ROUND(AA148*'Debt strategy'!$D$13/12,2)</x:f>
        <x:v>0</x:v>
      </x:c>
      <x:c r="AC148" s="6" t="n">
        <x:f>MIN(AA148+AB148,'Debt strategy'!$E$13)</x:f>
        <x:v>0</x:v>
      </x:c>
      <x:c r="AD148" s="27" t="n">
        <x:f>IF(AA148+AB148-AC148&lt;=0,99,1+SUM(IF(AND(C148+D148-E148&gt;0,OR(C148+D148-E148&lt;AA148+AB148-AC148,AND(C148+D148-E148=AA148+AB148-AC148,0&lt;4))),1,0),IF(AND(I148+J148-K148&gt;0,OR(I148+J148-K148&lt;AA148+AB148-AC148,AND(I148+J148-K148=AA148+AB148-AC148,1&lt;4))),1,0),IF(AND(O148+P148-Q148&gt;0,OR(O148+P148-Q148&lt;AA148+AB148-AC148,AND(O148+P148-Q148=AA148+AB148-AC148,2&lt;4))),1,0),IF(AND(U148+V148-W148&gt;0,OR(U148+V148-W148&lt;AA148+AB148-AC148,AND(U148+V148-W148=AA148+AB148-AC148,3&lt;4))),1,0)))</x:f>
        <x:v>99</x:v>
      </x:c>
      <x:c r="AE148" s="6" t="n">
        <x:f>IF('Debt strategy'!$C$16&gt;0,0,MIN(AA148+AB148-AC148,MAX(0,'Debt strategy'!$C$5-SUM(E148,K148,Q148,W148,AC148)-SUM(IF(F148&lt;AD148,C148+D148-E148,0),IF(L148&lt;AD148,I148+J148-K148,0),IF(R148&lt;AD148,O148+P148-Q148,0),IF(X148&lt;AD148,U148+V148-W148,0)))))</x:f>
        <x:v>0</x:v>
      </x:c>
      <x:c r="AF148" s="6" t="n">
        <x:f>ROUND(MAX(0,AA148+AB148-AC148-AE148),2)</x:f>
        <x:v>0</x:v>
      </x:c>
      <x:c r="AG148" s="6" t="n">
        <x:f>SUM(H148,N148,T148,Z148,AF148)</x:f>
        <x:v>0</x:v>
      </x:c>
      <x:c r="AH148" s="6" t="n">
        <x:f>SUM(D148,J148,P148,V148,AB148)+AH147</x:f>
        <x:v>1353.9499999999996</x:v>
      </x:c>
      <x:c r="AI148" s="2"/>
    </x:row>
    <x:row r="149" ht="23" customHeight="1">
      <x:c r="B149" s="2" t="n">
        <x:f>141</x:f>
        <x:v>141</x:v>
      </x:c>
      <x:c r="C149" s="6" t="n">
        <x:f>H148</x:f>
        <x:v>0</x:v>
      </x:c>
      <x:c r="D149" s="6" t="n">
        <x:f>ROUND(C149*'Debt strategy'!$D$9/12,2)</x:f>
        <x:v>0</x:v>
      </x:c>
      <x:c r="E149" s="6" t="n">
        <x:f>MIN(C149+D149,'Debt strategy'!$E$9)</x:f>
        <x:v>0</x:v>
      </x:c>
      <x:c r="F149" s="27" t="n">
        <x:f>IF(C149+D149-E149&lt;=0,99,1+SUM(IF(AND(I149+J149-K149&gt;0,OR(I149+J149-K149&lt;C149+D149-E149,AND(I149+J149-K149=C149+D149-E149,1&lt;0))),1,0),IF(AND(O149+P149-Q149&gt;0,OR(O149+P149-Q149&lt;C149+D149-E149,AND(O149+P149-Q149=C149+D149-E149,2&lt;0))),1,0),IF(AND(U149+V149-W149&gt;0,OR(U149+V149-W149&lt;C149+D149-E149,AND(U149+V149-W149=C149+D149-E149,3&lt;0))),1,0),IF(AND(AA149+AB149-AC149&gt;0,OR(AA149+AB149-AC149&lt;C149+D149-E149,AND(AA149+AB149-AC149=C149+D149-E149,4&lt;0))),1,0)))</x:f>
        <x:v>99</x:v>
      </x:c>
      <x:c r="G149" s="6" t="n">
        <x:f>IF('Debt strategy'!$C$16&gt;0,0,MIN(C149+D149-E149,MAX(0,'Debt strategy'!$C$5-SUM(E149,K149,Q149,W149,AC149)-SUM(IF(L149&lt;F149,I149+J149-K149,0),IF(R149&lt;F149,O149+P149-Q149,0),IF(X149&lt;F149,U149+V149-W149,0),IF(AD149&lt;F149,AA149+AB149-AC149,0)))))</x:f>
        <x:v>0</x:v>
      </x:c>
      <x:c r="H149" s="6" t="n">
        <x:f>ROUND(MAX(0,C149+D149-E149-G149),2)</x:f>
        <x:v>0</x:v>
      </x:c>
      <x:c r="I149" s="6" t="n">
        <x:f>N148</x:f>
        <x:v>0</x:v>
      </x:c>
      <x:c r="J149" s="6" t="n">
        <x:f>ROUND(I149*'Debt strategy'!$D$10/12,2)</x:f>
        <x:v>0</x:v>
      </x:c>
      <x:c r="K149" s="6" t="n">
        <x:f>MIN(I149+J149,'Debt strategy'!$E$10)</x:f>
        <x:v>0</x:v>
      </x:c>
      <x:c r="L149" s="27" t="n">
        <x:f>IF(I149+J149-K149&lt;=0,99,1+SUM(IF(AND(C149+D149-E149&gt;0,OR(C149+D149-E149&lt;I149+J149-K149,AND(C149+D149-E149=I149+J149-K149,0&lt;1))),1,0),IF(AND(O149+P149-Q149&gt;0,OR(O149+P149-Q149&lt;I149+J149-K149,AND(O149+P149-Q149=I149+J149-K149,2&lt;1))),1,0),IF(AND(U149+V149-W149&gt;0,OR(U149+V149-W149&lt;I149+J149-K149,AND(U149+V149-W149=I149+J149-K149,3&lt;1))),1,0),IF(AND(AA149+AB149-AC149&gt;0,OR(AA149+AB149-AC149&lt;I149+J149-K149,AND(AA149+AB149-AC149=I149+J149-K149,4&lt;1))),1,0)))</x:f>
        <x:v>99</x:v>
      </x:c>
      <x:c r="M149" s="6" t="n">
        <x:f>IF('Debt strategy'!$C$16&gt;0,0,MIN(I149+J149-K149,MAX(0,'Debt strategy'!$C$5-SUM(E149,K149,Q149,W149,AC149)-SUM(IF(F149&lt;L149,C149+D149-E149,0),IF(R149&lt;L149,O149+P149-Q149,0),IF(X149&lt;L149,U149+V149-W149,0),IF(AD149&lt;L149,AA149+AB149-AC149,0)))))</x:f>
        <x:v>0</x:v>
      </x:c>
      <x:c r="N149" s="6" t="n">
        <x:f>ROUND(MAX(0,I149+J149-K149-M149),2)</x:f>
        <x:v>0</x:v>
      </x:c>
      <x:c r="O149" s="6" t="n">
        <x:f>T148</x:f>
        <x:v>0</x:v>
      </x:c>
      <x:c r="P149" s="6" t="n">
        <x:f>ROUND(O149*'Debt strategy'!$D$11/12,2)</x:f>
        <x:v>0</x:v>
      </x:c>
      <x:c r="Q149" s="6" t="n">
        <x:f>MIN(O149+P149,'Debt strategy'!$E$11)</x:f>
        <x:v>0</x:v>
      </x:c>
      <x:c r="R149" s="27" t="n">
        <x:f>IF(O149+P149-Q149&lt;=0,99,1+SUM(IF(AND(C149+D149-E149&gt;0,OR(C149+D149-E149&lt;O149+P149-Q149,AND(C149+D149-E149=O149+P149-Q149,0&lt;2))),1,0),IF(AND(I149+J149-K149&gt;0,OR(I149+J149-K149&lt;O149+P149-Q149,AND(I149+J149-K149=O149+P149-Q149,1&lt;2))),1,0),IF(AND(U149+V149-W149&gt;0,OR(U149+V149-W149&lt;O149+P149-Q149,AND(U149+V149-W149=O149+P149-Q149,3&lt;2))),1,0),IF(AND(AA149+AB149-AC149&gt;0,OR(AA149+AB149-AC149&lt;O149+P149-Q149,AND(AA149+AB149-AC149=O149+P149-Q149,4&lt;2))),1,0)))</x:f>
        <x:v>99</x:v>
      </x:c>
      <x:c r="S149" s="6" t="n">
        <x:f>IF('Debt strategy'!$C$16&gt;0,0,MIN(O149+P149-Q149,MAX(0,'Debt strategy'!$C$5-SUM(E149,K149,Q149,W149,AC149)-SUM(IF(F149&lt;R149,C149+D149-E149,0),IF(L149&lt;R149,I149+J149-K149,0),IF(X149&lt;R149,U149+V149-W149,0),IF(AD149&lt;R149,AA149+AB149-AC149,0)))))</x:f>
        <x:v>0</x:v>
      </x:c>
      <x:c r="T149" s="6" t="n">
        <x:f>ROUND(MAX(0,O149+P149-Q149-S149),2)</x:f>
        <x:v>0</x:v>
      </x:c>
      <x:c r="U149" s="6" t="n">
        <x:f>Z148</x:f>
        <x:v>0</x:v>
      </x:c>
      <x:c r="V149" s="6" t="n">
        <x:f>ROUND(U149*'Debt strategy'!$D$12/12,2)</x:f>
        <x:v>0</x:v>
      </x:c>
      <x:c r="W149" s="6" t="n">
        <x:f>MIN(U149+V149,'Debt strategy'!$E$12)</x:f>
        <x:v>0</x:v>
      </x:c>
      <x:c r="X149" s="27" t="n">
        <x:f>IF(U149+V149-W149&lt;=0,99,1+SUM(IF(AND(C149+D149-E149&gt;0,OR(C149+D149-E149&lt;U149+V149-W149,AND(C149+D149-E149=U149+V149-W149,0&lt;3))),1,0),IF(AND(I149+J149-K149&gt;0,OR(I149+J149-K149&lt;U149+V149-W149,AND(I149+J149-K149=U149+V149-W149,1&lt;3))),1,0),IF(AND(O149+P149-Q149&gt;0,OR(O149+P149-Q149&lt;U149+V149-W149,AND(O149+P149-Q149=U149+V149-W149,2&lt;3))),1,0),IF(AND(AA149+AB149-AC149&gt;0,OR(AA149+AB149-AC149&lt;U149+V149-W149,AND(AA149+AB149-AC149=U149+V149-W149,4&lt;3))),1,0)))</x:f>
        <x:v>99</x:v>
      </x:c>
      <x:c r="Y149" s="6" t="n">
        <x:f>IF('Debt strategy'!$C$16&gt;0,0,MIN(U149+V149-W149,MAX(0,'Debt strategy'!$C$5-SUM(E149,K149,Q149,W149,AC149)-SUM(IF(F149&lt;X149,C149+D149-E149,0),IF(L149&lt;X149,I149+J149-K149,0),IF(R149&lt;X149,O149+P149-Q149,0),IF(AD149&lt;X149,AA149+AB149-AC149,0)))))</x:f>
        <x:v>0</x:v>
      </x:c>
      <x:c r="Z149" s="6" t="n">
        <x:f>ROUND(MAX(0,U149+V149-W149-Y149),2)</x:f>
        <x:v>0</x:v>
      </x:c>
      <x:c r="AA149" s="6" t="n">
        <x:f>AF148</x:f>
        <x:v>0</x:v>
      </x:c>
      <x:c r="AB149" s="6" t="n">
        <x:f>ROUND(AA149*'Debt strategy'!$D$13/12,2)</x:f>
        <x:v>0</x:v>
      </x:c>
      <x:c r="AC149" s="6" t="n">
        <x:f>MIN(AA149+AB149,'Debt strategy'!$E$13)</x:f>
        <x:v>0</x:v>
      </x:c>
      <x:c r="AD149" s="27" t="n">
        <x:f>IF(AA149+AB149-AC149&lt;=0,99,1+SUM(IF(AND(C149+D149-E149&gt;0,OR(C149+D149-E149&lt;AA149+AB149-AC149,AND(C149+D149-E149=AA149+AB149-AC149,0&lt;4))),1,0),IF(AND(I149+J149-K149&gt;0,OR(I149+J149-K149&lt;AA149+AB149-AC149,AND(I149+J149-K149=AA149+AB149-AC149,1&lt;4))),1,0),IF(AND(O149+P149-Q149&gt;0,OR(O149+P149-Q149&lt;AA149+AB149-AC149,AND(O149+P149-Q149=AA149+AB149-AC149,2&lt;4))),1,0),IF(AND(U149+V149-W149&gt;0,OR(U149+V149-W149&lt;AA149+AB149-AC149,AND(U149+V149-W149=AA149+AB149-AC149,3&lt;4))),1,0)))</x:f>
        <x:v>99</x:v>
      </x:c>
      <x:c r="AE149" s="6" t="n">
        <x:f>IF('Debt strategy'!$C$16&gt;0,0,MIN(AA149+AB149-AC149,MAX(0,'Debt strategy'!$C$5-SUM(E149,K149,Q149,W149,AC149)-SUM(IF(F149&lt;AD149,C149+D149-E149,0),IF(L149&lt;AD149,I149+J149-K149,0),IF(R149&lt;AD149,O149+P149-Q149,0),IF(X149&lt;AD149,U149+V149-W149,0)))))</x:f>
        <x:v>0</x:v>
      </x:c>
      <x:c r="AF149" s="6" t="n">
        <x:f>ROUND(MAX(0,AA149+AB149-AC149-AE149),2)</x:f>
        <x:v>0</x:v>
      </x:c>
      <x:c r="AG149" s="6" t="n">
        <x:f>SUM(H149,N149,T149,Z149,AF149)</x:f>
        <x:v>0</x:v>
      </x:c>
      <x:c r="AH149" s="6" t="n">
        <x:f>SUM(D149,J149,P149,V149,AB149)+AH148</x:f>
        <x:v>1353.9499999999996</x:v>
      </x:c>
      <x:c r="AI149" s="2"/>
    </x:row>
    <x:row r="150" ht="23" customHeight="1">
      <x:c r="B150" s="2" t="n">
        <x:f>142</x:f>
        <x:v>142</x:v>
      </x:c>
      <x:c r="C150" s="6" t="n">
        <x:f>H149</x:f>
        <x:v>0</x:v>
      </x:c>
      <x:c r="D150" s="6" t="n">
        <x:f>ROUND(C150*'Debt strategy'!$D$9/12,2)</x:f>
        <x:v>0</x:v>
      </x:c>
      <x:c r="E150" s="6" t="n">
        <x:f>MIN(C150+D150,'Debt strategy'!$E$9)</x:f>
        <x:v>0</x:v>
      </x:c>
      <x:c r="F150" s="27" t="n">
        <x:f>IF(C150+D150-E150&lt;=0,99,1+SUM(IF(AND(I150+J150-K150&gt;0,OR(I150+J150-K150&lt;C150+D150-E150,AND(I150+J150-K150=C150+D150-E150,1&lt;0))),1,0),IF(AND(O150+P150-Q150&gt;0,OR(O150+P150-Q150&lt;C150+D150-E150,AND(O150+P150-Q150=C150+D150-E150,2&lt;0))),1,0),IF(AND(U150+V150-W150&gt;0,OR(U150+V150-W150&lt;C150+D150-E150,AND(U150+V150-W150=C150+D150-E150,3&lt;0))),1,0),IF(AND(AA150+AB150-AC150&gt;0,OR(AA150+AB150-AC150&lt;C150+D150-E150,AND(AA150+AB150-AC150=C150+D150-E150,4&lt;0))),1,0)))</x:f>
        <x:v>99</x:v>
      </x:c>
      <x:c r="G150" s="6" t="n">
        <x:f>IF('Debt strategy'!$C$16&gt;0,0,MIN(C150+D150-E150,MAX(0,'Debt strategy'!$C$5-SUM(E150,K150,Q150,W150,AC150)-SUM(IF(L150&lt;F150,I150+J150-K150,0),IF(R150&lt;F150,O150+P150-Q150,0),IF(X150&lt;F150,U150+V150-W150,0),IF(AD150&lt;F150,AA150+AB150-AC150,0)))))</x:f>
        <x:v>0</x:v>
      </x:c>
      <x:c r="H150" s="6" t="n">
        <x:f>ROUND(MAX(0,C150+D150-E150-G150),2)</x:f>
        <x:v>0</x:v>
      </x:c>
      <x:c r="I150" s="6" t="n">
        <x:f>N149</x:f>
        <x:v>0</x:v>
      </x:c>
      <x:c r="J150" s="6" t="n">
        <x:f>ROUND(I150*'Debt strategy'!$D$10/12,2)</x:f>
        <x:v>0</x:v>
      </x:c>
      <x:c r="K150" s="6" t="n">
        <x:f>MIN(I150+J150,'Debt strategy'!$E$10)</x:f>
        <x:v>0</x:v>
      </x:c>
      <x:c r="L150" s="27" t="n">
        <x:f>IF(I150+J150-K150&lt;=0,99,1+SUM(IF(AND(C150+D150-E150&gt;0,OR(C150+D150-E150&lt;I150+J150-K150,AND(C150+D150-E150=I150+J150-K150,0&lt;1))),1,0),IF(AND(O150+P150-Q150&gt;0,OR(O150+P150-Q150&lt;I150+J150-K150,AND(O150+P150-Q150=I150+J150-K150,2&lt;1))),1,0),IF(AND(U150+V150-W150&gt;0,OR(U150+V150-W150&lt;I150+J150-K150,AND(U150+V150-W150=I150+J150-K150,3&lt;1))),1,0),IF(AND(AA150+AB150-AC150&gt;0,OR(AA150+AB150-AC150&lt;I150+J150-K150,AND(AA150+AB150-AC150=I150+J150-K150,4&lt;1))),1,0)))</x:f>
        <x:v>99</x:v>
      </x:c>
      <x:c r="M150" s="6" t="n">
        <x:f>IF('Debt strategy'!$C$16&gt;0,0,MIN(I150+J150-K150,MAX(0,'Debt strategy'!$C$5-SUM(E150,K150,Q150,W150,AC150)-SUM(IF(F150&lt;L150,C150+D150-E150,0),IF(R150&lt;L150,O150+P150-Q150,0),IF(X150&lt;L150,U150+V150-W150,0),IF(AD150&lt;L150,AA150+AB150-AC150,0)))))</x:f>
        <x:v>0</x:v>
      </x:c>
      <x:c r="N150" s="6" t="n">
        <x:f>ROUND(MAX(0,I150+J150-K150-M150),2)</x:f>
        <x:v>0</x:v>
      </x:c>
      <x:c r="O150" s="6" t="n">
        <x:f>T149</x:f>
        <x:v>0</x:v>
      </x:c>
      <x:c r="P150" s="6" t="n">
        <x:f>ROUND(O150*'Debt strategy'!$D$11/12,2)</x:f>
        <x:v>0</x:v>
      </x:c>
      <x:c r="Q150" s="6" t="n">
        <x:f>MIN(O150+P150,'Debt strategy'!$E$11)</x:f>
        <x:v>0</x:v>
      </x:c>
      <x:c r="R150" s="27" t="n">
        <x:f>IF(O150+P150-Q150&lt;=0,99,1+SUM(IF(AND(C150+D150-E150&gt;0,OR(C150+D150-E150&lt;O150+P150-Q150,AND(C150+D150-E150=O150+P150-Q150,0&lt;2))),1,0),IF(AND(I150+J150-K150&gt;0,OR(I150+J150-K150&lt;O150+P150-Q150,AND(I150+J150-K150=O150+P150-Q150,1&lt;2))),1,0),IF(AND(U150+V150-W150&gt;0,OR(U150+V150-W150&lt;O150+P150-Q150,AND(U150+V150-W150=O150+P150-Q150,3&lt;2))),1,0),IF(AND(AA150+AB150-AC150&gt;0,OR(AA150+AB150-AC150&lt;O150+P150-Q150,AND(AA150+AB150-AC150=O150+P150-Q150,4&lt;2))),1,0)))</x:f>
        <x:v>99</x:v>
      </x:c>
      <x:c r="S150" s="6" t="n">
        <x:f>IF('Debt strategy'!$C$16&gt;0,0,MIN(O150+P150-Q150,MAX(0,'Debt strategy'!$C$5-SUM(E150,K150,Q150,W150,AC150)-SUM(IF(F150&lt;R150,C150+D150-E150,0),IF(L150&lt;R150,I150+J150-K150,0),IF(X150&lt;R150,U150+V150-W150,0),IF(AD150&lt;R150,AA150+AB150-AC150,0)))))</x:f>
        <x:v>0</x:v>
      </x:c>
      <x:c r="T150" s="6" t="n">
        <x:f>ROUND(MAX(0,O150+P150-Q150-S150),2)</x:f>
        <x:v>0</x:v>
      </x:c>
      <x:c r="U150" s="6" t="n">
        <x:f>Z149</x:f>
        <x:v>0</x:v>
      </x:c>
      <x:c r="V150" s="6" t="n">
        <x:f>ROUND(U150*'Debt strategy'!$D$12/12,2)</x:f>
        <x:v>0</x:v>
      </x:c>
      <x:c r="W150" s="6" t="n">
        <x:f>MIN(U150+V150,'Debt strategy'!$E$12)</x:f>
        <x:v>0</x:v>
      </x:c>
      <x:c r="X150" s="27" t="n">
        <x:f>IF(U150+V150-W150&lt;=0,99,1+SUM(IF(AND(C150+D150-E150&gt;0,OR(C150+D150-E150&lt;U150+V150-W150,AND(C150+D150-E150=U150+V150-W150,0&lt;3))),1,0),IF(AND(I150+J150-K150&gt;0,OR(I150+J150-K150&lt;U150+V150-W150,AND(I150+J150-K150=U150+V150-W150,1&lt;3))),1,0),IF(AND(O150+P150-Q150&gt;0,OR(O150+P150-Q150&lt;U150+V150-W150,AND(O150+P150-Q150=U150+V150-W150,2&lt;3))),1,0),IF(AND(AA150+AB150-AC150&gt;0,OR(AA150+AB150-AC150&lt;U150+V150-W150,AND(AA150+AB150-AC150=U150+V150-W150,4&lt;3))),1,0)))</x:f>
        <x:v>99</x:v>
      </x:c>
      <x:c r="Y150" s="6" t="n">
        <x:f>IF('Debt strategy'!$C$16&gt;0,0,MIN(U150+V150-W150,MAX(0,'Debt strategy'!$C$5-SUM(E150,K150,Q150,W150,AC150)-SUM(IF(F150&lt;X150,C150+D150-E150,0),IF(L150&lt;X150,I150+J150-K150,0),IF(R150&lt;X150,O150+P150-Q150,0),IF(AD150&lt;X150,AA150+AB150-AC150,0)))))</x:f>
        <x:v>0</x:v>
      </x:c>
      <x:c r="Z150" s="6" t="n">
        <x:f>ROUND(MAX(0,U150+V150-W150-Y150),2)</x:f>
        <x:v>0</x:v>
      </x:c>
      <x:c r="AA150" s="6" t="n">
        <x:f>AF149</x:f>
        <x:v>0</x:v>
      </x:c>
      <x:c r="AB150" s="6" t="n">
        <x:f>ROUND(AA150*'Debt strategy'!$D$13/12,2)</x:f>
        <x:v>0</x:v>
      </x:c>
      <x:c r="AC150" s="6" t="n">
        <x:f>MIN(AA150+AB150,'Debt strategy'!$E$13)</x:f>
        <x:v>0</x:v>
      </x:c>
      <x:c r="AD150" s="27" t="n">
        <x:f>IF(AA150+AB150-AC150&lt;=0,99,1+SUM(IF(AND(C150+D150-E150&gt;0,OR(C150+D150-E150&lt;AA150+AB150-AC150,AND(C150+D150-E150=AA150+AB150-AC150,0&lt;4))),1,0),IF(AND(I150+J150-K150&gt;0,OR(I150+J150-K150&lt;AA150+AB150-AC150,AND(I150+J150-K150=AA150+AB150-AC150,1&lt;4))),1,0),IF(AND(O150+P150-Q150&gt;0,OR(O150+P150-Q150&lt;AA150+AB150-AC150,AND(O150+P150-Q150=AA150+AB150-AC150,2&lt;4))),1,0),IF(AND(U150+V150-W150&gt;0,OR(U150+V150-W150&lt;AA150+AB150-AC150,AND(U150+V150-W150=AA150+AB150-AC150,3&lt;4))),1,0)))</x:f>
        <x:v>99</x:v>
      </x:c>
      <x:c r="AE150" s="6" t="n">
        <x:f>IF('Debt strategy'!$C$16&gt;0,0,MIN(AA150+AB150-AC150,MAX(0,'Debt strategy'!$C$5-SUM(E150,K150,Q150,W150,AC150)-SUM(IF(F150&lt;AD150,C150+D150-E150,0),IF(L150&lt;AD150,I150+J150-K150,0),IF(R150&lt;AD150,O150+P150-Q150,0),IF(X150&lt;AD150,U150+V150-W150,0)))))</x:f>
        <x:v>0</x:v>
      </x:c>
      <x:c r="AF150" s="6" t="n">
        <x:f>ROUND(MAX(0,AA150+AB150-AC150-AE150),2)</x:f>
        <x:v>0</x:v>
      </x:c>
      <x:c r="AG150" s="6" t="n">
        <x:f>SUM(H150,N150,T150,Z150,AF150)</x:f>
        <x:v>0</x:v>
      </x:c>
      <x:c r="AH150" s="6" t="n">
        <x:f>SUM(D150,J150,P150,V150,AB150)+AH149</x:f>
        <x:v>1353.9499999999996</x:v>
      </x:c>
      <x:c r="AI150" s="2"/>
    </x:row>
    <x:row r="151" ht="23" customHeight="1">
      <x:c r="B151" s="2" t="n">
        <x:f>143</x:f>
        <x:v>143</x:v>
      </x:c>
      <x:c r="C151" s="6" t="n">
        <x:f>H150</x:f>
        <x:v>0</x:v>
      </x:c>
      <x:c r="D151" s="6" t="n">
        <x:f>ROUND(C151*'Debt strategy'!$D$9/12,2)</x:f>
        <x:v>0</x:v>
      </x:c>
      <x:c r="E151" s="6" t="n">
        <x:f>MIN(C151+D151,'Debt strategy'!$E$9)</x:f>
        <x:v>0</x:v>
      </x:c>
      <x:c r="F151" s="27" t="n">
        <x:f>IF(C151+D151-E151&lt;=0,99,1+SUM(IF(AND(I151+J151-K151&gt;0,OR(I151+J151-K151&lt;C151+D151-E151,AND(I151+J151-K151=C151+D151-E151,1&lt;0))),1,0),IF(AND(O151+P151-Q151&gt;0,OR(O151+P151-Q151&lt;C151+D151-E151,AND(O151+P151-Q151=C151+D151-E151,2&lt;0))),1,0),IF(AND(U151+V151-W151&gt;0,OR(U151+V151-W151&lt;C151+D151-E151,AND(U151+V151-W151=C151+D151-E151,3&lt;0))),1,0),IF(AND(AA151+AB151-AC151&gt;0,OR(AA151+AB151-AC151&lt;C151+D151-E151,AND(AA151+AB151-AC151=C151+D151-E151,4&lt;0))),1,0)))</x:f>
        <x:v>99</x:v>
      </x:c>
      <x:c r="G151" s="6" t="n">
        <x:f>IF('Debt strategy'!$C$16&gt;0,0,MIN(C151+D151-E151,MAX(0,'Debt strategy'!$C$5-SUM(E151,K151,Q151,W151,AC151)-SUM(IF(L151&lt;F151,I151+J151-K151,0),IF(R151&lt;F151,O151+P151-Q151,0),IF(X151&lt;F151,U151+V151-W151,0),IF(AD151&lt;F151,AA151+AB151-AC151,0)))))</x:f>
        <x:v>0</x:v>
      </x:c>
      <x:c r="H151" s="6" t="n">
        <x:f>ROUND(MAX(0,C151+D151-E151-G151),2)</x:f>
        <x:v>0</x:v>
      </x:c>
      <x:c r="I151" s="6" t="n">
        <x:f>N150</x:f>
        <x:v>0</x:v>
      </x:c>
      <x:c r="J151" s="6" t="n">
        <x:f>ROUND(I151*'Debt strategy'!$D$10/12,2)</x:f>
        <x:v>0</x:v>
      </x:c>
      <x:c r="K151" s="6" t="n">
        <x:f>MIN(I151+J151,'Debt strategy'!$E$10)</x:f>
        <x:v>0</x:v>
      </x:c>
      <x:c r="L151" s="27" t="n">
        <x:f>IF(I151+J151-K151&lt;=0,99,1+SUM(IF(AND(C151+D151-E151&gt;0,OR(C151+D151-E151&lt;I151+J151-K151,AND(C151+D151-E151=I151+J151-K151,0&lt;1))),1,0),IF(AND(O151+P151-Q151&gt;0,OR(O151+P151-Q151&lt;I151+J151-K151,AND(O151+P151-Q151=I151+J151-K151,2&lt;1))),1,0),IF(AND(U151+V151-W151&gt;0,OR(U151+V151-W151&lt;I151+J151-K151,AND(U151+V151-W151=I151+J151-K151,3&lt;1))),1,0),IF(AND(AA151+AB151-AC151&gt;0,OR(AA151+AB151-AC151&lt;I151+J151-K151,AND(AA151+AB151-AC151=I151+J151-K151,4&lt;1))),1,0)))</x:f>
        <x:v>99</x:v>
      </x:c>
      <x:c r="M151" s="6" t="n">
        <x:f>IF('Debt strategy'!$C$16&gt;0,0,MIN(I151+J151-K151,MAX(0,'Debt strategy'!$C$5-SUM(E151,K151,Q151,W151,AC151)-SUM(IF(F151&lt;L151,C151+D151-E151,0),IF(R151&lt;L151,O151+P151-Q151,0),IF(X151&lt;L151,U151+V151-W151,0),IF(AD151&lt;L151,AA151+AB151-AC151,0)))))</x:f>
        <x:v>0</x:v>
      </x:c>
      <x:c r="N151" s="6" t="n">
        <x:f>ROUND(MAX(0,I151+J151-K151-M151),2)</x:f>
        <x:v>0</x:v>
      </x:c>
      <x:c r="O151" s="6" t="n">
        <x:f>T150</x:f>
        <x:v>0</x:v>
      </x:c>
      <x:c r="P151" s="6" t="n">
        <x:f>ROUND(O151*'Debt strategy'!$D$11/12,2)</x:f>
        <x:v>0</x:v>
      </x:c>
      <x:c r="Q151" s="6" t="n">
        <x:f>MIN(O151+P151,'Debt strategy'!$E$11)</x:f>
        <x:v>0</x:v>
      </x:c>
      <x:c r="R151" s="27" t="n">
        <x:f>IF(O151+P151-Q151&lt;=0,99,1+SUM(IF(AND(C151+D151-E151&gt;0,OR(C151+D151-E151&lt;O151+P151-Q151,AND(C151+D151-E151=O151+P151-Q151,0&lt;2))),1,0),IF(AND(I151+J151-K151&gt;0,OR(I151+J151-K151&lt;O151+P151-Q151,AND(I151+J151-K151=O151+P151-Q151,1&lt;2))),1,0),IF(AND(U151+V151-W151&gt;0,OR(U151+V151-W151&lt;O151+P151-Q151,AND(U151+V151-W151=O151+P151-Q151,3&lt;2))),1,0),IF(AND(AA151+AB151-AC151&gt;0,OR(AA151+AB151-AC151&lt;O151+P151-Q151,AND(AA151+AB151-AC151=O151+P151-Q151,4&lt;2))),1,0)))</x:f>
        <x:v>99</x:v>
      </x:c>
      <x:c r="S151" s="6" t="n">
        <x:f>IF('Debt strategy'!$C$16&gt;0,0,MIN(O151+P151-Q151,MAX(0,'Debt strategy'!$C$5-SUM(E151,K151,Q151,W151,AC151)-SUM(IF(F151&lt;R151,C151+D151-E151,0),IF(L151&lt;R151,I151+J151-K151,0),IF(X151&lt;R151,U151+V151-W151,0),IF(AD151&lt;R151,AA151+AB151-AC151,0)))))</x:f>
        <x:v>0</x:v>
      </x:c>
      <x:c r="T151" s="6" t="n">
        <x:f>ROUND(MAX(0,O151+P151-Q151-S151),2)</x:f>
        <x:v>0</x:v>
      </x:c>
      <x:c r="U151" s="6" t="n">
        <x:f>Z150</x:f>
        <x:v>0</x:v>
      </x:c>
      <x:c r="V151" s="6" t="n">
        <x:f>ROUND(U151*'Debt strategy'!$D$12/12,2)</x:f>
        <x:v>0</x:v>
      </x:c>
      <x:c r="W151" s="6" t="n">
        <x:f>MIN(U151+V151,'Debt strategy'!$E$12)</x:f>
        <x:v>0</x:v>
      </x:c>
      <x:c r="X151" s="27" t="n">
        <x:f>IF(U151+V151-W151&lt;=0,99,1+SUM(IF(AND(C151+D151-E151&gt;0,OR(C151+D151-E151&lt;U151+V151-W151,AND(C151+D151-E151=U151+V151-W151,0&lt;3))),1,0),IF(AND(I151+J151-K151&gt;0,OR(I151+J151-K151&lt;U151+V151-W151,AND(I151+J151-K151=U151+V151-W151,1&lt;3))),1,0),IF(AND(O151+P151-Q151&gt;0,OR(O151+P151-Q151&lt;U151+V151-W151,AND(O151+P151-Q151=U151+V151-W151,2&lt;3))),1,0),IF(AND(AA151+AB151-AC151&gt;0,OR(AA151+AB151-AC151&lt;U151+V151-W151,AND(AA151+AB151-AC151=U151+V151-W151,4&lt;3))),1,0)))</x:f>
        <x:v>99</x:v>
      </x:c>
      <x:c r="Y151" s="6" t="n">
        <x:f>IF('Debt strategy'!$C$16&gt;0,0,MIN(U151+V151-W151,MAX(0,'Debt strategy'!$C$5-SUM(E151,K151,Q151,W151,AC151)-SUM(IF(F151&lt;X151,C151+D151-E151,0),IF(L151&lt;X151,I151+J151-K151,0),IF(R151&lt;X151,O151+P151-Q151,0),IF(AD151&lt;X151,AA151+AB151-AC151,0)))))</x:f>
        <x:v>0</x:v>
      </x:c>
      <x:c r="Z151" s="6" t="n">
        <x:f>ROUND(MAX(0,U151+V151-W151-Y151),2)</x:f>
        <x:v>0</x:v>
      </x:c>
      <x:c r="AA151" s="6" t="n">
        <x:f>AF150</x:f>
        <x:v>0</x:v>
      </x:c>
      <x:c r="AB151" s="6" t="n">
        <x:f>ROUND(AA151*'Debt strategy'!$D$13/12,2)</x:f>
        <x:v>0</x:v>
      </x:c>
      <x:c r="AC151" s="6" t="n">
        <x:f>MIN(AA151+AB151,'Debt strategy'!$E$13)</x:f>
        <x:v>0</x:v>
      </x:c>
      <x:c r="AD151" s="27" t="n">
        <x:f>IF(AA151+AB151-AC151&lt;=0,99,1+SUM(IF(AND(C151+D151-E151&gt;0,OR(C151+D151-E151&lt;AA151+AB151-AC151,AND(C151+D151-E151=AA151+AB151-AC151,0&lt;4))),1,0),IF(AND(I151+J151-K151&gt;0,OR(I151+J151-K151&lt;AA151+AB151-AC151,AND(I151+J151-K151=AA151+AB151-AC151,1&lt;4))),1,0),IF(AND(O151+P151-Q151&gt;0,OR(O151+P151-Q151&lt;AA151+AB151-AC151,AND(O151+P151-Q151=AA151+AB151-AC151,2&lt;4))),1,0),IF(AND(U151+V151-W151&gt;0,OR(U151+V151-W151&lt;AA151+AB151-AC151,AND(U151+V151-W151=AA151+AB151-AC151,3&lt;4))),1,0)))</x:f>
        <x:v>99</x:v>
      </x:c>
      <x:c r="AE151" s="6" t="n">
        <x:f>IF('Debt strategy'!$C$16&gt;0,0,MIN(AA151+AB151-AC151,MAX(0,'Debt strategy'!$C$5-SUM(E151,K151,Q151,W151,AC151)-SUM(IF(F151&lt;AD151,C151+D151-E151,0),IF(L151&lt;AD151,I151+J151-K151,0),IF(R151&lt;AD151,O151+P151-Q151,0),IF(X151&lt;AD151,U151+V151-W151,0)))))</x:f>
        <x:v>0</x:v>
      </x:c>
      <x:c r="AF151" s="6" t="n">
        <x:f>ROUND(MAX(0,AA151+AB151-AC151-AE151),2)</x:f>
        <x:v>0</x:v>
      </x:c>
      <x:c r="AG151" s="6" t="n">
        <x:f>SUM(H151,N151,T151,Z151,AF151)</x:f>
        <x:v>0</x:v>
      </x:c>
      <x:c r="AH151" s="6" t="n">
        <x:f>SUM(D151,J151,P151,V151,AB151)+AH150</x:f>
        <x:v>1353.9499999999996</x:v>
      </x:c>
      <x:c r="AI151" s="2"/>
    </x:row>
    <x:row r="152" ht="23" customHeight="1">
      <x:c r="B152" s="2" t="n">
        <x:f>144</x:f>
        <x:v>144</x:v>
      </x:c>
      <x:c r="C152" s="6" t="n">
        <x:f>H151</x:f>
        <x:v>0</x:v>
      </x:c>
      <x:c r="D152" s="6" t="n">
        <x:f>ROUND(C152*'Debt strategy'!$D$9/12,2)</x:f>
        <x:v>0</x:v>
      </x:c>
      <x:c r="E152" s="6" t="n">
        <x:f>MIN(C152+D152,'Debt strategy'!$E$9)</x:f>
        <x:v>0</x:v>
      </x:c>
      <x:c r="F152" s="27" t="n">
        <x:f>IF(C152+D152-E152&lt;=0,99,1+SUM(IF(AND(I152+J152-K152&gt;0,OR(I152+J152-K152&lt;C152+D152-E152,AND(I152+J152-K152=C152+D152-E152,1&lt;0))),1,0),IF(AND(O152+P152-Q152&gt;0,OR(O152+P152-Q152&lt;C152+D152-E152,AND(O152+P152-Q152=C152+D152-E152,2&lt;0))),1,0),IF(AND(U152+V152-W152&gt;0,OR(U152+V152-W152&lt;C152+D152-E152,AND(U152+V152-W152=C152+D152-E152,3&lt;0))),1,0),IF(AND(AA152+AB152-AC152&gt;0,OR(AA152+AB152-AC152&lt;C152+D152-E152,AND(AA152+AB152-AC152=C152+D152-E152,4&lt;0))),1,0)))</x:f>
        <x:v>99</x:v>
      </x:c>
      <x:c r="G152" s="6" t="n">
        <x:f>IF('Debt strategy'!$C$16&gt;0,0,MIN(C152+D152-E152,MAX(0,'Debt strategy'!$C$5-SUM(E152,K152,Q152,W152,AC152)-SUM(IF(L152&lt;F152,I152+J152-K152,0),IF(R152&lt;F152,O152+P152-Q152,0),IF(X152&lt;F152,U152+V152-W152,0),IF(AD152&lt;F152,AA152+AB152-AC152,0)))))</x:f>
        <x:v>0</x:v>
      </x:c>
      <x:c r="H152" s="6" t="n">
        <x:f>ROUND(MAX(0,C152+D152-E152-G152),2)</x:f>
        <x:v>0</x:v>
      </x:c>
      <x:c r="I152" s="6" t="n">
        <x:f>N151</x:f>
        <x:v>0</x:v>
      </x:c>
      <x:c r="J152" s="6" t="n">
        <x:f>ROUND(I152*'Debt strategy'!$D$10/12,2)</x:f>
        <x:v>0</x:v>
      </x:c>
      <x:c r="K152" s="6" t="n">
        <x:f>MIN(I152+J152,'Debt strategy'!$E$10)</x:f>
        <x:v>0</x:v>
      </x:c>
      <x:c r="L152" s="27" t="n">
        <x:f>IF(I152+J152-K152&lt;=0,99,1+SUM(IF(AND(C152+D152-E152&gt;0,OR(C152+D152-E152&lt;I152+J152-K152,AND(C152+D152-E152=I152+J152-K152,0&lt;1))),1,0),IF(AND(O152+P152-Q152&gt;0,OR(O152+P152-Q152&lt;I152+J152-K152,AND(O152+P152-Q152=I152+J152-K152,2&lt;1))),1,0),IF(AND(U152+V152-W152&gt;0,OR(U152+V152-W152&lt;I152+J152-K152,AND(U152+V152-W152=I152+J152-K152,3&lt;1))),1,0),IF(AND(AA152+AB152-AC152&gt;0,OR(AA152+AB152-AC152&lt;I152+J152-K152,AND(AA152+AB152-AC152=I152+J152-K152,4&lt;1))),1,0)))</x:f>
        <x:v>99</x:v>
      </x:c>
      <x:c r="M152" s="6" t="n">
        <x:f>IF('Debt strategy'!$C$16&gt;0,0,MIN(I152+J152-K152,MAX(0,'Debt strategy'!$C$5-SUM(E152,K152,Q152,W152,AC152)-SUM(IF(F152&lt;L152,C152+D152-E152,0),IF(R152&lt;L152,O152+P152-Q152,0),IF(X152&lt;L152,U152+V152-W152,0),IF(AD152&lt;L152,AA152+AB152-AC152,0)))))</x:f>
        <x:v>0</x:v>
      </x:c>
      <x:c r="N152" s="6" t="n">
        <x:f>ROUND(MAX(0,I152+J152-K152-M152),2)</x:f>
        <x:v>0</x:v>
      </x:c>
      <x:c r="O152" s="6" t="n">
        <x:f>T151</x:f>
        <x:v>0</x:v>
      </x:c>
      <x:c r="P152" s="6" t="n">
        <x:f>ROUND(O152*'Debt strategy'!$D$11/12,2)</x:f>
        <x:v>0</x:v>
      </x:c>
      <x:c r="Q152" s="6" t="n">
        <x:f>MIN(O152+P152,'Debt strategy'!$E$11)</x:f>
        <x:v>0</x:v>
      </x:c>
      <x:c r="R152" s="27" t="n">
        <x:f>IF(O152+P152-Q152&lt;=0,99,1+SUM(IF(AND(C152+D152-E152&gt;0,OR(C152+D152-E152&lt;O152+P152-Q152,AND(C152+D152-E152=O152+P152-Q152,0&lt;2))),1,0),IF(AND(I152+J152-K152&gt;0,OR(I152+J152-K152&lt;O152+P152-Q152,AND(I152+J152-K152=O152+P152-Q152,1&lt;2))),1,0),IF(AND(U152+V152-W152&gt;0,OR(U152+V152-W152&lt;O152+P152-Q152,AND(U152+V152-W152=O152+P152-Q152,3&lt;2))),1,0),IF(AND(AA152+AB152-AC152&gt;0,OR(AA152+AB152-AC152&lt;O152+P152-Q152,AND(AA152+AB152-AC152=O152+P152-Q152,4&lt;2))),1,0)))</x:f>
        <x:v>99</x:v>
      </x:c>
      <x:c r="S152" s="6" t="n">
        <x:f>IF('Debt strategy'!$C$16&gt;0,0,MIN(O152+P152-Q152,MAX(0,'Debt strategy'!$C$5-SUM(E152,K152,Q152,W152,AC152)-SUM(IF(F152&lt;R152,C152+D152-E152,0),IF(L152&lt;R152,I152+J152-K152,0),IF(X152&lt;R152,U152+V152-W152,0),IF(AD152&lt;R152,AA152+AB152-AC152,0)))))</x:f>
        <x:v>0</x:v>
      </x:c>
      <x:c r="T152" s="6" t="n">
        <x:f>ROUND(MAX(0,O152+P152-Q152-S152),2)</x:f>
        <x:v>0</x:v>
      </x:c>
      <x:c r="U152" s="6" t="n">
        <x:f>Z151</x:f>
        <x:v>0</x:v>
      </x:c>
      <x:c r="V152" s="6" t="n">
        <x:f>ROUND(U152*'Debt strategy'!$D$12/12,2)</x:f>
        <x:v>0</x:v>
      </x:c>
      <x:c r="W152" s="6" t="n">
        <x:f>MIN(U152+V152,'Debt strategy'!$E$12)</x:f>
        <x:v>0</x:v>
      </x:c>
      <x:c r="X152" s="27" t="n">
        <x:f>IF(U152+V152-W152&lt;=0,99,1+SUM(IF(AND(C152+D152-E152&gt;0,OR(C152+D152-E152&lt;U152+V152-W152,AND(C152+D152-E152=U152+V152-W152,0&lt;3))),1,0),IF(AND(I152+J152-K152&gt;0,OR(I152+J152-K152&lt;U152+V152-W152,AND(I152+J152-K152=U152+V152-W152,1&lt;3))),1,0),IF(AND(O152+P152-Q152&gt;0,OR(O152+P152-Q152&lt;U152+V152-W152,AND(O152+P152-Q152=U152+V152-W152,2&lt;3))),1,0),IF(AND(AA152+AB152-AC152&gt;0,OR(AA152+AB152-AC152&lt;U152+V152-W152,AND(AA152+AB152-AC152=U152+V152-W152,4&lt;3))),1,0)))</x:f>
        <x:v>99</x:v>
      </x:c>
      <x:c r="Y152" s="6" t="n">
        <x:f>IF('Debt strategy'!$C$16&gt;0,0,MIN(U152+V152-W152,MAX(0,'Debt strategy'!$C$5-SUM(E152,K152,Q152,W152,AC152)-SUM(IF(F152&lt;X152,C152+D152-E152,0),IF(L152&lt;X152,I152+J152-K152,0),IF(R152&lt;X152,O152+P152-Q152,0),IF(AD152&lt;X152,AA152+AB152-AC152,0)))))</x:f>
        <x:v>0</x:v>
      </x:c>
      <x:c r="Z152" s="6" t="n">
        <x:f>ROUND(MAX(0,U152+V152-W152-Y152),2)</x:f>
        <x:v>0</x:v>
      </x:c>
      <x:c r="AA152" s="6" t="n">
        <x:f>AF151</x:f>
        <x:v>0</x:v>
      </x:c>
      <x:c r="AB152" s="6" t="n">
        <x:f>ROUND(AA152*'Debt strategy'!$D$13/12,2)</x:f>
        <x:v>0</x:v>
      </x:c>
      <x:c r="AC152" s="6" t="n">
        <x:f>MIN(AA152+AB152,'Debt strategy'!$E$13)</x:f>
        <x:v>0</x:v>
      </x:c>
      <x:c r="AD152" s="27" t="n">
        <x:f>IF(AA152+AB152-AC152&lt;=0,99,1+SUM(IF(AND(C152+D152-E152&gt;0,OR(C152+D152-E152&lt;AA152+AB152-AC152,AND(C152+D152-E152=AA152+AB152-AC152,0&lt;4))),1,0),IF(AND(I152+J152-K152&gt;0,OR(I152+J152-K152&lt;AA152+AB152-AC152,AND(I152+J152-K152=AA152+AB152-AC152,1&lt;4))),1,0),IF(AND(O152+P152-Q152&gt;0,OR(O152+P152-Q152&lt;AA152+AB152-AC152,AND(O152+P152-Q152=AA152+AB152-AC152,2&lt;4))),1,0),IF(AND(U152+V152-W152&gt;0,OR(U152+V152-W152&lt;AA152+AB152-AC152,AND(U152+V152-W152=AA152+AB152-AC152,3&lt;4))),1,0)))</x:f>
        <x:v>99</x:v>
      </x:c>
      <x:c r="AE152" s="6" t="n">
        <x:f>IF('Debt strategy'!$C$16&gt;0,0,MIN(AA152+AB152-AC152,MAX(0,'Debt strategy'!$C$5-SUM(E152,K152,Q152,W152,AC152)-SUM(IF(F152&lt;AD152,C152+D152-E152,0),IF(L152&lt;AD152,I152+J152-K152,0),IF(R152&lt;AD152,O152+P152-Q152,0),IF(X152&lt;AD152,U152+V152-W152,0)))))</x:f>
        <x:v>0</x:v>
      </x:c>
      <x:c r="AF152" s="6" t="n">
        <x:f>ROUND(MAX(0,AA152+AB152-AC152-AE152),2)</x:f>
        <x:v>0</x:v>
      </x:c>
      <x:c r="AG152" s="6" t="n">
        <x:f>SUM(H152,N152,T152,Z152,AF152)</x:f>
        <x:v>0</x:v>
      </x:c>
      <x:c r="AH152" s="6" t="n">
        <x:f>SUM(D152,J152,P152,V152,AB152)+AH151</x:f>
        <x:v>1353.9499999999996</x:v>
      </x:c>
      <x:c r="AI152" s="2"/>
    </x:row>
    <x:row r="153" ht="23" customHeight="1">
      <x:c r="B153" s="2" t="n">
        <x:f>145</x:f>
        <x:v>145</x:v>
      </x:c>
      <x:c r="C153" s="6" t="n">
        <x:f>H152</x:f>
        <x:v>0</x:v>
      </x:c>
      <x:c r="D153" s="6" t="n">
        <x:f>ROUND(C153*'Debt strategy'!$D$9/12,2)</x:f>
        <x:v>0</x:v>
      </x:c>
      <x:c r="E153" s="6" t="n">
        <x:f>MIN(C153+D153,'Debt strategy'!$E$9)</x:f>
        <x:v>0</x:v>
      </x:c>
      <x:c r="F153" s="27" t="n">
        <x:f>IF(C153+D153-E153&lt;=0,99,1+SUM(IF(AND(I153+J153-K153&gt;0,OR(I153+J153-K153&lt;C153+D153-E153,AND(I153+J153-K153=C153+D153-E153,1&lt;0))),1,0),IF(AND(O153+P153-Q153&gt;0,OR(O153+P153-Q153&lt;C153+D153-E153,AND(O153+P153-Q153=C153+D153-E153,2&lt;0))),1,0),IF(AND(U153+V153-W153&gt;0,OR(U153+V153-W153&lt;C153+D153-E153,AND(U153+V153-W153=C153+D153-E153,3&lt;0))),1,0),IF(AND(AA153+AB153-AC153&gt;0,OR(AA153+AB153-AC153&lt;C153+D153-E153,AND(AA153+AB153-AC153=C153+D153-E153,4&lt;0))),1,0)))</x:f>
        <x:v>99</x:v>
      </x:c>
      <x:c r="G153" s="6" t="n">
        <x:f>IF('Debt strategy'!$C$16&gt;0,0,MIN(C153+D153-E153,MAX(0,'Debt strategy'!$C$5-SUM(E153,K153,Q153,W153,AC153)-SUM(IF(L153&lt;F153,I153+J153-K153,0),IF(R153&lt;F153,O153+P153-Q153,0),IF(X153&lt;F153,U153+V153-W153,0),IF(AD153&lt;F153,AA153+AB153-AC153,0)))))</x:f>
        <x:v>0</x:v>
      </x:c>
      <x:c r="H153" s="6" t="n">
        <x:f>ROUND(MAX(0,C153+D153-E153-G153),2)</x:f>
        <x:v>0</x:v>
      </x:c>
      <x:c r="I153" s="6" t="n">
        <x:f>N152</x:f>
        <x:v>0</x:v>
      </x:c>
      <x:c r="J153" s="6" t="n">
        <x:f>ROUND(I153*'Debt strategy'!$D$10/12,2)</x:f>
        <x:v>0</x:v>
      </x:c>
      <x:c r="K153" s="6" t="n">
        <x:f>MIN(I153+J153,'Debt strategy'!$E$10)</x:f>
        <x:v>0</x:v>
      </x:c>
      <x:c r="L153" s="27" t="n">
        <x:f>IF(I153+J153-K153&lt;=0,99,1+SUM(IF(AND(C153+D153-E153&gt;0,OR(C153+D153-E153&lt;I153+J153-K153,AND(C153+D153-E153=I153+J153-K153,0&lt;1))),1,0),IF(AND(O153+P153-Q153&gt;0,OR(O153+P153-Q153&lt;I153+J153-K153,AND(O153+P153-Q153=I153+J153-K153,2&lt;1))),1,0),IF(AND(U153+V153-W153&gt;0,OR(U153+V153-W153&lt;I153+J153-K153,AND(U153+V153-W153=I153+J153-K153,3&lt;1))),1,0),IF(AND(AA153+AB153-AC153&gt;0,OR(AA153+AB153-AC153&lt;I153+J153-K153,AND(AA153+AB153-AC153=I153+J153-K153,4&lt;1))),1,0)))</x:f>
        <x:v>99</x:v>
      </x:c>
      <x:c r="M153" s="6" t="n">
        <x:f>IF('Debt strategy'!$C$16&gt;0,0,MIN(I153+J153-K153,MAX(0,'Debt strategy'!$C$5-SUM(E153,K153,Q153,W153,AC153)-SUM(IF(F153&lt;L153,C153+D153-E153,0),IF(R153&lt;L153,O153+P153-Q153,0),IF(X153&lt;L153,U153+V153-W153,0),IF(AD153&lt;L153,AA153+AB153-AC153,0)))))</x:f>
        <x:v>0</x:v>
      </x:c>
      <x:c r="N153" s="6" t="n">
        <x:f>ROUND(MAX(0,I153+J153-K153-M153),2)</x:f>
        <x:v>0</x:v>
      </x:c>
      <x:c r="O153" s="6" t="n">
        <x:f>T152</x:f>
        <x:v>0</x:v>
      </x:c>
      <x:c r="P153" s="6" t="n">
        <x:f>ROUND(O153*'Debt strategy'!$D$11/12,2)</x:f>
        <x:v>0</x:v>
      </x:c>
      <x:c r="Q153" s="6" t="n">
        <x:f>MIN(O153+P153,'Debt strategy'!$E$11)</x:f>
        <x:v>0</x:v>
      </x:c>
      <x:c r="R153" s="27" t="n">
        <x:f>IF(O153+P153-Q153&lt;=0,99,1+SUM(IF(AND(C153+D153-E153&gt;0,OR(C153+D153-E153&lt;O153+P153-Q153,AND(C153+D153-E153=O153+P153-Q153,0&lt;2))),1,0),IF(AND(I153+J153-K153&gt;0,OR(I153+J153-K153&lt;O153+P153-Q153,AND(I153+J153-K153=O153+P153-Q153,1&lt;2))),1,0),IF(AND(U153+V153-W153&gt;0,OR(U153+V153-W153&lt;O153+P153-Q153,AND(U153+V153-W153=O153+P153-Q153,3&lt;2))),1,0),IF(AND(AA153+AB153-AC153&gt;0,OR(AA153+AB153-AC153&lt;O153+P153-Q153,AND(AA153+AB153-AC153=O153+P153-Q153,4&lt;2))),1,0)))</x:f>
        <x:v>99</x:v>
      </x:c>
      <x:c r="S153" s="6" t="n">
        <x:f>IF('Debt strategy'!$C$16&gt;0,0,MIN(O153+P153-Q153,MAX(0,'Debt strategy'!$C$5-SUM(E153,K153,Q153,W153,AC153)-SUM(IF(F153&lt;R153,C153+D153-E153,0),IF(L153&lt;R153,I153+J153-K153,0),IF(X153&lt;R153,U153+V153-W153,0),IF(AD153&lt;R153,AA153+AB153-AC153,0)))))</x:f>
        <x:v>0</x:v>
      </x:c>
      <x:c r="T153" s="6" t="n">
        <x:f>ROUND(MAX(0,O153+P153-Q153-S153),2)</x:f>
        <x:v>0</x:v>
      </x:c>
      <x:c r="U153" s="6" t="n">
        <x:f>Z152</x:f>
        <x:v>0</x:v>
      </x:c>
      <x:c r="V153" s="6" t="n">
        <x:f>ROUND(U153*'Debt strategy'!$D$12/12,2)</x:f>
        <x:v>0</x:v>
      </x:c>
      <x:c r="W153" s="6" t="n">
        <x:f>MIN(U153+V153,'Debt strategy'!$E$12)</x:f>
        <x:v>0</x:v>
      </x:c>
      <x:c r="X153" s="27" t="n">
        <x:f>IF(U153+V153-W153&lt;=0,99,1+SUM(IF(AND(C153+D153-E153&gt;0,OR(C153+D153-E153&lt;U153+V153-W153,AND(C153+D153-E153=U153+V153-W153,0&lt;3))),1,0),IF(AND(I153+J153-K153&gt;0,OR(I153+J153-K153&lt;U153+V153-W153,AND(I153+J153-K153=U153+V153-W153,1&lt;3))),1,0),IF(AND(O153+P153-Q153&gt;0,OR(O153+P153-Q153&lt;U153+V153-W153,AND(O153+P153-Q153=U153+V153-W153,2&lt;3))),1,0),IF(AND(AA153+AB153-AC153&gt;0,OR(AA153+AB153-AC153&lt;U153+V153-W153,AND(AA153+AB153-AC153=U153+V153-W153,4&lt;3))),1,0)))</x:f>
        <x:v>99</x:v>
      </x:c>
      <x:c r="Y153" s="6" t="n">
        <x:f>IF('Debt strategy'!$C$16&gt;0,0,MIN(U153+V153-W153,MAX(0,'Debt strategy'!$C$5-SUM(E153,K153,Q153,W153,AC153)-SUM(IF(F153&lt;X153,C153+D153-E153,0),IF(L153&lt;X153,I153+J153-K153,0),IF(R153&lt;X153,O153+P153-Q153,0),IF(AD153&lt;X153,AA153+AB153-AC153,0)))))</x:f>
        <x:v>0</x:v>
      </x:c>
      <x:c r="Z153" s="6" t="n">
        <x:f>ROUND(MAX(0,U153+V153-W153-Y153),2)</x:f>
        <x:v>0</x:v>
      </x:c>
      <x:c r="AA153" s="6" t="n">
        <x:f>AF152</x:f>
        <x:v>0</x:v>
      </x:c>
      <x:c r="AB153" s="6" t="n">
        <x:f>ROUND(AA153*'Debt strategy'!$D$13/12,2)</x:f>
        <x:v>0</x:v>
      </x:c>
      <x:c r="AC153" s="6" t="n">
        <x:f>MIN(AA153+AB153,'Debt strategy'!$E$13)</x:f>
        <x:v>0</x:v>
      </x:c>
      <x:c r="AD153" s="27" t="n">
        <x:f>IF(AA153+AB153-AC153&lt;=0,99,1+SUM(IF(AND(C153+D153-E153&gt;0,OR(C153+D153-E153&lt;AA153+AB153-AC153,AND(C153+D153-E153=AA153+AB153-AC153,0&lt;4))),1,0),IF(AND(I153+J153-K153&gt;0,OR(I153+J153-K153&lt;AA153+AB153-AC153,AND(I153+J153-K153=AA153+AB153-AC153,1&lt;4))),1,0),IF(AND(O153+P153-Q153&gt;0,OR(O153+P153-Q153&lt;AA153+AB153-AC153,AND(O153+P153-Q153=AA153+AB153-AC153,2&lt;4))),1,0),IF(AND(U153+V153-W153&gt;0,OR(U153+V153-W153&lt;AA153+AB153-AC153,AND(U153+V153-W153=AA153+AB153-AC153,3&lt;4))),1,0)))</x:f>
        <x:v>99</x:v>
      </x:c>
      <x:c r="AE153" s="6" t="n">
        <x:f>IF('Debt strategy'!$C$16&gt;0,0,MIN(AA153+AB153-AC153,MAX(0,'Debt strategy'!$C$5-SUM(E153,K153,Q153,W153,AC153)-SUM(IF(F153&lt;AD153,C153+D153-E153,0),IF(L153&lt;AD153,I153+J153-K153,0),IF(R153&lt;AD153,O153+P153-Q153,0),IF(X153&lt;AD153,U153+V153-W153,0)))))</x:f>
        <x:v>0</x:v>
      </x:c>
      <x:c r="AF153" s="6" t="n">
        <x:f>ROUND(MAX(0,AA153+AB153-AC153-AE153),2)</x:f>
        <x:v>0</x:v>
      </x:c>
      <x:c r="AG153" s="6" t="n">
        <x:f>SUM(H153,N153,T153,Z153,AF153)</x:f>
        <x:v>0</x:v>
      </x:c>
      <x:c r="AH153" s="6" t="n">
        <x:f>SUM(D153,J153,P153,V153,AB153)+AH152</x:f>
        <x:v>1353.9499999999996</x:v>
      </x:c>
      <x:c r="AI153" s="2"/>
    </x:row>
    <x:row r="154" ht="23" customHeight="1">
      <x:c r="B154" s="2" t="n">
        <x:f>146</x:f>
        <x:v>146</x:v>
      </x:c>
      <x:c r="C154" s="6" t="n">
        <x:f>H153</x:f>
        <x:v>0</x:v>
      </x:c>
      <x:c r="D154" s="6" t="n">
        <x:f>ROUND(C154*'Debt strategy'!$D$9/12,2)</x:f>
        <x:v>0</x:v>
      </x:c>
      <x:c r="E154" s="6" t="n">
        <x:f>MIN(C154+D154,'Debt strategy'!$E$9)</x:f>
        <x:v>0</x:v>
      </x:c>
      <x:c r="F154" s="27" t="n">
        <x:f>IF(C154+D154-E154&lt;=0,99,1+SUM(IF(AND(I154+J154-K154&gt;0,OR(I154+J154-K154&lt;C154+D154-E154,AND(I154+J154-K154=C154+D154-E154,1&lt;0))),1,0),IF(AND(O154+P154-Q154&gt;0,OR(O154+P154-Q154&lt;C154+D154-E154,AND(O154+P154-Q154=C154+D154-E154,2&lt;0))),1,0),IF(AND(U154+V154-W154&gt;0,OR(U154+V154-W154&lt;C154+D154-E154,AND(U154+V154-W154=C154+D154-E154,3&lt;0))),1,0),IF(AND(AA154+AB154-AC154&gt;0,OR(AA154+AB154-AC154&lt;C154+D154-E154,AND(AA154+AB154-AC154=C154+D154-E154,4&lt;0))),1,0)))</x:f>
        <x:v>99</x:v>
      </x:c>
      <x:c r="G154" s="6" t="n">
        <x:f>IF('Debt strategy'!$C$16&gt;0,0,MIN(C154+D154-E154,MAX(0,'Debt strategy'!$C$5-SUM(E154,K154,Q154,W154,AC154)-SUM(IF(L154&lt;F154,I154+J154-K154,0),IF(R154&lt;F154,O154+P154-Q154,0),IF(X154&lt;F154,U154+V154-W154,0),IF(AD154&lt;F154,AA154+AB154-AC154,0)))))</x:f>
        <x:v>0</x:v>
      </x:c>
      <x:c r="H154" s="6" t="n">
        <x:f>ROUND(MAX(0,C154+D154-E154-G154),2)</x:f>
        <x:v>0</x:v>
      </x:c>
      <x:c r="I154" s="6" t="n">
        <x:f>N153</x:f>
        <x:v>0</x:v>
      </x:c>
      <x:c r="J154" s="6" t="n">
        <x:f>ROUND(I154*'Debt strategy'!$D$10/12,2)</x:f>
        <x:v>0</x:v>
      </x:c>
      <x:c r="K154" s="6" t="n">
        <x:f>MIN(I154+J154,'Debt strategy'!$E$10)</x:f>
        <x:v>0</x:v>
      </x:c>
      <x:c r="L154" s="27" t="n">
        <x:f>IF(I154+J154-K154&lt;=0,99,1+SUM(IF(AND(C154+D154-E154&gt;0,OR(C154+D154-E154&lt;I154+J154-K154,AND(C154+D154-E154=I154+J154-K154,0&lt;1))),1,0),IF(AND(O154+P154-Q154&gt;0,OR(O154+P154-Q154&lt;I154+J154-K154,AND(O154+P154-Q154=I154+J154-K154,2&lt;1))),1,0),IF(AND(U154+V154-W154&gt;0,OR(U154+V154-W154&lt;I154+J154-K154,AND(U154+V154-W154=I154+J154-K154,3&lt;1))),1,0),IF(AND(AA154+AB154-AC154&gt;0,OR(AA154+AB154-AC154&lt;I154+J154-K154,AND(AA154+AB154-AC154=I154+J154-K154,4&lt;1))),1,0)))</x:f>
        <x:v>99</x:v>
      </x:c>
      <x:c r="M154" s="6" t="n">
        <x:f>IF('Debt strategy'!$C$16&gt;0,0,MIN(I154+J154-K154,MAX(0,'Debt strategy'!$C$5-SUM(E154,K154,Q154,W154,AC154)-SUM(IF(F154&lt;L154,C154+D154-E154,0),IF(R154&lt;L154,O154+P154-Q154,0),IF(X154&lt;L154,U154+V154-W154,0),IF(AD154&lt;L154,AA154+AB154-AC154,0)))))</x:f>
        <x:v>0</x:v>
      </x:c>
      <x:c r="N154" s="6" t="n">
        <x:f>ROUND(MAX(0,I154+J154-K154-M154),2)</x:f>
        <x:v>0</x:v>
      </x:c>
      <x:c r="O154" s="6" t="n">
        <x:f>T153</x:f>
        <x:v>0</x:v>
      </x:c>
      <x:c r="P154" s="6" t="n">
        <x:f>ROUND(O154*'Debt strategy'!$D$11/12,2)</x:f>
        <x:v>0</x:v>
      </x:c>
      <x:c r="Q154" s="6" t="n">
        <x:f>MIN(O154+P154,'Debt strategy'!$E$11)</x:f>
        <x:v>0</x:v>
      </x:c>
      <x:c r="R154" s="27" t="n">
        <x:f>IF(O154+P154-Q154&lt;=0,99,1+SUM(IF(AND(C154+D154-E154&gt;0,OR(C154+D154-E154&lt;O154+P154-Q154,AND(C154+D154-E154=O154+P154-Q154,0&lt;2))),1,0),IF(AND(I154+J154-K154&gt;0,OR(I154+J154-K154&lt;O154+P154-Q154,AND(I154+J154-K154=O154+P154-Q154,1&lt;2))),1,0),IF(AND(U154+V154-W154&gt;0,OR(U154+V154-W154&lt;O154+P154-Q154,AND(U154+V154-W154=O154+P154-Q154,3&lt;2))),1,0),IF(AND(AA154+AB154-AC154&gt;0,OR(AA154+AB154-AC154&lt;O154+P154-Q154,AND(AA154+AB154-AC154=O154+P154-Q154,4&lt;2))),1,0)))</x:f>
        <x:v>99</x:v>
      </x:c>
      <x:c r="S154" s="6" t="n">
        <x:f>IF('Debt strategy'!$C$16&gt;0,0,MIN(O154+P154-Q154,MAX(0,'Debt strategy'!$C$5-SUM(E154,K154,Q154,W154,AC154)-SUM(IF(F154&lt;R154,C154+D154-E154,0),IF(L154&lt;R154,I154+J154-K154,0),IF(X154&lt;R154,U154+V154-W154,0),IF(AD154&lt;R154,AA154+AB154-AC154,0)))))</x:f>
        <x:v>0</x:v>
      </x:c>
      <x:c r="T154" s="6" t="n">
        <x:f>ROUND(MAX(0,O154+P154-Q154-S154),2)</x:f>
        <x:v>0</x:v>
      </x:c>
      <x:c r="U154" s="6" t="n">
        <x:f>Z153</x:f>
        <x:v>0</x:v>
      </x:c>
      <x:c r="V154" s="6" t="n">
        <x:f>ROUND(U154*'Debt strategy'!$D$12/12,2)</x:f>
        <x:v>0</x:v>
      </x:c>
      <x:c r="W154" s="6" t="n">
        <x:f>MIN(U154+V154,'Debt strategy'!$E$12)</x:f>
        <x:v>0</x:v>
      </x:c>
      <x:c r="X154" s="27" t="n">
        <x:f>IF(U154+V154-W154&lt;=0,99,1+SUM(IF(AND(C154+D154-E154&gt;0,OR(C154+D154-E154&lt;U154+V154-W154,AND(C154+D154-E154=U154+V154-W154,0&lt;3))),1,0),IF(AND(I154+J154-K154&gt;0,OR(I154+J154-K154&lt;U154+V154-W154,AND(I154+J154-K154=U154+V154-W154,1&lt;3))),1,0),IF(AND(O154+P154-Q154&gt;0,OR(O154+P154-Q154&lt;U154+V154-W154,AND(O154+P154-Q154=U154+V154-W154,2&lt;3))),1,0),IF(AND(AA154+AB154-AC154&gt;0,OR(AA154+AB154-AC154&lt;U154+V154-W154,AND(AA154+AB154-AC154=U154+V154-W154,4&lt;3))),1,0)))</x:f>
        <x:v>99</x:v>
      </x:c>
      <x:c r="Y154" s="6" t="n">
        <x:f>IF('Debt strategy'!$C$16&gt;0,0,MIN(U154+V154-W154,MAX(0,'Debt strategy'!$C$5-SUM(E154,K154,Q154,W154,AC154)-SUM(IF(F154&lt;X154,C154+D154-E154,0),IF(L154&lt;X154,I154+J154-K154,0),IF(R154&lt;X154,O154+P154-Q154,0),IF(AD154&lt;X154,AA154+AB154-AC154,0)))))</x:f>
        <x:v>0</x:v>
      </x:c>
      <x:c r="Z154" s="6" t="n">
        <x:f>ROUND(MAX(0,U154+V154-W154-Y154),2)</x:f>
        <x:v>0</x:v>
      </x:c>
      <x:c r="AA154" s="6" t="n">
        <x:f>AF153</x:f>
        <x:v>0</x:v>
      </x:c>
      <x:c r="AB154" s="6" t="n">
        <x:f>ROUND(AA154*'Debt strategy'!$D$13/12,2)</x:f>
        <x:v>0</x:v>
      </x:c>
      <x:c r="AC154" s="6" t="n">
        <x:f>MIN(AA154+AB154,'Debt strategy'!$E$13)</x:f>
        <x:v>0</x:v>
      </x:c>
      <x:c r="AD154" s="27" t="n">
        <x:f>IF(AA154+AB154-AC154&lt;=0,99,1+SUM(IF(AND(C154+D154-E154&gt;0,OR(C154+D154-E154&lt;AA154+AB154-AC154,AND(C154+D154-E154=AA154+AB154-AC154,0&lt;4))),1,0),IF(AND(I154+J154-K154&gt;0,OR(I154+J154-K154&lt;AA154+AB154-AC154,AND(I154+J154-K154=AA154+AB154-AC154,1&lt;4))),1,0),IF(AND(O154+P154-Q154&gt;0,OR(O154+P154-Q154&lt;AA154+AB154-AC154,AND(O154+P154-Q154=AA154+AB154-AC154,2&lt;4))),1,0),IF(AND(U154+V154-W154&gt;0,OR(U154+V154-W154&lt;AA154+AB154-AC154,AND(U154+V154-W154=AA154+AB154-AC154,3&lt;4))),1,0)))</x:f>
        <x:v>99</x:v>
      </x:c>
      <x:c r="AE154" s="6" t="n">
        <x:f>IF('Debt strategy'!$C$16&gt;0,0,MIN(AA154+AB154-AC154,MAX(0,'Debt strategy'!$C$5-SUM(E154,K154,Q154,W154,AC154)-SUM(IF(F154&lt;AD154,C154+D154-E154,0),IF(L154&lt;AD154,I154+J154-K154,0),IF(R154&lt;AD154,O154+P154-Q154,0),IF(X154&lt;AD154,U154+V154-W154,0)))))</x:f>
        <x:v>0</x:v>
      </x:c>
      <x:c r="AF154" s="6" t="n">
        <x:f>ROUND(MAX(0,AA154+AB154-AC154-AE154),2)</x:f>
        <x:v>0</x:v>
      </x:c>
      <x:c r="AG154" s="6" t="n">
        <x:f>SUM(H154,N154,T154,Z154,AF154)</x:f>
        <x:v>0</x:v>
      </x:c>
      <x:c r="AH154" s="6" t="n">
        <x:f>SUM(D154,J154,P154,V154,AB154)+AH153</x:f>
        <x:v>1353.9499999999996</x:v>
      </x:c>
      <x:c r="AI154" s="2"/>
    </x:row>
    <x:row r="155" ht="23" customHeight="1">
      <x:c r="B155" s="2" t="n">
        <x:f>147</x:f>
        <x:v>147</x:v>
      </x:c>
      <x:c r="C155" s="6" t="n">
        <x:f>H154</x:f>
        <x:v>0</x:v>
      </x:c>
      <x:c r="D155" s="6" t="n">
        <x:f>ROUND(C155*'Debt strategy'!$D$9/12,2)</x:f>
        <x:v>0</x:v>
      </x:c>
      <x:c r="E155" s="6" t="n">
        <x:f>MIN(C155+D155,'Debt strategy'!$E$9)</x:f>
        <x:v>0</x:v>
      </x:c>
      <x:c r="F155" s="27" t="n">
        <x:f>IF(C155+D155-E155&lt;=0,99,1+SUM(IF(AND(I155+J155-K155&gt;0,OR(I155+J155-K155&lt;C155+D155-E155,AND(I155+J155-K155=C155+D155-E155,1&lt;0))),1,0),IF(AND(O155+P155-Q155&gt;0,OR(O155+P155-Q155&lt;C155+D155-E155,AND(O155+P155-Q155=C155+D155-E155,2&lt;0))),1,0),IF(AND(U155+V155-W155&gt;0,OR(U155+V155-W155&lt;C155+D155-E155,AND(U155+V155-W155=C155+D155-E155,3&lt;0))),1,0),IF(AND(AA155+AB155-AC155&gt;0,OR(AA155+AB155-AC155&lt;C155+D155-E155,AND(AA155+AB155-AC155=C155+D155-E155,4&lt;0))),1,0)))</x:f>
        <x:v>99</x:v>
      </x:c>
      <x:c r="G155" s="6" t="n">
        <x:f>IF('Debt strategy'!$C$16&gt;0,0,MIN(C155+D155-E155,MAX(0,'Debt strategy'!$C$5-SUM(E155,K155,Q155,W155,AC155)-SUM(IF(L155&lt;F155,I155+J155-K155,0),IF(R155&lt;F155,O155+P155-Q155,0),IF(X155&lt;F155,U155+V155-W155,0),IF(AD155&lt;F155,AA155+AB155-AC155,0)))))</x:f>
        <x:v>0</x:v>
      </x:c>
      <x:c r="H155" s="6" t="n">
        <x:f>ROUND(MAX(0,C155+D155-E155-G155),2)</x:f>
        <x:v>0</x:v>
      </x:c>
      <x:c r="I155" s="6" t="n">
        <x:f>N154</x:f>
        <x:v>0</x:v>
      </x:c>
      <x:c r="J155" s="6" t="n">
        <x:f>ROUND(I155*'Debt strategy'!$D$10/12,2)</x:f>
        <x:v>0</x:v>
      </x:c>
      <x:c r="K155" s="6" t="n">
        <x:f>MIN(I155+J155,'Debt strategy'!$E$10)</x:f>
        <x:v>0</x:v>
      </x:c>
      <x:c r="L155" s="27" t="n">
        <x:f>IF(I155+J155-K155&lt;=0,99,1+SUM(IF(AND(C155+D155-E155&gt;0,OR(C155+D155-E155&lt;I155+J155-K155,AND(C155+D155-E155=I155+J155-K155,0&lt;1))),1,0),IF(AND(O155+P155-Q155&gt;0,OR(O155+P155-Q155&lt;I155+J155-K155,AND(O155+P155-Q155=I155+J155-K155,2&lt;1))),1,0),IF(AND(U155+V155-W155&gt;0,OR(U155+V155-W155&lt;I155+J155-K155,AND(U155+V155-W155=I155+J155-K155,3&lt;1))),1,0),IF(AND(AA155+AB155-AC155&gt;0,OR(AA155+AB155-AC155&lt;I155+J155-K155,AND(AA155+AB155-AC155=I155+J155-K155,4&lt;1))),1,0)))</x:f>
        <x:v>99</x:v>
      </x:c>
      <x:c r="M155" s="6" t="n">
        <x:f>IF('Debt strategy'!$C$16&gt;0,0,MIN(I155+J155-K155,MAX(0,'Debt strategy'!$C$5-SUM(E155,K155,Q155,W155,AC155)-SUM(IF(F155&lt;L155,C155+D155-E155,0),IF(R155&lt;L155,O155+P155-Q155,0),IF(X155&lt;L155,U155+V155-W155,0),IF(AD155&lt;L155,AA155+AB155-AC155,0)))))</x:f>
        <x:v>0</x:v>
      </x:c>
      <x:c r="N155" s="6" t="n">
        <x:f>ROUND(MAX(0,I155+J155-K155-M155),2)</x:f>
        <x:v>0</x:v>
      </x:c>
      <x:c r="O155" s="6" t="n">
        <x:f>T154</x:f>
        <x:v>0</x:v>
      </x:c>
      <x:c r="P155" s="6" t="n">
        <x:f>ROUND(O155*'Debt strategy'!$D$11/12,2)</x:f>
        <x:v>0</x:v>
      </x:c>
      <x:c r="Q155" s="6" t="n">
        <x:f>MIN(O155+P155,'Debt strategy'!$E$11)</x:f>
        <x:v>0</x:v>
      </x:c>
      <x:c r="R155" s="27" t="n">
        <x:f>IF(O155+P155-Q155&lt;=0,99,1+SUM(IF(AND(C155+D155-E155&gt;0,OR(C155+D155-E155&lt;O155+P155-Q155,AND(C155+D155-E155=O155+P155-Q155,0&lt;2))),1,0),IF(AND(I155+J155-K155&gt;0,OR(I155+J155-K155&lt;O155+P155-Q155,AND(I155+J155-K155=O155+P155-Q155,1&lt;2))),1,0),IF(AND(U155+V155-W155&gt;0,OR(U155+V155-W155&lt;O155+P155-Q155,AND(U155+V155-W155=O155+P155-Q155,3&lt;2))),1,0),IF(AND(AA155+AB155-AC155&gt;0,OR(AA155+AB155-AC155&lt;O155+P155-Q155,AND(AA155+AB155-AC155=O155+P155-Q155,4&lt;2))),1,0)))</x:f>
        <x:v>99</x:v>
      </x:c>
      <x:c r="S155" s="6" t="n">
        <x:f>IF('Debt strategy'!$C$16&gt;0,0,MIN(O155+P155-Q155,MAX(0,'Debt strategy'!$C$5-SUM(E155,K155,Q155,W155,AC155)-SUM(IF(F155&lt;R155,C155+D155-E155,0),IF(L155&lt;R155,I155+J155-K155,0),IF(X155&lt;R155,U155+V155-W155,0),IF(AD155&lt;R155,AA155+AB155-AC155,0)))))</x:f>
        <x:v>0</x:v>
      </x:c>
      <x:c r="T155" s="6" t="n">
        <x:f>ROUND(MAX(0,O155+P155-Q155-S155),2)</x:f>
        <x:v>0</x:v>
      </x:c>
      <x:c r="U155" s="6" t="n">
        <x:f>Z154</x:f>
        <x:v>0</x:v>
      </x:c>
      <x:c r="V155" s="6" t="n">
        <x:f>ROUND(U155*'Debt strategy'!$D$12/12,2)</x:f>
        <x:v>0</x:v>
      </x:c>
      <x:c r="W155" s="6" t="n">
        <x:f>MIN(U155+V155,'Debt strategy'!$E$12)</x:f>
        <x:v>0</x:v>
      </x:c>
      <x:c r="X155" s="27" t="n">
        <x:f>IF(U155+V155-W155&lt;=0,99,1+SUM(IF(AND(C155+D155-E155&gt;0,OR(C155+D155-E155&lt;U155+V155-W155,AND(C155+D155-E155=U155+V155-W155,0&lt;3))),1,0),IF(AND(I155+J155-K155&gt;0,OR(I155+J155-K155&lt;U155+V155-W155,AND(I155+J155-K155=U155+V155-W155,1&lt;3))),1,0),IF(AND(O155+P155-Q155&gt;0,OR(O155+P155-Q155&lt;U155+V155-W155,AND(O155+P155-Q155=U155+V155-W155,2&lt;3))),1,0),IF(AND(AA155+AB155-AC155&gt;0,OR(AA155+AB155-AC155&lt;U155+V155-W155,AND(AA155+AB155-AC155=U155+V155-W155,4&lt;3))),1,0)))</x:f>
        <x:v>99</x:v>
      </x:c>
      <x:c r="Y155" s="6" t="n">
        <x:f>IF('Debt strategy'!$C$16&gt;0,0,MIN(U155+V155-W155,MAX(0,'Debt strategy'!$C$5-SUM(E155,K155,Q155,W155,AC155)-SUM(IF(F155&lt;X155,C155+D155-E155,0),IF(L155&lt;X155,I155+J155-K155,0),IF(R155&lt;X155,O155+P155-Q155,0),IF(AD155&lt;X155,AA155+AB155-AC155,0)))))</x:f>
        <x:v>0</x:v>
      </x:c>
      <x:c r="Z155" s="6" t="n">
        <x:f>ROUND(MAX(0,U155+V155-W155-Y155),2)</x:f>
        <x:v>0</x:v>
      </x:c>
      <x:c r="AA155" s="6" t="n">
        <x:f>AF154</x:f>
        <x:v>0</x:v>
      </x:c>
      <x:c r="AB155" s="6" t="n">
        <x:f>ROUND(AA155*'Debt strategy'!$D$13/12,2)</x:f>
        <x:v>0</x:v>
      </x:c>
      <x:c r="AC155" s="6" t="n">
        <x:f>MIN(AA155+AB155,'Debt strategy'!$E$13)</x:f>
        <x:v>0</x:v>
      </x:c>
      <x:c r="AD155" s="27" t="n">
        <x:f>IF(AA155+AB155-AC155&lt;=0,99,1+SUM(IF(AND(C155+D155-E155&gt;0,OR(C155+D155-E155&lt;AA155+AB155-AC155,AND(C155+D155-E155=AA155+AB155-AC155,0&lt;4))),1,0),IF(AND(I155+J155-K155&gt;0,OR(I155+J155-K155&lt;AA155+AB155-AC155,AND(I155+J155-K155=AA155+AB155-AC155,1&lt;4))),1,0),IF(AND(O155+P155-Q155&gt;0,OR(O155+P155-Q155&lt;AA155+AB155-AC155,AND(O155+P155-Q155=AA155+AB155-AC155,2&lt;4))),1,0),IF(AND(U155+V155-W155&gt;0,OR(U155+V155-W155&lt;AA155+AB155-AC155,AND(U155+V155-W155=AA155+AB155-AC155,3&lt;4))),1,0)))</x:f>
        <x:v>99</x:v>
      </x:c>
      <x:c r="AE155" s="6" t="n">
        <x:f>IF('Debt strategy'!$C$16&gt;0,0,MIN(AA155+AB155-AC155,MAX(0,'Debt strategy'!$C$5-SUM(E155,K155,Q155,W155,AC155)-SUM(IF(F155&lt;AD155,C155+D155-E155,0),IF(L155&lt;AD155,I155+J155-K155,0),IF(R155&lt;AD155,O155+P155-Q155,0),IF(X155&lt;AD155,U155+V155-W155,0)))))</x:f>
        <x:v>0</x:v>
      </x:c>
      <x:c r="AF155" s="6" t="n">
        <x:f>ROUND(MAX(0,AA155+AB155-AC155-AE155),2)</x:f>
        <x:v>0</x:v>
      </x:c>
      <x:c r="AG155" s="6" t="n">
        <x:f>SUM(H155,N155,T155,Z155,AF155)</x:f>
        <x:v>0</x:v>
      </x:c>
      <x:c r="AH155" s="6" t="n">
        <x:f>SUM(D155,J155,P155,V155,AB155)+AH154</x:f>
        <x:v>1353.9499999999996</x:v>
      </x:c>
      <x:c r="AI155" s="2"/>
    </x:row>
    <x:row r="156" ht="23" customHeight="1">
      <x:c r="B156" s="2" t="n">
        <x:f>148</x:f>
        <x:v>148</x:v>
      </x:c>
      <x:c r="C156" s="6" t="n">
        <x:f>H155</x:f>
        <x:v>0</x:v>
      </x:c>
      <x:c r="D156" s="6" t="n">
        <x:f>ROUND(C156*'Debt strategy'!$D$9/12,2)</x:f>
        <x:v>0</x:v>
      </x:c>
      <x:c r="E156" s="6" t="n">
        <x:f>MIN(C156+D156,'Debt strategy'!$E$9)</x:f>
        <x:v>0</x:v>
      </x:c>
      <x:c r="F156" s="27" t="n">
        <x:f>IF(C156+D156-E156&lt;=0,99,1+SUM(IF(AND(I156+J156-K156&gt;0,OR(I156+J156-K156&lt;C156+D156-E156,AND(I156+J156-K156=C156+D156-E156,1&lt;0))),1,0),IF(AND(O156+P156-Q156&gt;0,OR(O156+P156-Q156&lt;C156+D156-E156,AND(O156+P156-Q156=C156+D156-E156,2&lt;0))),1,0),IF(AND(U156+V156-W156&gt;0,OR(U156+V156-W156&lt;C156+D156-E156,AND(U156+V156-W156=C156+D156-E156,3&lt;0))),1,0),IF(AND(AA156+AB156-AC156&gt;0,OR(AA156+AB156-AC156&lt;C156+D156-E156,AND(AA156+AB156-AC156=C156+D156-E156,4&lt;0))),1,0)))</x:f>
        <x:v>99</x:v>
      </x:c>
      <x:c r="G156" s="6" t="n">
        <x:f>IF('Debt strategy'!$C$16&gt;0,0,MIN(C156+D156-E156,MAX(0,'Debt strategy'!$C$5-SUM(E156,K156,Q156,W156,AC156)-SUM(IF(L156&lt;F156,I156+J156-K156,0),IF(R156&lt;F156,O156+P156-Q156,0),IF(X156&lt;F156,U156+V156-W156,0),IF(AD156&lt;F156,AA156+AB156-AC156,0)))))</x:f>
        <x:v>0</x:v>
      </x:c>
      <x:c r="H156" s="6" t="n">
        <x:f>ROUND(MAX(0,C156+D156-E156-G156),2)</x:f>
        <x:v>0</x:v>
      </x:c>
      <x:c r="I156" s="6" t="n">
        <x:f>N155</x:f>
        <x:v>0</x:v>
      </x:c>
      <x:c r="J156" s="6" t="n">
        <x:f>ROUND(I156*'Debt strategy'!$D$10/12,2)</x:f>
        <x:v>0</x:v>
      </x:c>
      <x:c r="K156" s="6" t="n">
        <x:f>MIN(I156+J156,'Debt strategy'!$E$10)</x:f>
        <x:v>0</x:v>
      </x:c>
      <x:c r="L156" s="27" t="n">
        <x:f>IF(I156+J156-K156&lt;=0,99,1+SUM(IF(AND(C156+D156-E156&gt;0,OR(C156+D156-E156&lt;I156+J156-K156,AND(C156+D156-E156=I156+J156-K156,0&lt;1))),1,0),IF(AND(O156+P156-Q156&gt;0,OR(O156+P156-Q156&lt;I156+J156-K156,AND(O156+P156-Q156=I156+J156-K156,2&lt;1))),1,0),IF(AND(U156+V156-W156&gt;0,OR(U156+V156-W156&lt;I156+J156-K156,AND(U156+V156-W156=I156+J156-K156,3&lt;1))),1,0),IF(AND(AA156+AB156-AC156&gt;0,OR(AA156+AB156-AC156&lt;I156+J156-K156,AND(AA156+AB156-AC156=I156+J156-K156,4&lt;1))),1,0)))</x:f>
        <x:v>99</x:v>
      </x:c>
      <x:c r="M156" s="6" t="n">
        <x:f>IF('Debt strategy'!$C$16&gt;0,0,MIN(I156+J156-K156,MAX(0,'Debt strategy'!$C$5-SUM(E156,K156,Q156,W156,AC156)-SUM(IF(F156&lt;L156,C156+D156-E156,0),IF(R156&lt;L156,O156+P156-Q156,0),IF(X156&lt;L156,U156+V156-W156,0),IF(AD156&lt;L156,AA156+AB156-AC156,0)))))</x:f>
        <x:v>0</x:v>
      </x:c>
      <x:c r="N156" s="6" t="n">
        <x:f>ROUND(MAX(0,I156+J156-K156-M156),2)</x:f>
        <x:v>0</x:v>
      </x:c>
      <x:c r="O156" s="6" t="n">
        <x:f>T155</x:f>
        <x:v>0</x:v>
      </x:c>
      <x:c r="P156" s="6" t="n">
        <x:f>ROUND(O156*'Debt strategy'!$D$11/12,2)</x:f>
        <x:v>0</x:v>
      </x:c>
      <x:c r="Q156" s="6" t="n">
        <x:f>MIN(O156+P156,'Debt strategy'!$E$11)</x:f>
        <x:v>0</x:v>
      </x:c>
      <x:c r="R156" s="27" t="n">
        <x:f>IF(O156+P156-Q156&lt;=0,99,1+SUM(IF(AND(C156+D156-E156&gt;0,OR(C156+D156-E156&lt;O156+P156-Q156,AND(C156+D156-E156=O156+P156-Q156,0&lt;2))),1,0),IF(AND(I156+J156-K156&gt;0,OR(I156+J156-K156&lt;O156+P156-Q156,AND(I156+J156-K156=O156+P156-Q156,1&lt;2))),1,0),IF(AND(U156+V156-W156&gt;0,OR(U156+V156-W156&lt;O156+P156-Q156,AND(U156+V156-W156=O156+P156-Q156,3&lt;2))),1,0),IF(AND(AA156+AB156-AC156&gt;0,OR(AA156+AB156-AC156&lt;O156+P156-Q156,AND(AA156+AB156-AC156=O156+P156-Q156,4&lt;2))),1,0)))</x:f>
        <x:v>99</x:v>
      </x:c>
      <x:c r="S156" s="6" t="n">
        <x:f>IF('Debt strategy'!$C$16&gt;0,0,MIN(O156+P156-Q156,MAX(0,'Debt strategy'!$C$5-SUM(E156,K156,Q156,W156,AC156)-SUM(IF(F156&lt;R156,C156+D156-E156,0),IF(L156&lt;R156,I156+J156-K156,0),IF(X156&lt;R156,U156+V156-W156,0),IF(AD156&lt;R156,AA156+AB156-AC156,0)))))</x:f>
        <x:v>0</x:v>
      </x:c>
      <x:c r="T156" s="6" t="n">
        <x:f>ROUND(MAX(0,O156+P156-Q156-S156),2)</x:f>
        <x:v>0</x:v>
      </x:c>
      <x:c r="U156" s="6" t="n">
        <x:f>Z155</x:f>
        <x:v>0</x:v>
      </x:c>
      <x:c r="V156" s="6" t="n">
        <x:f>ROUND(U156*'Debt strategy'!$D$12/12,2)</x:f>
        <x:v>0</x:v>
      </x:c>
      <x:c r="W156" s="6" t="n">
        <x:f>MIN(U156+V156,'Debt strategy'!$E$12)</x:f>
        <x:v>0</x:v>
      </x:c>
      <x:c r="X156" s="27" t="n">
        <x:f>IF(U156+V156-W156&lt;=0,99,1+SUM(IF(AND(C156+D156-E156&gt;0,OR(C156+D156-E156&lt;U156+V156-W156,AND(C156+D156-E156=U156+V156-W156,0&lt;3))),1,0),IF(AND(I156+J156-K156&gt;0,OR(I156+J156-K156&lt;U156+V156-W156,AND(I156+J156-K156=U156+V156-W156,1&lt;3))),1,0),IF(AND(O156+P156-Q156&gt;0,OR(O156+P156-Q156&lt;U156+V156-W156,AND(O156+P156-Q156=U156+V156-W156,2&lt;3))),1,0),IF(AND(AA156+AB156-AC156&gt;0,OR(AA156+AB156-AC156&lt;U156+V156-W156,AND(AA156+AB156-AC156=U156+V156-W156,4&lt;3))),1,0)))</x:f>
        <x:v>99</x:v>
      </x:c>
      <x:c r="Y156" s="6" t="n">
        <x:f>IF('Debt strategy'!$C$16&gt;0,0,MIN(U156+V156-W156,MAX(0,'Debt strategy'!$C$5-SUM(E156,K156,Q156,W156,AC156)-SUM(IF(F156&lt;X156,C156+D156-E156,0),IF(L156&lt;X156,I156+J156-K156,0),IF(R156&lt;X156,O156+P156-Q156,0),IF(AD156&lt;X156,AA156+AB156-AC156,0)))))</x:f>
        <x:v>0</x:v>
      </x:c>
      <x:c r="Z156" s="6" t="n">
        <x:f>ROUND(MAX(0,U156+V156-W156-Y156),2)</x:f>
        <x:v>0</x:v>
      </x:c>
      <x:c r="AA156" s="6" t="n">
        <x:f>AF155</x:f>
        <x:v>0</x:v>
      </x:c>
      <x:c r="AB156" s="6" t="n">
        <x:f>ROUND(AA156*'Debt strategy'!$D$13/12,2)</x:f>
        <x:v>0</x:v>
      </x:c>
      <x:c r="AC156" s="6" t="n">
        <x:f>MIN(AA156+AB156,'Debt strategy'!$E$13)</x:f>
        <x:v>0</x:v>
      </x:c>
      <x:c r="AD156" s="27" t="n">
        <x:f>IF(AA156+AB156-AC156&lt;=0,99,1+SUM(IF(AND(C156+D156-E156&gt;0,OR(C156+D156-E156&lt;AA156+AB156-AC156,AND(C156+D156-E156=AA156+AB156-AC156,0&lt;4))),1,0),IF(AND(I156+J156-K156&gt;0,OR(I156+J156-K156&lt;AA156+AB156-AC156,AND(I156+J156-K156=AA156+AB156-AC156,1&lt;4))),1,0),IF(AND(O156+P156-Q156&gt;0,OR(O156+P156-Q156&lt;AA156+AB156-AC156,AND(O156+P156-Q156=AA156+AB156-AC156,2&lt;4))),1,0),IF(AND(U156+V156-W156&gt;0,OR(U156+V156-W156&lt;AA156+AB156-AC156,AND(U156+V156-W156=AA156+AB156-AC156,3&lt;4))),1,0)))</x:f>
        <x:v>99</x:v>
      </x:c>
      <x:c r="AE156" s="6" t="n">
        <x:f>IF('Debt strategy'!$C$16&gt;0,0,MIN(AA156+AB156-AC156,MAX(0,'Debt strategy'!$C$5-SUM(E156,K156,Q156,W156,AC156)-SUM(IF(F156&lt;AD156,C156+D156-E156,0),IF(L156&lt;AD156,I156+J156-K156,0),IF(R156&lt;AD156,O156+P156-Q156,0),IF(X156&lt;AD156,U156+V156-W156,0)))))</x:f>
        <x:v>0</x:v>
      </x:c>
      <x:c r="AF156" s="6" t="n">
        <x:f>ROUND(MAX(0,AA156+AB156-AC156-AE156),2)</x:f>
        <x:v>0</x:v>
      </x:c>
      <x:c r="AG156" s="6" t="n">
        <x:f>SUM(H156,N156,T156,Z156,AF156)</x:f>
        <x:v>0</x:v>
      </x:c>
      <x:c r="AH156" s="6" t="n">
        <x:f>SUM(D156,J156,P156,V156,AB156)+AH155</x:f>
        <x:v>1353.9499999999996</x:v>
      </x:c>
      <x:c r="AI156" s="2"/>
    </x:row>
    <x:row r="157" ht="23" customHeight="1">
      <x:c r="B157" s="2" t="n">
        <x:f>149</x:f>
        <x:v>149</x:v>
      </x:c>
      <x:c r="C157" s="6" t="n">
        <x:f>H156</x:f>
        <x:v>0</x:v>
      </x:c>
      <x:c r="D157" s="6" t="n">
        <x:f>ROUND(C157*'Debt strategy'!$D$9/12,2)</x:f>
        <x:v>0</x:v>
      </x:c>
      <x:c r="E157" s="6" t="n">
        <x:f>MIN(C157+D157,'Debt strategy'!$E$9)</x:f>
        <x:v>0</x:v>
      </x:c>
      <x:c r="F157" s="27" t="n">
        <x:f>IF(C157+D157-E157&lt;=0,99,1+SUM(IF(AND(I157+J157-K157&gt;0,OR(I157+J157-K157&lt;C157+D157-E157,AND(I157+J157-K157=C157+D157-E157,1&lt;0))),1,0),IF(AND(O157+P157-Q157&gt;0,OR(O157+P157-Q157&lt;C157+D157-E157,AND(O157+P157-Q157=C157+D157-E157,2&lt;0))),1,0),IF(AND(U157+V157-W157&gt;0,OR(U157+V157-W157&lt;C157+D157-E157,AND(U157+V157-W157=C157+D157-E157,3&lt;0))),1,0),IF(AND(AA157+AB157-AC157&gt;0,OR(AA157+AB157-AC157&lt;C157+D157-E157,AND(AA157+AB157-AC157=C157+D157-E157,4&lt;0))),1,0)))</x:f>
        <x:v>99</x:v>
      </x:c>
      <x:c r="G157" s="6" t="n">
        <x:f>IF('Debt strategy'!$C$16&gt;0,0,MIN(C157+D157-E157,MAX(0,'Debt strategy'!$C$5-SUM(E157,K157,Q157,W157,AC157)-SUM(IF(L157&lt;F157,I157+J157-K157,0),IF(R157&lt;F157,O157+P157-Q157,0),IF(X157&lt;F157,U157+V157-W157,0),IF(AD157&lt;F157,AA157+AB157-AC157,0)))))</x:f>
        <x:v>0</x:v>
      </x:c>
      <x:c r="H157" s="6" t="n">
        <x:f>ROUND(MAX(0,C157+D157-E157-G157),2)</x:f>
        <x:v>0</x:v>
      </x:c>
      <x:c r="I157" s="6" t="n">
        <x:f>N156</x:f>
        <x:v>0</x:v>
      </x:c>
      <x:c r="J157" s="6" t="n">
        <x:f>ROUND(I157*'Debt strategy'!$D$10/12,2)</x:f>
        <x:v>0</x:v>
      </x:c>
      <x:c r="K157" s="6" t="n">
        <x:f>MIN(I157+J157,'Debt strategy'!$E$10)</x:f>
        <x:v>0</x:v>
      </x:c>
      <x:c r="L157" s="27" t="n">
        <x:f>IF(I157+J157-K157&lt;=0,99,1+SUM(IF(AND(C157+D157-E157&gt;0,OR(C157+D157-E157&lt;I157+J157-K157,AND(C157+D157-E157=I157+J157-K157,0&lt;1))),1,0),IF(AND(O157+P157-Q157&gt;0,OR(O157+P157-Q157&lt;I157+J157-K157,AND(O157+P157-Q157=I157+J157-K157,2&lt;1))),1,0),IF(AND(U157+V157-W157&gt;0,OR(U157+V157-W157&lt;I157+J157-K157,AND(U157+V157-W157=I157+J157-K157,3&lt;1))),1,0),IF(AND(AA157+AB157-AC157&gt;0,OR(AA157+AB157-AC157&lt;I157+J157-K157,AND(AA157+AB157-AC157=I157+J157-K157,4&lt;1))),1,0)))</x:f>
        <x:v>99</x:v>
      </x:c>
      <x:c r="M157" s="6" t="n">
        <x:f>IF('Debt strategy'!$C$16&gt;0,0,MIN(I157+J157-K157,MAX(0,'Debt strategy'!$C$5-SUM(E157,K157,Q157,W157,AC157)-SUM(IF(F157&lt;L157,C157+D157-E157,0),IF(R157&lt;L157,O157+P157-Q157,0),IF(X157&lt;L157,U157+V157-W157,0),IF(AD157&lt;L157,AA157+AB157-AC157,0)))))</x:f>
        <x:v>0</x:v>
      </x:c>
      <x:c r="N157" s="6" t="n">
        <x:f>ROUND(MAX(0,I157+J157-K157-M157),2)</x:f>
        <x:v>0</x:v>
      </x:c>
      <x:c r="O157" s="6" t="n">
        <x:f>T156</x:f>
        <x:v>0</x:v>
      </x:c>
      <x:c r="P157" s="6" t="n">
        <x:f>ROUND(O157*'Debt strategy'!$D$11/12,2)</x:f>
        <x:v>0</x:v>
      </x:c>
      <x:c r="Q157" s="6" t="n">
        <x:f>MIN(O157+P157,'Debt strategy'!$E$11)</x:f>
        <x:v>0</x:v>
      </x:c>
      <x:c r="R157" s="27" t="n">
        <x:f>IF(O157+P157-Q157&lt;=0,99,1+SUM(IF(AND(C157+D157-E157&gt;0,OR(C157+D157-E157&lt;O157+P157-Q157,AND(C157+D157-E157=O157+P157-Q157,0&lt;2))),1,0),IF(AND(I157+J157-K157&gt;0,OR(I157+J157-K157&lt;O157+P157-Q157,AND(I157+J157-K157=O157+P157-Q157,1&lt;2))),1,0),IF(AND(U157+V157-W157&gt;0,OR(U157+V157-W157&lt;O157+P157-Q157,AND(U157+V157-W157=O157+P157-Q157,3&lt;2))),1,0),IF(AND(AA157+AB157-AC157&gt;0,OR(AA157+AB157-AC157&lt;O157+P157-Q157,AND(AA157+AB157-AC157=O157+P157-Q157,4&lt;2))),1,0)))</x:f>
        <x:v>99</x:v>
      </x:c>
      <x:c r="S157" s="6" t="n">
        <x:f>IF('Debt strategy'!$C$16&gt;0,0,MIN(O157+P157-Q157,MAX(0,'Debt strategy'!$C$5-SUM(E157,K157,Q157,W157,AC157)-SUM(IF(F157&lt;R157,C157+D157-E157,0),IF(L157&lt;R157,I157+J157-K157,0),IF(X157&lt;R157,U157+V157-W157,0),IF(AD157&lt;R157,AA157+AB157-AC157,0)))))</x:f>
        <x:v>0</x:v>
      </x:c>
      <x:c r="T157" s="6" t="n">
        <x:f>ROUND(MAX(0,O157+P157-Q157-S157),2)</x:f>
        <x:v>0</x:v>
      </x:c>
      <x:c r="U157" s="6" t="n">
        <x:f>Z156</x:f>
        <x:v>0</x:v>
      </x:c>
      <x:c r="V157" s="6" t="n">
        <x:f>ROUND(U157*'Debt strategy'!$D$12/12,2)</x:f>
        <x:v>0</x:v>
      </x:c>
      <x:c r="W157" s="6" t="n">
        <x:f>MIN(U157+V157,'Debt strategy'!$E$12)</x:f>
        <x:v>0</x:v>
      </x:c>
      <x:c r="X157" s="27" t="n">
        <x:f>IF(U157+V157-W157&lt;=0,99,1+SUM(IF(AND(C157+D157-E157&gt;0,OR(C157+D157-E157&lt;U157+V157-W157,AND(C157+D157-E157=U157+V157-W157,0&lt;3))),1,0),IF(AND(I157+J157-K157&gt;0,OR(I157+J157-K157&lt;U157+V157-W157,AND(I157+J157-K157=U157+V157-W157,1&lt;3))),1,0),IF(AND(O157+P157-Q157&gt;0,OR(O157+P157-Q157&lt;U157+V157-W157,AND(O157+P157-Q157=U157+V157-W157,2&lt;3))),1,0),IF(AND(AA157+AB157-AC157&gt;0,OR(AA157+AB157-AC157&lt;U157+V157-W157,AND(AA157+AB157-AC157=U157+V157-W157,4&lt;3))),1,0)))</x:f>
        <x:v>99</x:v>
      </x:c>
      <x:c r="Y157" s="6" t="n">
        <x:f>IF('Debt strategy'!$C$16&gt;0,0,MIN(U157+V157-W157,MAX(0,'Debt strategy'!$C$5-SUM(E157,K157,Q157,W157,AC157)-SUM(IF(F157&lt;X157,C157+D157-E157,0),IF(L157&lt;X157,I157+J157-K157,0),IF(R157&lt;X157,O157+P157-Q157,0),IF(AD157&lt;X157,AA157+AB157-AC157,0)))))</x:f>
        <x:v>0</x:v>
      </x:c>
      <x:c r="Z157" s="6" t="n">
        <x:f>ROUND(MAX(0,U157+V157-W157-Y157),2)</x:f>
        <x:v>0</x:v>
      </x:c>
      <x:c r="AA157" s="6" t="n">
        <x:f>AF156</x:f>
        <x:v>0</x:v>
      </x:c>
      <x:c r="AB157" s="6" t="n">
        <x:f>ROUND(AA157*'Debt strategy'!$D$13/12,2)</x:f>
        <x:v>0</x:v>
      </x:c>
      <x:c r="AC157" s="6" t="n">
        <x:f>MIN(AA157+AB157,'Debt strategy'!$E$13)</x:f>
        <x:v>0</x:v>
      </x:c>
      <x:c r="AD157" s="27" t="n">
        <x:f>IF(AA157+AB157-AC157&lt;=0,99,1+SUM(IF(AND(C157+D157-E157&gt;0,OR(C157+D157-E157&lt;AA157+AB157-AC157,AND(C157+D157-E157=AA157+AB157-AC157,0&lt;4))),1,0),IF(AND(I157+J157-K157&gt;0,OR(I157+J157-K157&lt;AA157+AB157-AC157,AND(I157+J157-K157=AA157+AB157-AC157,1&lt;4))),1,0),IF(AND(O157+P157-Q157&gt;0,OR(O157+P157-Q157&lt;AA157+AB157-AC157,AND(O157+P157-Q157=AA157+AB157-AC157,2&lt;4))),1,0),IF(AND(U157+V157-W157&gt;0,OR(U157+V157-W157&lt;AA157+AB157-AC157,AND(U157+V157-W157=AA157+AB157-AC157,3&lt;4))),1,0)))</x:f>
        <x:v>99</x:v>
      </x:c>
      <x:c r="AE157" s="6" t="n">
        <x:f>IF('Debt strategy'!$C$16&gt;0,0,MIN(AA157+AB157-AC157,MAX(0,'Debt strategy'!$C$5-SUM(E157,K157,Q157,W157,AC157)-SUM(IF(F157&lt;AD157,C157+D157-E157,0),IF(L157&lt;AD157,I157+J157-K157,0),IF(R157&lt;AD157,O157+P157-Q157,0),IF(X157&lt;AD157,U157+V157-W157,0)))))</x:f>
        <x:v>0</x:v>
      </x:c>
      <x:c r="AF157" s="6" t="n">
        <x:f>ROUND(MAX(0,AA157+AB157-AC157-AE157),2)</x:f>
        <x:v>0</x:v>
      </x:c>
      <x:c r="AG157" s="6" t="n">
        <x:f>SUM(H157,N157,T157,Z157,AF157)</x:f>
        <x:v>0</x:v>
      </x:c>
      <x:c r="AH157" s="6" t="n">
        <x:f>SUM(D157,J157,P157,V157,AB157)+AH156</x:f>
        <x:v>1353.9499999999996</x:v>
      </x:c>
      <x:c r="AI157" s="2"/>
    </x:row>
    <x:row r="158" ht="23" customHeight="1">
      <x:c r="B158" s="2" t="n">
        <x:f>150</x:f>
        <x:v>150</x:v>
      </x:c>
      <x:c r="C158" s="6" t="n">
        <x:f>H157</x:f>
        <x:v>0</x:v>
      </x:c>
      <x:c r="D158" s="6" t="n">
        <x:f>ROUND(C158*'Debt strategy'!$D$9/12,2)</x:f>
        <x:v>0</x:v>
      </x:c>
      <x:c r="E158" s="6" t="n">
        <x:f>MIN(C158+D158,'Debt strategy'!$E$9)</x:f>
        <x:v>0</x:v>
      </x:c>
      <x:c r="F158" s="27" t="n">
        <x:f>IF(C158+D158-E158&lt;=0,99,1+SUM(IF(AND(I158+J158-K158&gt;0,OR(I158+J158-K158&lt;C158+D158-E158,AND(I158+J158-K158=C158+D158-E158,1&lt;0))),1,0),IF(AND(O158+P158-Q158&gt;0,OR(O158+P158-Q158&lt;C158+D158-E158,AND(O158+P158-Q158=C158+D158-E158,2&lt;0))),1,0),IF(AND(U158+V158-W158&gt;0,OR(U158+V158-W158&lt;C158+D158-E158,AND(U158+V158-W158=C158+D158-E158,3&lt;0))),1,0),IF(AND(AA158+AB158-AC158&gt;0,OR(AA158+AB158-AC158&lt;C158+D158-E158,AND(AA158+AB158-AC158=C158+D158-E158,4&lt;0))),1,0)))</x:f>
        <x:v>99</x:v>
      </x:c>
      <x:c r="G158" s="6" t="n">
        <x:f>IF('Debt strategy'!$C$16&gt;0,0,MIN(C158+D158-E158,MAX(0,'Debt strategy'!$C$5-SUM(E158,K158,Q158,W158,AC158)-SUM(IF(L158&lt;F158,I158+J158-K158,0),IF(R158&lt;F158,O158+P158-Q158,0),IF(X158&lt;F158,U158+V158-W158,0),IF(AD158&lt;F158,AA158+AB158-AC158,0)))))</x:f>
        <x:v>0</x:v>
      </x:c>
      <x:c r="H158" s="6" t="n">
        <x:f>ROUND(MAX(0,C158+D158-E158-G158),2)</x:f>
        <x:v>0</x:v>
      </x:c>
      <x:c r="I158" s="6" t="n">
        <x:f>N157</x:f>
        <x:v>0</x:v>
      </x:c>
      <x:c r="J158" s="6" t="n">
        <x:f>ROUND(I158*'Debt strategy'!$D$10/12,2)</x:f>
        <x:v>0</x:v>
      </x:c>
      <x:c r="K158" s="6" t="n">
        <x:f>MIN(I158+J158,'Debt strategy'!$E$10)</x:f>
        <x:v>0</x:v>
      </x:c>
      <x:c r="L158" s="27" t="n">
        <x:f>IF(I158+J158-K158&lt;=0,99,1+SUM(IF(AND(C158+D158-E158&gt;0,OR(C158+D158-E158&lt;I158+J158-K158,AND(C158+D158-E158=I158+J158-K158,0&lt;1))),1,0),IF(AND(O158+P158-Q158&gt;0,OR(O158+P158-Q158&lt;I158+J158-K158,AND(O158+P158-Q158=I158+J158-K158,2&lt;1))),1,0),IF(AND(U158+V158-W158&gt;0,OR(U158+V158-W158&lt;I158+J158-K158,AND(U158+V158-W158=I158+J158-K158,3&lt;1))),1,0),IF(AND(AA158+AB158-AC158&gt;0,OR(AA158+AB158-AC158&lt;I158+J158-K158,AND(AA158+AB158-AC158=I158+J158-K158,4&lt;1))),1,0)))</x:f>
        <x:v>99</x:v>
      </x:c>
      <x:c r="M158" s="6" t="n">
        <x:f>IF('Debt strategy'!$C$16&gt;0,0,MIN(I158+J158-K158,MAX(0,'Debt strategy'!$C$5-SUM(E158,K158,Q158,W158,AC158)-SUM(IF(F158&lt;L158,C158+D158-E158,0),IF(R158&lt;L158,O158+P158-Q158,0),IF(X158&lt;L158,U158+V158-W158,0),IF(AD158&lt;L158,AA158+AB158-AC158,0)))))</x:f>
        <x:v>0</x:v>
      </x:c>
      <x:c r="N158" s="6" t="n">
        <x:f>ROUND(MAX(0,I158+J158-K158-M158),2)</x:f>
        <x:v>0</x:v>
      </x:c>
      <x:c r="O158" s="6" t="n">
        <x:f>T157</x:f>
        <x:v>0</x:v>
      </x:c>
      <x:c r="P158" s="6" t="n">
        <x:f>ROUND(O158*'Debt strategy'!$D$11/12,2)</x:f>
        <x:v>0</x:v>
      </x:c>
      <x:c r="Q158" s="6" t="n">
        <x:f>MIN(O158+P158,'Debt strategy'!$E$11)</x:f>
        <x:v>0</x:v>
      </x:c>
      <x:c r="R158" s="27" t="n">
        <x:f>IF(O158+P158-Q158&lt;=0,99,1+SUM(IF(AND(C158+D158-E158&gt;0,OR(C158+D158-E158&lt;O158+P158-Q158,AND(C158+D158-E158=O158+P158-Q158,0&lt;2))),1,0),IF(AND(I158+J158-K158&gt;0,OR(I158+J158-K158&lt;O158+P158-Q158,AND(I158+J158-K158=O158+P158-Q158,1&lt;2))),1,0),IF(AND(U158+V158-W158&gt;0,OR(U158+V158-W158&lt;O158+P158-Q158,AND(U158+V158-W158=O158+P158-Q158,3&lt;2))),1,0),IF(AND(AA158+AB158-AC158&gt;0,OR(AA158+AB158-AC158&lt;O158+P158-Q158,AND(AA158+AB158-AC158=O158+P158-Q158,4&lt;2))),1,0)))</x:f>
        <x:v>99</x:v>
      </x:c>
      <x:c r="S158" s="6" t="n">
        <x:f>IF('Debt strategy'!$C$16&gt;0,0,MIN(O158+P158-Q158,MAX(0,'Debt strategy'!$C$5-SUM(E158,K158,Q158,W158,AC158)-SUM(IF(F158&lt;R158,C158+D158-E158,0),IF(L158&lt;R158,I158+J158-K158,0),IF(X158&lt;R158,U158+V158-W158,0),IF(AD158&lt;R158,AA158+AB158-AC158,0)))))</x:f>
        <x:v>0</x:v>
      </x:c>
      <x:c r="T158" s="6" t="n">
        <x:f>ROUND(MAX(0,O158+P158-Q158-S158),2)</x:f>
        <x:v>0</x:v>
      </x:c>
      <x:c r="U158" s="6" t="n">
        <x:f>Z157</x:f>
        <x:v>0</x:v>
      </x:c>
      <x:c r="V158" s="6" t="n">
        <x:f>ROUND(U158*'Debt strategy'!$D$12/12,2)</x:f>
        <x:v>0</x:v>
      </x:c>
      <x:c r="W158" s="6" t="n">
        <x:f>MIN(U158+V158,'Debt strategy'!$E$12)</x:f>
        <x:v>0</x:v>
      </x:c>
      <x:c r="X158" s="27" t="n">
        <x:f>IF(U158+V158-W158&lt;=0,99,1+SUM(IF(AND(C158+D158-E158&gt;0,OR(C158+D158-E158&lt;U158+V158-W158,AND(C158+D158-E158=U158+V158-W158,0&lt;3))),1,0),IF(AND(I158+J158-K158&gt;0,OR(I158+J158-K158&lt;U158+V158-W158,AND(I158+J158-K158=U158+V158-W158,1&lt;3))),1,0),IF(AND(O158+P158-Q158&gt;0,OR(O158+P158-Q158&lt;U158+V158-W158,AND(O158+P158-Q158=U158+V158-W158,2&lt;3))),1,0),IF(AND(AA158+AB158-AC158&gt;0,OR(AA158+AB158-AC158&lt;U158+V158-W158,AND(AA158+AB158-AC158=U158+V158-W158,4&lt;3))),1,0)))</x:f>
        <x:v>99</x:v>
      </x:c>
      <x:c r="Y158" s="6" t="n">
        <x:f>IF('Debt strategy'!$C$16&gt;0,0,MIN(U158+V158-W158,MAX(0,'Debt strategy'!$C$5-SUM(E158,K158,Q158,W158,AC158)-SUM(IF(F158&lt;X158,C158+D158-E158,0),IF(L158&lt;X158,I158+J158-K158,0),IF(R158&lt;X158,O158+P158-Q158,0),IF(AD158&lt;X158,AA158+AB158-AC158,0)))))</x:f>
        <x:v>0</x:v>
      </x:c>
      <x:c r="Z158" s="6" t="n">
        <x:f>ROUND(MAX(0,U158+V158-W158-Y158),2)</x:f>
        <x:v>0</x:v>
      </x:c>
      <x:c r="AA158" s="6" t="n">
        <x:f>AF157</x:f>
        <x:v>0</x:v>
      </x:c>
      <x:c r="AB158" s="6" t="n">
        <x:f>ROUND(AA158*'Debt strategy'!$D$13/12,2)</x:f>
        <x:v>0</x:v>
      </x:c>
      <x:c r="AC158" s="6" t="n">
        <x:f>MIN(AA158+AB158,'Debt strategy'!$E$13)</x:f>
        <x:v>0</x:v>
      </x:c>
      <x:c r="AD158" s="27" t="n">
        <x:f>IF(AA158+AB158-AC158&lt;=0,99,1+SUM(IF(AND(C158+D158-E158&gt;0,OR(C158+D158-E158&lt;AA158+AB158-AC158,AND(C158+D158-E158=AA158+AB158-AC158,0&lt;4))),1,0),IF(AND(I158+J158-K158&gt;0,OR(I158+J158-K158&lt;AA158+AB158-AC158,AND(I158+J158-K158=AA158+AB158-AC158,1&lt;4))),1,0),IF(AND(O158+P158-Q158&gt;0,OR(O158+P158-Q158&lt;AA158+AB158-AC158,AND(O158+P158-Q158=AA158+AB158-AC158,2&lt;4))),1,0),IF(AND(U158+V158-W158&gt;0,OR(U158+V158-W158&lt;AA158+AB158-AC158,AND(U158+V158-W158=AA158+AB158-AC158,3&lt;4))),1,0)))</x:f>
        <x:v>99</x:v>
      </x:c>
      <x:c r="AE158" s="6" t="n">
        <x:f>IF('Debt strategy'!$C$16&gt;0,0,MIN(AA158+AB158-AC158,MAX(0,'Debt strategy'!$C$5-SUM(E158,K158,Q158,W158,AC158)-SUM(IF(F158&lt;AD158,C158+D158-E158,0),IF(L158&lt;AD158,I158+J158-K158,0),IF(R158&lt;AD158,O158+P158-Q158,0),IF(X158&lt;AD158,U158+V158-W158,0)))))</x:f>
        <x:v>0</x:v>
      </x:c>
      <x:c r="AF158" s="6" t="n">
        <x:f>ROUND(MAX(0,AA158+AB158-AC158-AE158),2)</x:f>
        <x:v>0</x:v>
      </x:c>
      <x:c r="AG158" s="6" t="n">
        <x:f>SUM(H158,N158,T158,Z158,AF158)</x:f>
        <x:v>0</x:v>
      </x:c>
      <x:c r="AH158" s="6" t="n">
        <x:f>SUM(D158,J158,P158,V158,AB158)+AH157</x:f>
        <x:v>1353.9499999999996</x:v>
      </x:c>
      <x:c r="AI158" s="2"/>
    </x:row>
    <x:row r="159" ht="23" customHeight="1">
      <x:c r="B159" s="2" t="n">
        <x:f>151</x:f>
        <x:v>151</x:v>
      </x:c>
      <x:c r="C159" s="6" t="n">
        <x:f>H158</x:f>
        <x:v>0</x:v>
      </x:c>
      <x:c r="D159" s="6" t="n">
        <x:f>ROUND(C159*'Debt strategy'!$D$9/12,2)</x:f>
        <x:v>0</x:v>
      </x:c>
      <x:c r="E159" s="6" t="n">
        <x:f>MIN(C159+D159,'Debt strategy'!$E$9)</x:f>
        <x:v>0</x:v>
      </x:c>
      <x:c r="F159" s="27" t="n">
        <x:f>IF(C159+D159-E159&lt;=0,99,1+SUM(IF(AND(I159+J159-K159&gt;0,OR(I159+J159-K159&lt;C159+D159-E159,AND(I159+J159-K159=C159+D159-E159,1&lt;0))),1,0),IF(AND(O159+P159-Q159&gt;0,OR(O159+P159-Q159&lt;C159+D159-E159,AND(O159+P159-Q159=C159+D159-E159,2&lt;0))),1,0),IF(AND(U159+V159-W159&gt;0,OR(U159+V159-W159&lt;C159+D159-E159,AND(U159+V159-W159=C159+D159-E159,3&lt;0))),1,0),IF(AND(AA159+AB159-AC159&gt;0,OR(AA159+AB159-AC159&lt;C159+D159-E159,AND(AA159+AB159-AC159=C159+D159-E159,4&lt;0))),1,0)))</x:f>
        <x:v>99</x:v>
      </x:c>
      <x:c r="G159" s="6" t="n">
        <x:f>IF('Debt strategy'!$C$16&gt;0,0,MIN(C159+D159-E159,MAX(0,'Debt strategy'!$C$5-SUM(E159,K159,Q159,W159,AC159)-SUM(IF(L159&lt;F159,I159+J159-K159,0),IF(R159&lt;F159,O159+P159-Q159,0),IF(X159&lt;F159,U159+V159-W159,0),IF(AD159&lt;F159,AA159+AB159-AC159,0)))))</x:f>
        <x:v>0</x:v>
      </x:c>
      <x:c r="H159" s="6" t="n">
        <x:f>ROUND(MAX(0,C159+D159-E159-G159),2)</x:f>
        <x:v>0</x:v>
      </x:c>
      <x:c r="I159" s="6" t="n">
        <x:f>N158</x:f>
        <x:v>0</x:v>
      </x:c>
      <x:c r="J159" s="6" t="n">
        <x:f>ROUND(I159*'Debt strategy'!$D$10/12,2)</x:f>
        <x:v>0</x:v>
      </x:c>
      <x:c r="K159" s="6" t="n">
        <x:f>MIN(I159+J159,'Debt strategy'!$E$10)</x:f>
        <x:v>0</x:v>
      </x:c>
      <x:c r="L159" s="27" t="n">
        <x:f>IF(I159+J159-K159&lt;=0,99,1+SUM(IF(AND(C159+D159-E159&gt;0,OR(C159+D159-E159&lt;I159+J159-K159,AND(C159+D159-E159=I159+J159-K159,0&lt;1))),1,0),IF(AND(O159+P159-Q159&gt;0,OR(O159+P159-Q159&lt;I159+J159-K159,AND(O159+P159-Q159=I159+J159-K159,2&lt;1))),1,0),IF(AND(U159+V159-W159&gt;0,OR(U159+V159-W159&lt;I159+J159-K159,AND(U159+V159-W159=I159+J159-K159,3&lt;1))),1,0),IF(AND(AA159+AB159-AC159&gt;0,OR(AA159+AB159-AC159&lt;I159+J159-K159,AND(AA159+AB159-AC159=I159+J159-K159,4&lt;1))),1,0)))</x:f>
        <x:v>99</x:v>
      </x:c>
      <x:c r="M159" s="6" t="n">
        <x:f>IF('Debt strategy'!$C$16&gt;0,0,MIN(I159+J159-K159,MAX(0,'Debt strategy'!$C$5-SUM(E159,K159,Q159,W159,AC159)-SUM(IF(F159&lt;L159,C159+D159-E159,0),IF(R159&lt;L159,O159+P159-Q159,0),IF(X159&lt;L159,U159+V159-W159,0),IF(AD159&lt;L159,AA159+AB159-AC159,0)))))</x:f>
        <x:v>0</x:v>
      </x:c>
      <x:c r="N159" s="6" t="n">
        <x:f>ROUND(MAX(0,I159+J159-K159-M159),2)</x:f>
        <x:v>0</x:v>
      </x:c>
      <x:c r="O159" s="6" t="n">
        <x:f>T158</x:f>
        <x:v>0</x:v>
      </x:c>
      <x:c r="P159" s="6" t="n">
        <x:f>ROUND(O159*'Debt strategy'!$D$11/12,2)</x:f>
        <x:v>0</x:v>
      </x:c>
      <x:c r="Q159" s="6" t="n">
        <x:f>MIN(O159+P159,'Debt strategy'!$E$11)</x:f>
        <x:v>0</x:v>
      </x:c>
      <x:c r="R159" s="27" t="n">
        <x:f>IF(O159+P159-Q159&lt;=0,99,1+SUM(IF(AND(C159+D159-E159&gt;0,OR(C159+D159-E159&lt;O159+P159-Q159,AND(C159+D159-E159=O159+P159-Q159,0&lt;2))),1,0),IF(AND(I159+J159-K159&gt;0,OR(I159+J159-K159&lt;O159+P159-Q159,AND(I159+J159-K159=O159+P159-Q159,1&lt;2))),1,0),IF(AND(U159+V159-W159&gt;0,OR(U159+V159-W159&lt;O159+P159-Q159,AND(U159+V159-W159=O159+P159-Q159,3&lt;2))),1,0),IF(AND(AA159+AB159-AC159&gt;0,OR(AA159+AB159-AC159&lt;O159+P159-Q159,AND(AA159+AB159-AC159=O159+P159-Q159,4&lt;2))),1,0)))</x:f>
        <x:v>99</x:v>
      </x:c>
      <x:c r="S159" s="6" t="n">
        <x:f>IF('Debt strategy'!$C$16&gt;0,0,MIN(O159+P159-Q159,MAX(0,'Debt strategy'!$C$5-SUM(E159,K159,Q159,W159,AC159)-SUM(IF(F159&lt;R159,C159+D159-E159,0),IF(L159&lt;R159,I159+J159-K159,0),IF(X159&lt;R159,U159+V159-W159,0),IF(AD159&lt;R159,AA159+AB159-AC159,0)))))</x:f>
        <x:v>0</x:v>
      </x:c>
      <x:c r="T159" s="6" t="n">
        <x:f>ROUND(MAX(0,O159+P159-Q159-S159),2)</x:f>
        <x:v>0</x:v>
      </x:c>
      <x:c r="U159" s="6" t="n">
        <x:f>Z158</x:f>
        <x:v>0</x:v>
      </x:c>
      <x:c r="V159" s="6" t="n">
        <x:f>ROUND(U159*'Debt strategy'!$D$12/12,2)</x:f>
        <x:v>0</x:v>
      </x:c>
      <x:c r="W159" s="6" t="n">
        <x:f>MIN(U159+V159,'Debt strategy'!$E$12)</x:f>
        <x:v>0</x:v>
      </x:c>
      <x:c r="X159" s="27" t="n">
        <x:f>IF(U159+V159-W159&lt;=0,99,1+SUM(IF(AND(C159+D159-E159&gt;0,OR(C159+D159-E159&lt;U159+V159-W159,AND(C159+D159-E159=U159+V159-W159,0&lt;3))),1,0),IF(AND(I159+J159-K159&gt;0,OR(I159+J159-K159&lt;U159+V159-W159,AND(I159+J159-K159=U159+V159-W159,1&lt;3))),1,0),IF(AND(O159+P159-Q159&gt;0,OR(O159+P159-Q159&lt;U159+V159-W159,AND(O159+P159-Q159=U159+V159-W159,2&lt;3))),1,0),IF(AND(AA159+AB159-AC159&gt;0,OR(AA159+AB159-AC159&lt;U159+V159-W159,AND(AA159+AB159-AC159=U159+V159-W159,4&lt;3))),1,0)))</x:f>
        <x:v>99</x:v>
      </x:c>
      <x:c r="Y159" s="6" t="n">
        <x:f>IF('Debt strategy'!$C$16&gt;0,0,MIN(U159+V159-W159,MAX(0,'Debt strategy'!$C$5-SUM(E159,K159,Q159,W159,AC159)-SUM(IF(F159&lt;X159,C159+D159-E159,0),IF(L159&lt;X159,I159+J159-K159,0),IF(R159&lt;X159,O159+P159-Q159,0),IF(AD159&lt;X159,AA159+AB159-AC159,0)))))</x:f>
        <x:v>0</x:v>
      </x:c>
      <x:c r="Z159" s="6" t="n">
        <x:f>ROUND(MAX(0,U159+V159-W159-Y159),2)</x:f>
        <x:v>0</x:v>
      </x:c>
      <x:c r="AA159" s="6" t="n">
        <x:f>AF158</x:f>
        <x:v>0</x:v>
      </x:c>
      <x:c r="AB159" s="6" t="n">
        <x:f>ROUND(AA159*'Debt strategy'!$D$13/12,2)</x:f>
        <x:v>0</x:v>
      </x:c>
      <x:c r="AC159" s="6" t="n">
        <x:f>MIN(AA159+AB159,'Debt strategy'!$E$13)</x:f>
        <x:v>0</x:v>
      </x:c>
      <x:c r="AD159" s="27" t="n">
        <x:f>IF(AA159+AB159-AC159&lt;=0,99,1+SUM(IF(AND(C159+D159-E159&gt;0,OR(C159+D159-E159&lt;AA159+AB159-AC159,AND(C159+D159-E159=AA159+AB159-AC159,0&lt;4))),1,0),IF(AND(I159+J159-K159&gt;0,OR(I159+J159-K159&lt;AA159+AB159-AC159,AND(I159+J159-K159=AA159+AB159-AC159,1&lt;4))),1,0),IF(AND(O159+P159-Q159&gt;0,OR(O159+P159-Q159&lt;AA159+AB159-AC159,AND(O159+P159-Q159=AA159+AB159-AC159,2&lt;4))),1,0),IF(AND(U159+V159-W159&gt;0,OR(U159+V159-W159&lt;AA159+AB159-AC159,AND(U159+V159-W159=AA159+AB159-AC159,3&lt;4))),1,0)))</x:f>
        <x:v>99</x:v>
      </x:c>
      <x:c r="AE159" s="6" t="n">
        <x:f>IF('Debt strategy'!$C$16&gt;0,0,MIN(AA159+AB159-AC159,MAX(0,'Debt strategy'!$C$5-SUM(E159,K159,Q159,W159,AC159)-SUM(IF(F159&lt;AD159,C159+D159-E159,0),IF(L159&lt;AD159,I159+J159-K159,0),IF(R159&lt;AD159,O159+P159-Q159,0),IF(X159&lt;AD159,U159+V159-W159,0)))))</x:f>
        <x:v>0</x:v>
      </x:c>
      <x:c r="AF159" s="6" t="n">
        <x:f>ROUND(MAX(0,AA159+AB159-AC159-AE159),2)</x:f>
        <x:v>0</x:v>
      </x:c>
      <x:c r="AG159" s="6" t="n">
        <x:f>SUM(H159,N159,T159,Z159,AF159)</x:f>
        <x:v>0</x:v>
      </x:c>
      <x:c r="AH159" s="6" t="n">
        <x:f>SUM(D159,J159,P159,V159,AB159)+AH158</x:f>
        <x:v>1353.9499999999996</x:v>
      </x:c>
      <x:c r="AI159" s="2"/>
    </x:row>
    <x:row r="160" ht="23" customHeight="1">
      <x:c r="B160" s="2" t="n">
        <x:f>152</x:f>
        <x:v>152</x:v>
      </x:c>
      <x:c r="C160" s="6" t="n">
        <x:f>H159</x:f>
        <x:v>0</x:v>
      </x:c>
      <x:c r="D160" s="6" t="n">
        <x:f>ROUND(C160*'Debt strategy'!$D$9/12,2)</x:f>
        <x:v>0</x:v>
      </x:c>
      <x:c r="E160" s="6" t="n">
        <x:f>MIN(C160+D160,'Debt strategy'!$E$9)</x:f>
        <x:v>0</x:v>
      </x:c>
      <x:c r="F160" s="27" t="n">
        <x:f>IF(C160+D160-E160&lt;=0,99,1+SUM(IF(AND(I160+J160-K160&gt;0,OR(I160+J160-K160&lt;C160+D160-E160,AND(I160+J160-K160=C160+D160-E160,1&lt;0))),1,0),IF(AND(O160+P160-Q160&gt;0,OR(O160+P160-Q160&lt;C160+D160-E160,AND(O160+P160-Q160=C160+D160-E160,2&lt;0))),1,0),IF(AND(U160+V160-W160&gt;0,OR(U160+V160-W160&lt;C160+D160-E160,AND(U160+V160-W160=C160+D160-E160,3&lt;0))),1,0),IF(AND(AA160+AB160-AC160&gt;0,OR(AA160+AB160-AC160&lt;C160+D160-E160,AND(AA160+AB160-AC160=C160+D160-E160,4&lt;0))),1,0)))</x:f>
        <x:v>99</x:v>
      </x:c>
      <x:c r="G160" s="6" t="n">
        <x:f>IF('Debt strategy'!$C$16&gt;0,0,MIN(C160+D160-E160,MAX(0,'Debt strategy'!$C$5-SUM(E160,K160,Q160,W160,AC160)-SUM(IF(L160&lt;F160,I160+J160-K160,0),IF(R160&lt;F160,O160+P160-Q160,0),IF(X160&lt;F160,U160+V160-W160,0),IF(AD160&lt;F160,AA160+AB160-AC160,0)))))</x:f>
        <x:v>0</x:v>
      </x:c>
      <x:c r="H160" s="6" t="n">
        <x:f>ROUND(MAX(0,C160+D160-E160-G160),2)</x:f>
        <x:v>0</x:v>
      </x:c>
      <x:c r="I160" s="6" t="n">
        <x:f>N159</x:f>
        <x:v>0</x:v>
      </x:c>
      <x:c r="J160" s="6" t="n">
        <x:f>ROUND(I160*'Debt strategy'!$D$10/12,2)</x:f>
        <x:v>0</x:v>
      </x:c>
      <x:c r="K160" s="6" t="n">
        <x:f>MIN(I160+J160,'Debt strategy'!$E$10)</x:f>
        <x:v>0</x:v>
      </x:c>
      <x:c r="L160" s="27" t="n">
        <x:f>IF(I160+J160-K160&lt;=0,99,1+SUM(IF(AND(C160+D160-E160&gt;0,OR(C160+D160-E160&lt;I160+J160-K160,AND(C160+D160-E160=I160+J160-K160,0&lt;1))),1,0),IF(AND(O160+P160-Q160&gt;0,OR(O160+P160-Q160&lt;I160+J160-K160,AND(O160+P160-Q160=I160+J160-K160,2&lt;1))),1,0),IF(AND(U160+V160-W160&gt;0,OR(U160+V160-W160&lt;I160+J160-K160,AND(U160+V160-W160=I160+J160-K160,3&lt;1))),1,0),IF(AND(AA160+AB160-AC160&gt;0,OR(AA160+AB160-AC160&lt;I160+J160-K160,AND(AA160+AB160-AC160=I160+J160-K160,4&lt;1))),1,0)))</x:f>
        <x:v>99</x:v>
      </x:c>
      <x:c r="M160" s="6" t="n">
        <x:f>IF('Debt strategy'!$C$16&gt;0,0,MIN(I160+J160-K160,MAX(0,'Debt strategy'!$C$5-SUM(E160,K160,Q160,W160,AC160)-SUM(IF(F160&lt;L160,C160+D160-E160,0),IF(R160&lt;L160,O160+P160-Q160,0),IF(X160&lt;L160,U160+V160-W160,0),IF(AD160&lt;L160,AA160+AB160-AC160,0)))))</x:f>
        <x:v>0</x:v>
      </x:c>
      <x:c r="N160" s="6" t="n">
        <x:f>ROUND(MAX(0,I160+J160-K160-M160),2)</x:f>
        <x:v>0</x:v>
      </x:c>
      <x:c r="O160" s="6" t="n">
        <x:f>T159</x:f>
        <x:v>0</x:v>
      </x:c>
      <x:c r="P160" s="6" t="n">
        <x:f>ROUND(O160*'Debt strategy'!$D$11/12,2)</x:f>
        <x:v>0</x:v>
      </x:c>
      <x:c r="Q160" s="6" t="n">
        <x:f>MIN(O160+P160,'Debt strategy'!$E$11)</x:f>
        <x:v>0</x:v>
      </x:c>
      <x:c r="R160" s="27" t="n">
        <x:f>IF(O160+P160-Q160&lt;=0,99,1+SUM(IF(AND(C160+D160-E160&gt;0,OR(C160+D160-E160&lt;O160+P160-Q160,AND(C160+D160-E160=O160+P160-Q160,0&lt;2))),1,0),IF(AND(I160+J160-K160&gt;0,OR(I160+J160-K160&lt;O160+P160-Q160,AND(I160+J160-K160=O160+P160-Q160,1&lt;2))),1,0),IF(AND(U160+V160-W160&gt;0,OR(U160+V160-W160&lt;O160+P160-Q160,AND(U160+V160-W160=O160+P160-Q160,3&lt;2))),1,0),IF(AND(AA160+AB160-AC160&gt;0,OR(AA160+AB160-AC160&lt;O160+P160-Q160,AND(AA160+AB160-AC160=O160+P160-Q160,4&lt;2))),1,0)))</x:f>
        <x:v>99</x:v>
      </x:c>
      <x:c r="S160" s="6" t="n">
        <x:f>IF('Debt strategy'!$C$16&gt;0,0,MIN(O160+P160-Q160,MAX(0,'Debt strategy'!$C$5-SUM(E160,K160,Q160,W160,AC160)-SUM(IF(F160&lt;R160,C160+D160-E160,0),IF(L160&lt;R160,I160+J160-K160,0),IF(X160&lt;R160,U160+V160-W160,0),IF(AD160&lt;R160,AA160+AB160-AC160,0)))))</x:f>
        <x:v>0</x:v>
      </x:c>
      <x:c r="T160" s="6" t="n">
        <x:f>ROUND(MAX(0,O160+P160-Q160-S160),2)</x:f>
        <x:v>0</x:v>
      </x:c>
      <x:c r="U160" s="6" t="n">
        <x:f>Z159</x:f>
        <x:v>0</x:v>
      </x:c>
      <x:c r="V160" s="6" t="n">
        <x:f>ROUND(U160*'Debt strategy'!$D$12/12,2)</x:f>
        <x:v>0</x:v>
      </x:c>
      <x:c r="W160" s="6" t="n">
        <x:f>MIN(U160+V160,'Debt strategy'!$E$12)</x:f>
        <x:v>0</x:v>
      </x:c>
      <x:c r="X160" s="27" t="n">
        <x:f>IF(U160+V160-W160&lt;=0,99,1+SUM(IF(AND(C160+D160-E160&gt;0,OR(C160+D160-E160&lt;U160+V160-W160,AND(C160+D160-E160=U160+V160-W160,0&lt;3))),1,0),IF(AND(I160+J160-K160&gt;0,OR(I160+J160-K160&lt;U160+V160-W160,AND(I160+J160-K160=U160+V160-W160,1&lt;3))),1,0),IF(AND(O160+P160-Q160&gt;0,OR(O160+P160-Q160&lt;U160+V160-W160,AND(O160+P160-Q160=U160+V160-W160,2&lt;3))),1,0),IF(AND(AA160+AB160-AC160&gt;0,OR(AA160+AB160-AC160&lt;U160+V160-W160,AND(AA160+AB160-AC160=U160+V160-W160,4&lt;3))),1,0)))</x:f>
        <x:v>99</x:v>
      </x:c>
      <x:c r="Y160" s="6" t="n">
        <x:f>IF('Debt strategy'!$C$16&gt;0,0,MIN(U160+V160-W160,MAX(0,'Debt strategy'!$C$5-SUM(E160,K160,Q160,W160,AC160)-SUM(IF(F160&lt;X160,C160+D160-E160,0),IF(L160&lt;X160,I160+J160-K160,0),IF(R160&lt;X160,O160+P160-Q160,0),IF(AD160&lt;X160,AA160+AB160-AC160,0)))))</x:f>
        <x:v>0</x:v>
      </x:c>
      <x:c r="Z160" s="6" t="n">
        <x:f>ROUND(MAX(0,U160+V160-W160-Y160),2)</x:f>
        <x:v>0</x:v>
      </x:c>
      <x:c r="AA160" s="6" t="n">
        <x:f>AF159</x:f>
        <x:v>0</x:v>
      </x:c>
      <x:c r="AB160" s="6" t="n">
        <x:f>ROUND(AA160*'Debt strategy'!$D$13/12,2)</x:f>
        <x:v>0</x:v>
      </x:c>
      <x:c r="AC160" s="6" t="n">
        <x:f>MIN(AA160+AB160,'Debt strategy'!$E$13)</x:f>
        <x:v>0</x:v>
      </x:c>
      <x:c r="AD160" s="27" t="n">
        <x:f>IF(AA160+AB160-AC160&lt;=0,99,1+SUM(IF(AND(C160+D160-E160&gt;0,OR(C160+D160-E160&lt;AA160+AB160-AC160,AND(C160+D160-E160=AA160+AB160-AC160,0&lt;4))),1,0),IF(AND(I160+J160-K160&gt;0,OR(I160+J160-K160&lt;AA160+AB160-AC160,AND(I160+J160-K160=AA160+AB160-AC160,1&lt;4))),1,0),IF(AND(O160+P160-Q160&gt;0,OR(O160+P160-Q160&lt;AA160+AB160-AC160,AND(O160+P160-Q160=AA160+AB160-AC160,2&lt;4))),1,0),IF(AND(U160+V160-W160&gt;0,OR(U160+V160-W160&lt;AA160+AB160-AC160,AND(U160+V160-W160=AA160+AB160-AC160,3&lt;4))),1,0)))</x:f>
        <x:v>99</x:v>
      </x:c>
      <x:c r="AE160" s="6" t="n">
        <x:f>IF('Debt strategy'!$C$16&gt;0,0,MIN(AA160+AB160-AC160,MAX(0,'Debt strategy'!$C$5-SUM(E160,K160,Q160,W160,AC160)-SUM(IF(F160&lt;AD160,C160+D160-E160,0),IF(L160&lt;AD160,I160+J160-K160,0),IF(R160&lt;AD160,O160+P160-Q160,0),IF(X160&lt;AD160,U160+V160-W160,0)))))</x:f>
        <x:v>0</x:v>
      </x:c>
      <x:c r="AF160" s="6" t="n">
        <x:f>ROUND(MAX(0,AA160+AB160-AC160-AE160),2)</x:f>
        <x:v>0</x:v>
      </x:c>
      <x:c r="AG160" s="6" t="n">
        <x:f>SUM(H160,N160,T160,Z160,AF160)</x:f>
        <x:v>0</x:v>
      </x:c>
      <x:c r="AH160" s="6" t="n">
        <x:f>SUM(D160,J160,P160,V160,AB160)+AH159</x:f>
        <x:v>1353.9499999999996</x:v>
      </x:c>
      <x:c r="AI160" s="2"/>
    </x:row>
    <x:row r="161" ht="23" customHeight="1">
      <x:c r="B161" s="2" t="n">
        <x:f>153</x:f>
        <x:v>153</x:v>
      </x:c>
      <x:c r="C161" s="6" t="n">
        <x:f>H160</x:f>
        <x:v>0</x:v>
      </x:c>
      <x:c r="D161" s="6" t="n">
        <x:f>ROUND(C161*'Debt strategy'!$D$9/12,2)</x:f>
        <x:v>0</x:v>
      </x:c>
      <x:c r="E161" s="6" t="n">
        <x:f>MIN(C161+D161,'Debt strategy'!$E$9)</x:f>
        <x:v>0</x:v>
      </x:c>
      <x:c r="F161" s="27" t="n">
        <x:f>IF(C161+D161-E161&lt;=0,99,1+SUM(IF(AND(I161+J161-K161&gt;0,OR(I161+J161-K161&lt;C161+D161-E161,AND(I161+J161-K161=C161+D161-E161,1&lt;0))),1,0),IF(AND(O161+P161-Q161&gt;0,OR(O161+P161-Q161&lt;C161+D161-E161,AND(O161+P161-Q161=C161+D161-E161,2&lt;0))),1,0),IF(AND(U161+V161-W161&gt;0,OR(U161+V161-W161&lt;C161+D161-E161,AND(U161+V161-W161=C161+D161-E161,3&lt;0))),1,0),IF(AND(AA161+AB161-AC161&gt;0,OR(AA161+AB161-AC161&lt;C161+D161-E161,AND(AA161+AB161-AC161=C161+D161-E161,4&lt;0))),1,0)))</x:f>
        <x:v>99</x:v>
      </x:c>
      <x:c r="G161" s="6" t="n">
        <x:f>IF('Debt strategy'!$C$16&gt;0,0,MIN(C161+D161-E161,MAX(0,'Debt strategy'!$C$5-SUM(E161,K161,Q161,W161,AC161)-SUM(IF(L161&lt;F161,I161+J161-K161,0),IF(R161&lt;F161,O161+P161-Q161,0),IF(X161&lt;F161,U161+V161-W161,0),IF(AD161&lt;F161,AA161+AB161-AC161,0)))))</x:f>
        <x:v>0</x:v>
      </x:c>
      <x:c r="H161" s="6" t="n">
        <x:f>ROUND(MAX(0,C161+D161-E161-G161),2)</x:f>
        <x:v>0</x:v>
      </x:c>
      <x:c r="I161" s="6" t="n">
        <x:f>N160</x:f>
        <x:v>0</x:v>
      </x:c>
      <x:c r="J161" s="6" t="n">
        <x:f>ROUND(I161*'Debt strategy'!$D$10/12,2)</x:f>
        <x:v>0</x:v>
      </x:c>
      <x:c r="K161" s="6" t="n">
        <x:f>MIN(I161+J161,'Debt strategy'!$E$10)</x:f>
        <x:v>0</x:v>
      </x:c>
      <x:c r="L161" s="27" t="n">
        <x:f>IF(I161+J161-K161&lt;=0,99,1+SUM(IF(AND(C161+D161-E161&gt;0,OR(C161+D161-E161&lt;I161+J161-K161,AND(C161+D161-E161=I161+J161-K161,0&lt;1))),1,0),IF(AND(O161+P161-Q161&gt;0,OR(O161+P161-Q161&lt;I161+J161-K161,AND(O161+P161-Q161=I161+J161-K161,2&lt;1))),1,0),IF(AND(U161+V161-W161&gt;0,OR(U161+V161-W161&lt;I161+J161-K161,AND(U161+V161-W161=I161+J161-K161,3&lt;1))),1,0),IF(AND(AA161+AB161-AC161&gt;0,OR(AA161+AB161-AC161&lt;I161+J161-K161,AND(AA161+AB161-AC161=I161+J161-K161,4&lt;1))),1,0)))</x:f>
        <x:v>99</x:v>
      </x:c>
      <x:c r="M161" s="6" t="n">
        <x:f>IF('Debt strategy'!$C$16&gt;0,0,MIN(I161+J161-K161,MAX(0,'Debt strategy'!$C$5-SUM(E161,K161,Q161,W161,AC161)-SUM(IF(F161&lt;L161,C161+D161-E161,0),IF(R161&lt;L161,O161+P161-Q161,0),IF(X161&lt;L161,U161+V161-W161,0),IF(AD161&lt;L161,AA161+AB161-AC161,0)))))</x:f>
        <x:v>0</x:v>
      </x:c>
      <x:c r="N161" s="6" t="n">
        <x:f>ROUND(MAX(0,I161+J161-K161-M161),2)</x:f>
        <x:v>0</x:v>
      </x:c>
      <x:c r="O161" s="6" t="n">
        <x:f>T160</x:f>
        <x:v>0</x:v>
      </x:c>
      <x:c r="P161" s="6" t="n">
        <x:f>ROUND(O161*'Debt strategy'!$D$11/12,2)</x:f>
        <x:v>0</x:v>
      </x:c>
      <x:c r="Q161" s="6" t="n">
        <x:f>MIN(O161+P161,'Debt strategy'!$E$11)</x:f>
        <x:v>0</x:v>
      </x:c>
      <x:c r="R161" s="27" t="n">
        <x:f>IF(O161+P161-Q161&lt;=0,99,1+SUM(IF(AND(C161+D161-E161&gt;0,OR(C161+D161-E161&lt;O161+P161-Q161,AND(C161+D161-E161=O161+P161-Q161,0&lt;2))),1,0),IF(AND(I161+J161-K161&gt;0,OR(I161+J161-K161&lt;O161+P161-Q161,AND(I161+J161-K161=O161+P161-Q161,1&lt;2))),1,0),IF(AND(U161+V161-W161&gt;0,OR(U161+V161-W161&lt;O161+P161-Q161,AND(U161+V161-W161=O161+P161-Q161,3&lt;2))),1,0),IF(AND(AA161+AB161-AC161&gt;0,OR(AA161+AB161-AC161&lt;O161+P161-Q161,AND(AA161+AB161-AC161=O161+P161-Q161,4&lt;2))),1,0)))</x:f>
        <x:v>99</x:v>
      </x:c>
      <x:c r="S161" s="6" t="n">
        <x:f>IF('Debt strategy'!$C$16&gt;0,0,MIN(O161+P161-Q161,MAX(0,'Debt strategy'!$C$5-SUM(E161,K161,Q161,W161,AC161)-SUM(IF(F161&lt;R161,C161+D161-E161,0),IF(L161&lt;R161,I161+J161-K161,0),IF(X161&lt;R161,U161+V161-W161,0),IF(AD161&lt;R161,AA161+AB161-AC161,0)))))</x:f>
        <x:v>0</x:v>
      </x:c>
      <x:c r="T161" s="6" t="n">
        <x:f>ROUND(MAX(0,O161+P161-Q161-S161),2)</x:f>
        <x:v>0</x:v>
      </x:c>
      <x:c r="U161" s="6" t="n">
        <x:f>Z160</x:f>
        <x:v>0</x:v>
      </x:c>
      <x:c r="V161" s="6" t="n">
        <x:f>ROUND(U161*'Debt strategy'!$D$12/12,2)</x:f>
        <x:v>0</x:v>
      </x:c>
      <x:c r="W161" s="6" t="n">
        <x:f>MIN(U161+V161,'Debt strategy'!$E$12)</x:f>
        <x:v>0</x:v>
      </x:c>
      <x:c r="X161" s="27" t="n">
        <x:f>IF(U161+V161-W161&lt;=0,99,1+SUM(IF(AND(C161+D161-E161&gt;0,OR(C161+D161-E161&lt;U161+V161-W161,AND(C161+D161-E161=U161+V161-W161,0&lt;3))),1,0),IF(AND(I161+J161-K161&gt;0,OR(I161+J161-K161&lt;U161+V161-W161,AND(I161+J161-K161=U161+V161-W161,1&lt;3))),1,0),IF(AND(O161+P161-Q161&gt;0,OR(O161+P161-Q161&lt;U161+V161-W161,AND(O161+P161-Q161=U161+V161-W161,2&lt;3))),1,0),IF(AND(AA161+AB161-AC161&gt;0,OR(AA161+AB161-AC161&lt;U161+V161-W161,AND(AA161+AB161-AC161=U161+V161-W161,4&lt;3))),1,0)))</x:f>
        <x:v>99</x:v>
      </x:c>
      <x:c r="Y161" s="6" t="n">
        <x:f>IF('Debt strategy'!$C$16&gt;0,0,MIN(U161+V161-W161,MAX(0,'Debt strategy'!$C$5-SUM(E161,K161,Q161,W161,AC161)-SUM(IF(F161&lt;X161,C161+D161-E161,0),IF(L161&lt;X161,I161+J161-K161,0),IF(R161&lt;X161,O161+P161-Q161,0),IF(AD161&lt;X161,AA161+AB161-AC161,0)))))</x:f>
        <x:v>0</x:v>
      </x:c>
      <x:c r="Z161" s="6" t="n">
        <x:f>ROUND(MAX(0,U161+V161-W161-Y161),2)</x:f>
        <x:v>0</x:v>
      </x:c>
      <x:c r="AA161" s="6" t="n">
        <x:f>AF160</x:f>
        <x:v>0</x:v>
      </x:c>
      <x:c r="AB161" s="6" t="n">
        <x:f>ROUND(AA161*'Debt strategy'!$D$13/12,2)</x:f>
        <x:v>0</x:v>
      </x:c>
      <x:c r="AC161" s="6" t="n">
        <x:f>MIN(AA161+AB161,'Debt strategy'!$E$13)</x:f>
        <x:v>0</x:v>
      </x:c>
      <x:c r="AD161" s="27" t="n">
        <x:f>IF(AA161+AB161-AC161&lt;=0,99,1+SUM(IF(AND(C161+D161-E161&gt;0,OR(C161+D161-E161&lt;AA161+AB161-AC161,AND(C161+D161-E161=AA161+AB161-AC161,0&lt;4))),1,0),IF(AND(I161+J161-K161&gt;0,OR(I161+J161-K161&lt;AA161+AB161-AC161,AND(I161+J161-K161=AA161+AB161-AC161,1&lt;4))),1,0),IF(AND(O161+P161-Q161&gt;0,OR(O161+P161-Q161&lt;AA161+AB161-AC161,AND(O161+P161-Q161=AA161+AB161-AC161,2&lt;4))),1,0),IF(AND(U161+V161-W161&gt;0,OR(U161+V161-W161&lt;AA161+AB161-AC161,AND(U161+V161-W161=AA161+AB161-AC161,3&lt;4))),1,0)))</x:f>
        <x:v>99</x:v>
      </x:c>
      <x:c r="AE161" s="6" t="n">
        <x:f>IF('Debt strategy'!$C$16&gt;0,0,MIN(AA161+AB161-AC161,MAX(0,'Debt strategy'!$C$5-SUM(E161,K161,Q161,W161,AC161)-SUM(IF(F161&lt;AD161,C161+D161-E161,0),IF(L161&lt;AD161,I161+J161-K161,0),IF(R161&lt;AD161,O161+P161-Q161,0),IF(X161&lt;AD161,U161+V161-W161,0)))))</x:f>
        <x:v>0</x:v>
      </x:c>
      <x:c r="AF161" s="6" t="n">
        <x:f>ROUND(MAX(0,AA161+AB161-AC161-AE161),2)</x:f>
        <x:v>0</x:v>
      </x:c>
      <x:c r="AG161" s="6" t="n">
        <x:f>SUM(H161,N161,T161,Z161,AF161)</x:f>
        <x:v>0</x:v>
      </x:c>
      <x:c r="AH161" s="6" t="n">
        <x:f>SUM(D161,J161,P161,V161,AB161)+AH160</x:f>
        <x:v>1353.9499999999996</x:v>
      </x:c>
      <x:c r="AI161" s="2"/>
    </x:row>
    <x:row r="162" ht="23" customHeight="1">
      <x:c r="B162" s="2" t="n">
        <x:f>154</x:f>
        <x:v>154</x:v>
      </x:c>
      <x:c r="C162" s="6" t="n">
        <x:f>H161</x:f>
        <x:v>0</x:v>
      </x:c>
      <x:c r="D162" s="6" t="n">
        <x:f>ROUND(C162*'Debt strategy'!$D$9/12,2)</x:f>
        <x:v>0</x:v>
      </x:c>
      <x:c r="E162" s="6" t="n">
        <x:f>MIN(C162+D162,'Debt strategy'!$E$9)</x:f>
        <x:v>0</x:v>
      </x:c>
      <x:c r="F162" s="27" t="n">
        <x:f>IF(C162+D162-E162&lt;=0,99,1+SUM(IF(AND(I162+J162-K162&gt;0,OR(I162+J162-K162&lt;C162+D162-E162,AND(I162+J162-K162=C162+D162-E162,1&lt;0))),1,0),IF(AND(O162+P162-Q162&gt;0,OR(O162+P162-Q162&lt;C162+D162-E162,AND(O162+P162-Q162=C162+D162-E162,2&lt;0))),1,0),IF(AND(U162+V162-W162&gt;0,OR(U162+V162-W162&lt;C162+D162-E162,AND(U162+V162-W162=C162+D162-E162,3&lt;0))),1,0),IF(AND(AA162+AB162-AC162&gt;0,OR(AA162+AB162-AC162&lt;C162+D162-E162,AND(AA162+AB162-AC162=C162+D162-E162,4&lt;0))),1,0)))</x:f>
        <x:v>99</x:v>
      </x:c>
      <x:c r="G162" s="6" t="n">
        <x:f>IF('Debt strategy'!$C$16&gt;0,0,MIN(C162+D162-E162,MAX(0,'Debt strategy'!$C$5-SUM(E162,K162,Q162,W162,AC162)-SUM(IF(L162&lt;F162,I162+J162-K162,0),IF(R162&lt;F162,O162+P162-Q162,0),IF(X162&lt;F162,U162+V162-W162,0),IF(AD162&lt;F162,AA162+AB162-AC162,0)))))</x:f>
        <x:v>0</x:v>
      </x:c>
      <x:c r="H162" s="6" t="n">
        <x:f>ROUND(MAX(0,C162+D162-E162-G162),2)</x:f>
        <x:v>0</x:v>
      </x:c>
      <x:c r="I162" s="6" t="n">
        <x:f>N161</x:f>
        <x:v>0</x:v>
      </x:c>
      <x:c r="J162" s="6" t="n">
        <x:f>ROUND(I162*'Debt strategy'!$D$10/12,2)</x:f>
        <x:v>0</x:v>
      </x:c>
      <x:c r="K162" s="6" t="n">
        <x:f>MIN(I162+J162,'Debt strategy'!$E$10)</x:f>
        <x:v>0</x:v>
      </x:c>
      <x:c r="L162" s="27" t="n">
        <x:f>IF(I162+J162-K162&lt;=0,99,1+SUM(IF(AND(C162+D162-E162&gt;0,OR(C162+D162-E162&lt;I162+J162-K162,AND(C162+D162-E162=I162+J162-K162,0&lt;1))),1,0),IF(AND(O162+P162-Q162&gt;0,OR(O162+P162-Q162&lt;I162+J162-K162,AND(O162+P162-Q162=I162+J162-K162,2&lt;1))),1,0),IF(AND(U162+V162-W162&gt;0,OR(U162+V162-W162&lt;I162+J162-K162,AND(U162+V162-W162=I162+J162-K162,3&lt;1))),1,0),IF(AND(AA162+AB162-AC162&gt;0,OR(AA162+AB162-AC162&lt;I162+J162-K162,AND(AA162+AB162-AC162=I162+J162-K162,4&lt;1))),1,0)))</x:f>
        <x:v>99</x:v>
      </x:c>
      <x:c r="M162" s="6" t="n">
        <x:f>IF('Debt strategy'!$C$16&gt;0,0,MIN(I162+J162-K162,MAX(0,'Debt strategy'!$C$5-SUM(E162,K162,Q162,W162,AC162)-SUM(IF(F162&lt;L162,C162+D162-E162,0),IF(R162&lt;L162,O162+P162-Q162,0),IF(X162&lt;L162,U162+V162-W162,0),IF(AD162&lt;L162,AA162+AB162-AC162,0)))))</x:f>
        <x:v>0</x:v>
      </x:c>
      <x:c r="N162" s="6" t="n">
        <x:f>ROUND(MAX(0,I162+J162-K162-M162),2)</x:f>
        <x:v>0</x:v>
      </x:c>
      <x:c r="O162" s="6" t="n">
        <x:f>T161</x:f>
        <x:v>0</x:v>
      </x:c>
      <x:c r="P162" s="6" t="n">
        <x:f>ROUND(O162*'Debt strategy'!$D$11/12,2)</x:f>
        <x:v>0</x:v>
      </x:c>
      <x:c r="Q162" s="6" t="n">
        <x:f>MIN(O162+P162,'Debt strategy'!$E$11)</x:f>
        <x:v>0</x:v>
      </x:c>
      <x:c r="R162" s="27" t="n">
        <x:f>IF(O162+P162-Q162&lt;=0,99,1+SUM(IF(AND(C162+D162-E162&gt;0,OR(C162+D162-E162&lt;O162+P162-Q162,AND(C162+D162-E162=O162+P162-Q162,0&lt;2))),1,0),IF(AND(I162+J162-K162&gt;0,OR(I162+J162-K162&lt;O162+P162-Q162,AND(I162+J162-K162=O162+P162-Q162,1&lt;2))),1,0),IF(AND(U162+V162-W162&gt;0,OR(U162+V162-W162&lt;O162+P162-Q162,AND(U162+V162-W162=O162+P162-Q162,3&lt;2))),1,0),IF(AND(AA162+AB162-AC162&gt;0,OR(AA162+AB162-AC162&lt;O162+P162-Q162,AND(AA162+AB162-AC162=O162+P162-Q162,4&lt;2))),1,0)))</x:f>
        <x:v>99</x:v>
      </x:c>
      <x:c r="S162" s="6" t="n">
        <x:f>IF('Debt strategy'!$C$16&gt;0,0,MIN(O162+P162-Q162,MAX(0,'Debt strategy'!$C$5-SUM(E162,K162,Q162,W162,AC162)-SUM(IF(F162&lt;R162,C162+D162-E162,0),IF(L162&lt;R162,I162+J162-K162,0),IF(X162&lt;R162,U162+V162-W162,0),IF(AD162&lt;R162,AA162+AB162-AC162,0)))))</x:f>
        <x:v>0</x:v>
      </x:c>
      <x:c r="T162" s="6" t="n">
        <x:f>ROUND(MAX(0,O162+P162-Q162-S162),2)</x:f>
        <x:v>0</x:v>
      </x:c>
      <x:c r="U162" s="6" t="n">
        <x:f>Z161</x:f>
        <x:v>0</x:v>
      </x:c>
      <x:c r="V162" s="6" t="n">
        <x:f>ROUND(U162*'Debt strategy'!$D$12/12,2)</x:f>
        <x:v>0</x:v>
      </x:c>
      <x:c r="W162" s="6" t="n">
        <x:f>MIN(U162+V162,'Debt strategy'!$E$12)</x:f>
        <x:v>0</x:v>
      </x:c>
      <x:c r="X162" s="27" t="n">
        <x:f>IF(U162+V162-W162&lt;=0,99,1+SUM(IF(AND(C162+D162-E162&gt;0,OR(C162+D162-E162&lt;U162+V162-W162,AND(C162+D162-E162=U162+V162-W162,0&lt;3))),1,0),IF(AND(I162+J162-K162&gt;0,OR(I162+J162-K162&lt;U162+V162-W162,AND(I162+J162-K162=U162+V162-W162,1&lt;3))),1,0),IF(AND(O162+P162-Q162&gt;0,OR(O162+P162-Q162&lt;U162+V162-W162,AND(O162+P162-Q162=U162+V162-W162,2&lt;3))),1,0),IF(AND(AA162+AB162-AC162&gt;0,OR(AA162+AB162-AC162&lt;U162+V162-W162,AND(AA162+AB162-AC162=U162+V162-W162,4&lt;3))),1,0)))</x:f>
        <x:v>99</x:v>
      </x:c>
      <x:c r="Y162" s="6" t="n">
        <x:f>IF('Debt strategy'!$C$16&gt;0,0,MIN(U162+V162-W162,MAX(0,'Debt strategy'!$C$5-SUM(E162,K162,Q162,W162,AC162)-SUM(IF(F162&lt;X162,C162+D162-E162,0),IF(L162&lt;X162,I162+J162-K162,0),IF(R162&lt;X162,O162+P162-Q162,0),IF(AD162&lt;X162,AA162+AB162-AC162,0)))))</x:f>
        <x:v>0</x:v>
      </x:c>
      <x:c r="Z162" s="6" t="n">
        <x:f>ROUND(MAX(0,U162+V162-W162-Y162),2)</x:f>
        <x:v>0</x:v>
      </x:c>
      <x:c r="AA162" s="6" t="n">
        <x:f>AF161</x:f>
        <x:v>0</x:v>
      </x:c>
      <x:c r="AB162" s="6" t="n">
        <x:f>ROUND(AA162*'Debt strategy'!$D$13/12,2)</x:f>
        <x:v>0</x:v>
      </x:c>
      <x:c r="AC162" s="6" t="n">
        <x:f>MIN(AA162+AB162,'Debt strategy'!$E$13)</x:f>
        <x:v>0</x:v>
      </x:c>
      <x:c r="AD162" s="27" t="n">
        <x:f>IF(AA162+AB162-AC162&lt;=0,99,1+SUM(IF(AND(C162+D162-E162&gt;0,OR(C162+D162-E162&lt;AA162+AB162-AC162,AND(C162+D162-E162=AA162+AB162-AC162,0&lt;4))),1,0),IF(AND(I162+J162-K162&gt;0,OR(I162+J162-K162&lt;AA162+AB162-AC162,AND(I162+J162-K162=AA162+AB162-AC162,1&lt;4))),1,0),IF(AND(O162+P162-Q162&gt;0,OR(O162+P162-Q162&lt;AA162+AB162-AC162,AND(O162+P162-Q162=AA162+AB162-AC162,2&lt;4))),1,0),IF(AND(U162+V162-W162&gt;0,OR(U162+V162-W162&lt;AA162+AB162-AC162,AND(U162+V162-W162=AA162+AB162-AC162,3&lt;4))),1,0)))</x:f>
        <x:v>99</x:v>
      </x:c>
      <x:c r="AE162" s="6" t="n">
        <x:f>IF('Debt strategy'!$C$16&gt;0,0,MIN(AA162+AB162-AC162,MAX(0,'Debt strategy'!$C$5-SUM(E162,K162,Q162,W162,AC162)-SUM(IF(F162&lt;AD162,C162+D162-E162,0),IF(L162&lt;AD162,I162+J162-K162,0),IF(R162&lt;AD162,O162+P162-Q162,0),IF(X162&lt;AD162,U162+V162-W162,0)))))</x:f>
        <x:v>0</x:v>
      </x:c>
      <x:c r="AF162" s="6" t="n">
        <x:f>ROUND(MAX(0,AA162+AB162-AC162-AE162),2)</x:f>
        <x:v>0</x:v>
      </x:c>
      <x:c r="AG162" s="6" t="n">
        <x:f>SUM(H162,N162,T162,Z162,AF162)</x:f>
        <x:v>0</x:v>
      </x:c>
      <x:c r="AH162" s="6" t="n">
        <x:f>SUM(D162,J162,P162,V162,AB162)+AH161</x:f>
        <x:v>1353.9499999999996</x:v>
      </x:c>
      <x:c r="AI162" s="2"/>
    </x:row>
    <x:row r="163" ht="23" customHeight="1">
      <x:c r="B163" s="2" t="n">
        <x:f>155</x:f>
        <x:v>155</x:v>
      </x:c>
      <x:c r="C163" s="6" t="n">
        <x:f>H162</x:f>
        <x:v>0</x:v>
      </x:c>
      <x:c r="D163" s="6" t="n">
        <x:f>ROUND(C163*'Debt strategy'!$D$9/12,2)</x:f>
        <x:v>0</x:v>
      </x:c>
      <x:c r="E163" s="6" t="n">
        <x:f>MIN(C163+D163,'Debt strategy'!$E$9)</x:f>
        <x:v>0</x:v>
      </x:c>
      <x:c r="F163" s="27" t="n">
        <x:f>IF(C163+D163-E163&lt;=0,99,1+SUM(IF(AND(I163+J163-K163&gt;0,OR(I163+J163-K163&lt;C163+D163-E163,AND(I163+J163-K163=C163+D163-E163,1&lt;0))),1,0),IF(AND(O163+P163-Q163&gt;0,OR(O163+P163-Q163&lt;C163+D163-E163,AND(O163+P163-Q163=C163+D163-E163,2&lt;0))),1,0),IF(AND(U163+V163-W163&gt;0,OR(U163+V163-W163&lt;C163+D163-E163,AND(U163+V163-W163=C163+D163-E163,3&lt;0))),1,0),IF(AND(AA163+AB163-AC163&gt;0,OR(AA163+AB163-AC163&lt;C163+D163-E163,AND(AA163+AB163-AC163=C163+D163-E163,4&lt;0))),1,0)))</x:f>
        <x:v>99</x:v>
      </x:c>
      <x:c r="G163" s="6" t="n">
        <x:f>IF('Debt strategy'!$C$16&gt;0,0,MIN(C163+D163-E163,MAX(0,'Debt strategy'!$C$5-SUM(E163,K163,Q163,W163,AC163)-SUM(IF(L163&lt;F163,I163+J163-K163,0),IF(R163&lt;F163,O163+P163-Q163,0),IF(X163&lt;F163,U163+V163-W163,0),IF(AD163&lt;F163,AA163+AB163-AC163,0)))))</x:f>
        <x:v>0</x:v>
      </x:c>
      <x:c r="H163" s="6" t="n">
        <x:f>ROUND(MAX(0,C163+D163-E163-G163),2)</x:f>
        <x:v>0</x:v>
      </x:c>
      <x:c r="I163" s="6" t="n">
        <x:f>N162</x:f>
        <x:v>0</x:v>
      </x:c>
      <x:c r="J163" s="6" t="n">
        <x:f>ROUND(I163*'Debt strategy'!$D$10/12,2)</x:f>
        <x:v>0</x:v>
      </x:c>
      <x:c r="K163" s="6" t="n">
        <x:f>MIN(I163+J163,'Debt strategy'!$E$10)</x:f>
        <x:v>0</x:v>
      </x:c>
      <x:c r="L163" s="27" t="n">
        <x:f>IF(I163+J163-K163&lt;=0,99,1+SUM(IF(AND(C163+D163-E163&gt;0,OR(C163+D163-E163&lt;I163+J163-K163,AND(C163+D163-E163=I163+J163-K163,0&lt;1))),1,0),IF(AND(O163+P163-Q163&gt;0,OR(O163+P163-Q163&lt;I163+J163-K163,AND(O163+P163-Q163=I163+J163-K163,2&lt;1))),1,0),IF(AND(U163+V163-W163&gt;0,OR(U163+V163-W163&lt;I163+J163-K163,AND(U163+V163-W163=I163+J163-K163,3&lt;1))),1,0),IF(AND(AA163+AB163-AC163&gt;0,OR(AA163+AB163-AC163&lt;I163+J163-K163,AND(AA163+AB163-AC163=I163+J163-K163,4&lt;1))),1,0)))</x:f>
        <x:v>99</x:v>
      </x:c>
      <x:c r="M163" s="6" t="n">
        <x:f>IF('Debt strategy'!$C$16&gt;0,0,MIN(I163+J163-K163,MAX(0,'Debt strategy'!$C$5-SUM(E163,K163,Q163,W163,AC163)-SUM(IF(F163&lt;L163,C163+D163-E163,0),IF(R163&lt;L163,O163+P163-Q163,0),IF(X163&lt;L163,U163+V163-W163,0),IF(AD163&lt;L163,AA163+AB163-AC163,0)))))</x:f>
        <x:v>0</x:v>
      </x:c>
      <x:c r="N163" s="6" t="n">
        <x:f>ROUND(MAX(0,I163+J163-K163-M163),2)</x:f>
        <x:v>0</x:v>
      </x:c>
      <x:c r="O163" s="6" t="n">
        <x:f>T162</x:f>
        <x:v>0</x:v>
      </x:c>
      <x:c r="P163" s="6" t="n">
        <x:f>ROUND(O163*'Debt strategy'!$D$11/12,2)</x:f>
        <x:v>0</x:v>
      </x:c>
      <x:c r="Q163" s="6" t="n">
        <x:f>MIN(O163+P163,'Debt strategy'!$E$11)</x:f>
        <x:v>0</x:v>
      </x:c>
      <x:c r="R163" s="27" t="n">
        <x:f>IF(O163+P163-Q163&lt;=0,99,1+SUM(IF(AND(C163+D163-E163&gt;0,OR(C163+D163-E163&lt;O163+P163-Q163,AND(C163+D163-E163=O163+P163-Q163,0&lt;2))),1,0),IF(AND(I163+J163-K163&gt;0,OR(I163+J163-K163&lt;O163+P163-Q163,AND(I163+J163-K163=O163+P163-Q163,1&lt;2))),1,0),IF(AND(U163+V163-W163&gt;0,OR(U163+V163-W163&lt;O163+P163-Q163,AND(U163+V163-W163=O163+P163-Q163,3&lt;2))),1,0),IF(AND(AA163+AB163-AC163&gt;0,OR(AA163+AB163-AC163&lt;O163+P163-Q163,AND(AA163+AB163-AC163=O163+P163-Q163,4&lt;2))),1,0)))</x:f>
        <x:v>99</x:v>
      </x:c>
      <x:c r="S163" s="6" t="n">
        <x:f>IF('Debt strategy'!$C$16&gt;0,0,MIN(O163+P163-Q163,MAX(0,'Debt strategy'!$C$5-SUM(E163,K163,Q163,W163,AC163)-SUM(IF(F163&lt;R163,C163+D163-E163,0),IF(L163&lt;R163,I163+J163-K163,0),IF(X163&lt;R163,U163+V163-W163,0),IF(AD163&lt;R163,AA163+AB163-AC163,0)))))</x:f>
        <x:v>0</x:v>
      </x:c>
      <x:c r="T163" s="6" t="n">
        <x:f>ROUND(MAX(0,O163+P163-Q163-S163),2)</x:f>
        <x:v>0</x:v>
      </x:c>
      <x:c r="U163" s="6" t="n">
        <x:f>Z162</x:f>
        <x:v>0</x:v>
      </x:c>
      <x:c r="V163" s="6" t="n">
        <x:f>ROUND(U163*'Debt strategy'!$D$12/12,2)</x:f>
        <x:v>0</x:v>
      </x:c>
      <x:c r="W163" s="6" t="n">
        <x:f>MIN(U163+V163,'Debt strategy'!$E$12)</x:f>
        <x:v>0</x:v>
      </x:c>
      <x:c r="X163" s="27" t="n">
        <x:f>IF(U163+V163-W163&lt;=0,99,1+SUM(IF(AND(C163+D163-E163&gt;0,OR(C163+D163-E163&lt;U163+V163-W163,AND(C163+D163-E163=U163+V163-W163,0&lt;3))),1,0),IF(AND(I163+J163-K163&gt;0,OR(I163+J163-K163&lt;U163+V163-W163,AND(I163+J163-K163=U163+V163-W163,1&lt;3))),1,0),IF(AND(O163+P163-Q163&gt;0,OR(O163+P163-Q163&lt;U163+V163-W163,AND(O163+P163-Q163=U163+V163-W163,2&lt;3))),1,0),IF(AND(AA163+AB163-AC163&gt;0,OR(AA163+AB163-AC163&lt;U163+V163-W163,AND(AA163+AB163-AC163=U163+V163-W163,4&lt;3))),1,0)))</x:f>
        <x:v>99</x:v>
      </x:c>
      <x:c r="Y163" s="6" t="n">
        <x:f>IF('Debt strategy'!$C$16&gt;0,0,MIN(U163+V163-W163,MAX(0,'Debt strategy'!$C$5-SUM(E163,K163,Q163,W163,AC163)-SUM(IF(F163&lt;X163,C163+D163-E163,0),IF(L163&lt;X163,I163+J163-K163,0),IF(R163&lt;X163,O163+P163-Q163,0),IF(AD163&lt;X163,AA163+AB163-AC163,0)))))</x:f>
        <x:v>0</x:v>
      </x:c>
      <x:c r="Z163" s="6" t="n">
        <x:f>ROUND(MAX(0,U163+V163-W163-Y163),2)</x:f>
        <x:v>0</x:v>
      </x:c>
      <x:c r="AA163" s="6" t="n">
        <x:f>AF162</x:f>
        <x:v>0</x:v>
      </x:c>
      <x:c r="AB163" s="6" t="n">
        <x:f>ROUND(AA163*'Debt strategy'!$D$13/12,2)</x:f>
        <x:v>0</x:v>
      </x:c>
      <x:c r="AC163" s="6" t="n">
        <x:f>MIN(AA163+AB163,'Debt strategy'!$E$13)</x:f>
        <x:v>0</x:v>
      </x:c>
      <x:c r="AD163" s="27" t="n">
        <x:f>IF(AA163+AB163-AC163&lt;=0,99,1+SUM(IF(AND(C163+D163-E163&gt;0,OR(C163+D163-E163&lt;AA163+AB163-AC163,AND(C163+D163-E163=AA163+AB163-AC163,0&lt;4))),1,0),IF(AND(I163+J163-K163&gt;0,OR(I163+J163-K163&lt;AA163+AB163-AC163,AND(I163+J163-K163=AA163+AB163-AC163,1&lt;4))),1,0),IF(AND(O163+P163-Q163&gt;0,OR(O163+P163-Q163&lt;AA163+AB163-AC163,AND(O163+P163-Q163=AA163+AB163-AC163,2&lt;4))),1,0),IF(AND(U163+V163-W163&gt;0,OR(U163+V163-W163&lt;AA163+AB163-AC163,AND(U163+V163-W163=AA163+AB163-AC163,3&lt;4))),1,0)))</x:f>
        <x:v>99</x:v>
      </x:c>
      <x:c r="AE163" s="6" t="n">
        <x:f>IF('Debt strategy'!$C$16&gt;0,0,MIN(AA163+AB163-AC163,MAX(0,'Debt strategy'!$C$5-SUM(E163,K163,Q163,W163,AC163)-SUM(IF(F163&lt;AD163,C163+D163-E163,0),IF(L163&lt;AD163,I163+J163-K163,0),IF(R163&lt;AD163,O163+P163-Q163,0),IF(X163&lt;AD163,U163+V163-W163,0)))))</x:f>
        <x:v>0</x:v>
      </x:c>
      <x:c r="AF163" s="6" t="n">
        <x:f>ROUND(MAX(0,AA163+AB163-AC163-AE163),2)</x:f>
        <x:v>0</x:v>
      </x:c>
      <x:c r="AG163" s="6" t="n">
        <x:f>SUM(H163,N163,T163,Z163,AF163)</x:f>
        <x:v>0</x:v>
      </x:c>
      <x:c r="AH163" s="6" t="n">
        <x:f>SUM(D163,J163,P163,V163,AB163)+AH162</x:f>
        <x:v>1353.9499999999996</x:v>
      </x:c>
      <x:c r="AI163" s="2"/>
    </x:row>
    <x:row r="164" ht="23" customHeight="1">
      <x:c r="B164" s="2" t="n">
        <x:f>156</x:f>
        <x:v>156</x:v>
      </x:c>
      <x:c r="C164" s="6" t="n">
        <x:f>H163</x:f>
        <x:v>0</x:v>
      </x:c>
      <x:c r="D164" s="6" t="n">
        <x:f>ROUND(C164*'Debt strategy'!$D$9/12,2)</x:f>
        <x:v>0</x:v>
      </x:c>
      <x:c r="E164" s="6" t="n">
        <x:f>MIN(C164+D164,'Debt strategy'!$E$9)</x:f>
        <x:v>0</x:v>
      </x:c>
      <x:c r="F164" s="27" t="n">
        <x:f>IF(C164+D164-E164&lt;=0,99,1+SUM(IF(AND(I164+J164-K164&gt;0,OR(I164+J164-K164&lt;C164+D164-E164,AND(I164+J164-K164=C164+D164-E164,1&lt;0))),1,0),IF(AND(O164+P164-Q164&gt;0,OR(O164+P164-Q164&lt;C164+D164-E164,AND(O164+P164-Q164=C164+D164-E164,2&lt;0))),1,0),IF(AND(U164+V164-W164&gt;0,OR(U164+V164-W164&lt;C164+D164-E164,AND(U164+V164-W164=C164+D164-E164,3&lt;0))),1,0),IF(AND(AA164+AB164-AC164&gt;0,OR(AA164+AB164-AC164&lt;C164+D164-E164,AND(AA164+AB164-AC164=C164+D164-E164,4&lt;0))),1,0)))</x:f>
        <x:v>99</x:v>
      </x:c>
      <x:c r="G164" s="6" t="n">
        <x:f>IF('Debt strategy'!$C$16&gt;0,0,MIN(C164+D164-E164,MAX(0,'Debt strategy'!$C$5-SUM(E164,K164,Q164,W164,AC164)-SUM(IF(L164&lt;F164,I164+J164-K164,0),IF(R164&lt;F164,O164+P164-Q164,0),IF(X164&lt;F164,U164+V164-W164,0),IF(AD164&lt;F164,AA164+AB164-AC164,0)))))</x:f>
        <x:v>0</x:v>
      </x:c>
      <x:c r="H164" s="6" t="n">
        <x:f>ROUND(MAX(0,C164+D164-E164-G164),2)</x:f>
        <x:v>0</x:v>
      </x:c>
      <x:c r="I164" s="6" t="n">
        <x:f>N163</x:f>
        <x:v>0</x:v>
      </x:c>
      <x:c r="J164" s="6" t="n">
        <x:f>ROUND(I164*'Debt strategy'!$D$10/12,2)</x:f>
        <x:v>0</x:v>
      </x:c>
      <x:c r="K164" s="6" t="n">
        <x:f>MIN(I164+J164,'Debt strategy'!$E$10)</x:f>
        <x:v>0</x:v>
      </x:c>
      <x:c r="L164" s="27" t="n">
        <x:f>IF(I164+J164-K164&lt;=0,99,1+SUM(IF(AND(C164+D164-E164&gt;0,OR(C164+D164-E164&lt;I164+J164-K164,AND(C164+D164-E164=I164+J164-K164,0&lt;1))),1,0),IF(AND(O164+P164-Q164&gt;0,OR(O164+P164-Q164&lt;I164+J164-K164,AND(O164+P164-Q164=I164+J164-K164,2&lt;1))),1,0),IF(AND(U164+V164-W164&gt;0,OR(U164+V164-W164&lt;I164+J164-K164,AND(U164+V164-W164=I164+J164-K164,3&lt;1))),1,0),IF(AND(AA164+AB164-AC164&gt;0,OR(AA164+AB164-AC164&lt;I164+J164-K164,AND(AA164+AB164-AC164=I164+J164-K164,4&lt;1))),1,0)))</x:f>
        <x:v>99</x:v>
      </x:c>
      <x:c r="M164" s="6" t="n">
        <x:f>IF('Debt strategy'!$C$16&gt;0,0,MIN(I164+J164-K164,MAX(0,'Debt strategy'!$C$5-SUM(E164,K164,Q164,W164,AC164)-SUM(IF(F164&lt;L164,C164+D164-E164,0),IF(R164&lt;L164,O164+P164-Q164,0),IF(X164&lt;L164,U164+V164-W164,0),IF(AD164&lt;L164,AA164+AB164-AC164,0)))))</x:f>
        <x:v>0</x:v>
      </x:c>
      <x:c r="N164" s="6" t="n">
        <x:f>ROUND(MAX(0,I164+J164-K164-M164),2)</x:f>
        <x:v>0</x:v>
      </x:c>
      <x:c r="O164" s="6" t="n">
        <x:f>T163</x:f>
        <x:v>0</x:v>
      </x:c>
      <x:c r="P164" s="6" t="n">
        <x:f>ROUND(O164*'Debt strategy'!$D$11/12,2)</x:f>
        <x:v>0</x:v>
      </x:c>
      <x:c r="Q164" s="6" t="n">
        <x:f>MIN(O164+P164,'Debt strategy'!$E$11)</x:f>
        <x:v>0</x:v>
      </x:c>
      <x:c r="R164" s="27" t="n">
        <x:f>IF(O164+P164-Q164&lt;=0,99,1+SUM(IF(AND(C164+D164-E164&gt;0,OR(C164+D164-E164&lt;O164+P164-Q164,AND(C164+D164-E164=O164+P164-Q164,0&lt;2))),1,0),IF(AND(I164+J164-K164&gt;0,OR(I164+J164-K164&lt;O164+P164-Q164,AND(I164+J164-K164=O164+P164-Q164,1&lt;2))),1,0),IF(AND(U164+V164-W164&gt;0,OR(U164+V164-W164&lt;O164+P164-Q164,AND(U164+V164-W164=O164+P164-Q164,3&lt;2))),1,0),IF(AND(AA164+AB164-AC164&gt;0,OR(AA164+AB164-AC164&lt;O164+P164-Q164,AND(AA164+AB164-AC164=O164+P164-Q164,4&lt;2))),1,0)))</x:f>
        <x:v>99</x:v>
      </x:c>
      <x:c r="S164" s="6" t="n">
        <x:f>IF('Debt strategy'!$C$16&gt;0,0,MIN(O164+P164-Q164,MAX(0,'Debt strategy'!$C$5-SUM(E164,K164,Q164,W164,AC164)-SUM(IF(F164&lt;R164,C164+D164-E164,0),IF(L164&lt;R164,I164+J164-K164,0),IF(X164&lt;R164,U164+V164-W164,0),IF(AD164&lt;R164,AA164+AB164-AC164,0)))))</x:f>
        <x:v>0</x:v>
      </x:c>
      <x:c r="T164" s="6" t="n">
        <x:f>ROUND(MAX(0,O164+P164-Q164-S164),2)</x:f>
        <x:v>0</x:v>
      </x:c>
      <x:c r="U164" s="6" t="n">
        <x:f>Z163</x:f>
        <x:v>0</x:v>
      </x:c>
      <x:c r="V164" s="6" t="n">
        <x:f>ROUND(U164*'Debt strategy'!$D$12/12,2)</x:f>
        <x:v>0</x:v>
      </x:c>
      <x:c r="W164" s="6" t="n">
        <x:f>MIN(U164+V164,'Debt strategy'!$E$12)</x:f>
        <x:v>0</x:v>
      </x:c>
      <x:c r="X164" s="27" t="n">
        <x:f>IF(U164+V164-W164&lt;=0,99,1+SUM(IF(AND(C164+D164-E164&gt;0,OR(C164+D164-E164&lt;U164+V164-W164,AND(C164+D164-E164=U164+V164-W164,0&lt;3))),1,0),IF(AND(I164+J164-K164&gt;0,OR(I164+J164-K164&lt;U164+V164-W164,AND(I164+J164-K164=U164+V164-W164,1&lt;3))),1,0),IF(AND(O164+P164-Q164&gt;0,OR(O164+P164-Q164&lt;U164+V164-W164,AND(O164+P164-Q164=U164+V164-W164,2&lt;3))),1,0),IF(AND(AA164+AB164-AC164&gt;0,OR(AA164+AB164-AC164&lt;U164+V164-W164,AND(AA164+AB164-AC164=U164+V164-W164,4&lt;3))),1,0)))</x:f>
        <x:v>99</x:v>
      </x:c>
      <x:c r="Y164" s="6" t="n">
        <x:f>IF('Debt strategy'!$C$16&gt;0,0,MIN(U164+V164-W164,MAX(0,'Debt strategy'!$C$5-SUM(E164,K164,Q164,W164,AC164)-SUM(IF(F164&lt;X164,C164+D164-E164,0),IF(L164&lt;X164,I164+J164-K164,0),IF(R164&lt;X164,O164+P164-Q164,0),IF(AD164&lt;X164,AA164+AB164-AC164,0)))))</x:f>
        <x:v>0</x:v>
      </x:c>
      <x:c r="Z164" s="6" t="n">
        <x:f>ROUND(MAX(0,U164+V164-W164-Y164),2)</x:f>
        <x:v>0</x:v>
      </x:c>
      <x:c r="AA164" s="6" t="n">
        <x:f>AF163</x:f>
        <x:v>0</x:v>
      </x:c>
      <x:c r="AB164" s="6" t="n">
        <x:f>ROUND(AA164*'Debt strategy'!$D$13/12,2)</x:f>
        <x:v>0</x:v>
      </x:c>
      <x:c r="AC164" s="6" t="n">
        <x:f>MIN(AA164+AB164,'Debt strategy'!$E$13)</x:f>
        <x:v>0</x:v>
      </x:c>
      <x:c r="AD164" s="27" t="n">
        <x:f>IF(AA164+AB164-AC164&lt;=0,99,1+SUM(IF(AND(C164+D164-E164&gt;0,OR(C164+D164-E164&lt;AA164+AB164-AC164,AND(C164+D164-E164=AA164+AB164-AC164,0&lt;4))),1,0),IF(AND(I164+J164-K164&gt;0,OR(I164+J164-K164&lt;AA164+AB164-AC164,AND(I164+J164-K164=AA164+AB164-AC164,1&lt;4))),1,0),IF(AND(O164+P164-Q164&gt;0,OR(O164+P164-Q164&lt;AA164+AB164-AC164,AND(O164+P164-Q164=AA164+AB164-AC164,2&lt;4))),1,0),IF(AND(U164+V164-W164&gt;0,OR(U164+V164-W164&lt;AA164+AB164-AC164,AND(U164+V164-W164=AA164+AB164-AC164,3&lt;4))),1,0)))</x:f>
        <x:v>99</x:v>
      </x:c>
      <x:c r="AE164" s="6" t="n">
        <x:f>IF('Debt strategy'!$C$16&gt;0,0,MIN(AA164+AB164-AC164,MAX(0,'Debt strategy'!$C$5-SUM(E164,K164,Q164,W164,AC164)-SUM(IF(F164&lt;AD164,C164+D164-E164,0),IF(L164&lt;AD164,I164+J164-K164,0),IF(R164&lt;AD164,O164+P164-Q164,0),IF(X164&lt;AD164,U164+V164-W164,0)))))</x:f>
        <x:v>0</x:v>
      </x:c>
      <x:c r="AF164" s="6" t="n">
        <x:f>ROUND(MAX(0,AA164+AB164-AC164-AE164),2)</x:f>
        <x:v>0</x:v>
      </x:c>
      <x:c r="AG164" s="6" t="n">
        <x:f>SUM(H164,N164,T164,Z164,AF164)</x:f>
        <x:v>0</x:v>
      </x:c>
      <x:c r="AH164" s="6" t="n">
        <x:f>SUM(D164,J164,P164,V164,AB164)+AH163</x:f>
        <x:v>1353.9499999999996</x:v>
      </x:c>
      <x:c r="AI164" s="2"/>
    </x:row>
    <x:row r="165" ht="23" customHeight="1">
      <x:c r="B165" s="2" t="n">
        <x:f>157</x:f>
        <x:v>157</x:v>
      </x:c>
      <x:c r="C165" s="6" t="n">
        <x:f>H164</x:f>
        <x:v>0</x:v>
      </x:c>
      <x:c r="D165" s="6" t="n">
        <x:f>ROUND(C165*'Debt strategy'!$D$9/12,2)</x:f>
        <x:v>0</x:v>
      </x:c>
      <x:c r="E165" s="6" t="n">
        <x:f>MIN(C165+D165,'Debt strategy'!$E$9)</x:f>
        <x:v>0</x:v>
      </x:c>
      <x:c r="F165" s="27" t="n">
        <x:f>IF(C165+D165-E165&lt;=0,99,1+SUM(IF(AND(I165+J165-K165&gt;0,OR(I165+J165-K165&lt;C165+D165-E165,AND(I165+J165-K165=C165+D165-E165,1&lt;0))),1,0),IF(AND(O165+P165-Q165&gt;0,OR(O165+P165-Q165&lt;C165+D165-E165,AND(O165+P165-Q165=C165+D165-E165,2&lt;0))),1,0),IF(AND(U165+V165-W165&gt;0,OR(U165+V165-W165&lt;C165+D165-E165,AND(U165+V165-W165=C165+D165-E165,3&lt;0))),1,0),IF(AND(AA165+AB165-AC165&gt;0,OR(AA165+AB165-AC165&lt;C165+D165-E165,AND(AA165+AB165-AC165=C165+D165-E165,4&lt;0))),1,0)))</x:f>
        <x:v>99</x:v>
      </x:c>
      <x:c r="G165" s="6" t="n">
        <x:f>IF('Debt strategy'!$C$16&gt;0,0,MIN(C165+D165-E165,MAX(0,'Debt strategy'!$C$5-SUM(E165,K165,Q165,W165,AC165)-SUM(IF(L165&lt;F165,I165+J165-K165,0),IF(R165&lt;F165,O165+P165-Q165,0),IF(X165&lt;F165,U165+V165-W165,0),IF(AD165&lt;F165,AA165+AB165-AC165,0)))))</x:f>
        <x:v>0</x:v>
      </x:c>
      <x:c r="H165" s="6" t="n">
        <x:f>ROUND(MAX(0,C165+D165-E165-G165),2)</x:f>
        <x:v>0</x:v>
      </x:c>
      <x:c r="I165" s="6" t="n">
        <x:f>N164</x:f>
        <x:v>0</x:v>
      </x:c>
      <x:c r="J165" s="6" t="n">
        <x:f>ROUND(I165*'Debt strategy'!$D$10/12,2)</x:f>
        <x:v>0</x:v>
      </x:c>
      <x:c r="K165" s="6" t="n">
        <x:f>MIN(I165+J165,'Debt strategy'!$E$10)</x:f>
        <x:v>0</x:v>
      </x:c>
      <x:c r="L165" s="27" t="n">
        <x:f>IF(I165+J165-K165&lt;=0,99,1+SUM(IF(AND(C165+D165-E165&gt;0,OR(C165+D165-E165&lt;I165+J165-K165,AND(C165+D165-E165=I165+J165-K165,0&lt;1))),1,0),IF(AND(O165+P165-Q165&gt;0,OR(O165+P165-Q165&lt;I165+J165-K165,AND(O165+P165-Q165=I165+J165-K165,2&lt;1))),1,0),IF(AND(U165+V165-W165&gt;0,OR(U165+V165-W165&lt;I165+J165-K165,AND(U165+V165-W165=I165+J165-K165,3&lt;1))),1,0),IF(AND(AA165+AB165-AC165&gt;0,OR(AA165+AB165-AC165&lt;I165+J165-K165,AND(AA165+AB165-AC165=I165+J165-K165,4&lt;1))),1,0)))</x:f>
        <x:v>99</x:v>
      </x:c>
      <x:c r="M165" s="6" t="n">
        <x:f>IF('Debt strategy'!$C$16&gt;0,0,MIN(I165+J165-K165,MAX(0,'Debt strategy'!$C$5-SUM(E165,K165,Q165,W165,AC165)-SUM(IF(F165&lt;L165,C165+D165-E165,0),IF(R165&lt;L165,O165+P165-Q165,0),IF(X165&lt;L165,U165+V165-W165,0),IF(AD165&lt;L165,AA165+AB165-AC165,0)))))</x:f>
        <x:v>0</x:v>
      </x:c>
      <x:c r="N165" s="6" t="n">
        <x:f>ROUND(MAX(0,I165+J165-K165-M165),2)</x:f>
        <x:v>0</x:v>
      </x:c>
      <x:c r="O165" s="6" t="n">
        <x:f>T164</x:f>
        <x:v>0</x:v>
      </x:c>
      <x:c r="P165" s="6" t="n">
        <x:f>ROUND(O165*'Debt strategy'!$D$11/12,2)</x:f>
        <x:v>0</x:v>
      </x:c>
      <x:c r="Q165" s="6" t="n">
        <x:f>MIN(O165+P165,'Debt strategy'!$E$11)</x:f>
        <x:v>0</x:v>
      </x:c>
      <x:c r="R165" s="27" t="n">
        <x:f>IF(O165+P165-Q165&lt;=0,99,1+SUM(IF(AND(C165+D165-E165&gt;0,OR(C165+D165-E165&lt;O165+P165-Q165,AND(C165+D165-E165=O165+P165-Q165,0&lt;2))),1,0),IF(AND(I165+J165-K165&gt;0,OR(I165+J165-K165&lt;O165+P165-Q165,AND(I165+J165-K165=O165+P165-Q165,1&lt;2))),1,0),IF(AND(U165+V165-W165&gt;0,OR(U165+V165-W165&lt;O165+P165-Q165,AND(U165+V165-W165=O165+P165-Q165,3&lt;2))),1,0),IF(AND(AA165+AB165-AC165&gt;0,OR(AA165+AB165-AC165&lt;O165+P165-Q165,AND(AA165+AB165-AC165=O165+P165-Q165,4&lt;2))),1,0)))</x:f>
        <x:v>99</x:v>
      </x:c>
      <x:c r="S165" s="6" t="n">
        <x:f>IF('Debt strategy'!$C$16&gt;0,0,MIN(O165+P165-Q165,MAX(0,'Debt strategy'!$C$5-SUM(E165,K165,Q165,W165,AC165)-SUM(IF(F165&lt;R165,C165+D165-E165,0),IF(L165&lt;R165,I165+J165-K165,0),IF(X165&lt;R165,U165+V165-W165,0),IF(AD165&lt;R165,AA165+AB165-AC165,0)))))</x:f>
        <x:v>0</x:v>
      </x:c>
      <x:c r="T165" s="6" t="n">
        <x:f>ROUND(MAX(0,O165+P165-Q165-S165),2)</x:f>
        <x:v>0</x:v>
      </x:c>
      <x:c r="U165" s="6" t="n">
        <x:f>Z164</x:f>
        <x:v>0</x:v>
      </x:c>
      <x:c r="V165" s="6" t="n">
        <x:f>ROUND(U165*'Debt strategy'!$D$12/12,2)</x:f>
        <x:v>0</x:v>
      </x:c>
      <x:c r="W165" s="6" t="n">
        <x:f>MIN(U165+V165,'Debt strategy'!$E$12)</x:f>
        <x:v>0</x:v>
      </x:c>
      <x:c r="X165" s="27" t="n">
        <x:f>IF(U165+V165-W165&lt;=0,99,1+SUM(IF(AND(C165+D165-E165&gt;0,OR(C165+D165-E165&lt;U165+V165-W165,AND(C165+D165-E165=U165+V165-W165,0&lt;3))),1,0),IF(AND(I165+J165-K165&gt;0,OR(I165+J165-K165&lt;U165+V165-W165,AND(I165+J165-K165=U165+V165-W165,1&lt;3))),1,0),IF(AND(O165+P165-Q165&gt;0,OR(O165+P165-Q165&lt;U165+V165-W165,AND(O165+P165-Q165=U165+V165-W165,2&lt;3))),1,0),IF(AND(AA165+AB165-AC165&gt;0,OR(AA165+AB165-AC165&lt;U165+V165-W165,AND(AA165+AB165-AC165=U165+V165-W165,4&lt;3))),1,0)))</x:f>
        <x:v>99</x:v>
      </x:c>
      <x:c r="Y165" s="6" t="n">
        <x:f>IF('Debt strategy'!$C$16&gt;0,0,MIN(U165+V165-W165,MAX(0,'Debt strategy'!$C$5-SUM(E165,K165,Q165,W165,AC165)-SUM(IF(F165&lt;X165,C165+D165-E165,0),IF(L165&lt;X165,I165+J165-K165,0),IF(R165&lt;X165,O165+P165-Q165,0),IF(AD165&lt;X165,AA165+AB165-AC165,0)))))</x:f>
        <x:v>0</x:v>
      </x:c>
      <x:c r="Z165" s="6" t="n">
        <x:f>ROUND(MAX(0,U165+V165-W165-Y165),2)</x:f>
        <x:v>0</x:v>
      </x:c>
      <x:c r="AA165" s="6" t="n">
        <x:f>AF164</x:f>
        <x:v>0</x:v>
      </x:c>
      <x:c r="AB165" s="6" t="n">
        <x:f>ROUND(AA165*'Debt strategy'!$D$13/12,2)</x:f>
        <x:v>0</x:v>
      </x:c>
      <x:c r="AC165" s="6" t="n">
        <x:f>MIN(AA165+AB165,'Debt strategy'!$E$13)</x:f>
        <x:v>0</x:v>
      </x:c>
      <x:c r="AD165" s="27" t="n">
        <x:f>IF(AA165+AB165-AC165&lt;=0,99,1+SUM(IF(AND(C165+D165-E165&gt;0,OR(C165+D165-E165&lt;AA165+AB165-AC165,AND(C165+D165-E165=AA165+AB165-AC165,0&lt;4))),1,0),IF(AND(I165+J165-K165&gt;0,OR(I165+J165-K165&lt;AA165+AB165-AC165,AND(I165+J165-K165=AA165+AB165-AC165,1&lt;4))),1,0),IF(AND(O165+P165-Q165&gt;0,OR(O165+P165-Q165&lt;AA165+AB165-AC165,AND(O165+P165-Q165=AA165+AB165-AC165,2&lt;4))),1,0),IF(AND(U165+V165-W165&gt;0,OR(U165+V165-W165&lt;AA165+AB165-AC165,AND(U165+V165-W165=AA165+AB165-AC165,3&lt;4))),1,0)))</x:f>
        <x:v>99</x:v>
      </x:c>
      <x:c r="AE165" s="6" t="n">
        <x:f>IF('Debt strategy'!$C$16&gt;0,0,MIN(AA165+AB165-AC165,MAX(0,'Debt strategy'!$C$5-SUM(E165,K165,Q165,W165,AC165)-SUM(IF(F165&lt;AD165,C165+D165-E165,0),IF(L165&lt;AD165,I165+J165-K165,0),IF(R165&lt;AD165,O165+P165-Q165,0),IF(X165&lt;AD165,U165+V165-W165,0)))))</x:f>
        <x:v>0</x:v>
      </x:c>
      <x:c r="AF165" s="6" t="n">
        <x:f>ROUND(MAX(0,AA165+AB165-AC165-AE165),2)</x:f>
        <x:v>0</x:v>
      </x:c>
      <x:c r="AG165" s="6" t="n">
        <x:f>SUM(H165,N165,T165,Z165,AF165)</x:f>
        <x:v>0</x:v>
      </x:c>
      <x:c r="AH165" s="6" t="n">
        <x:f>SUM(D165,J165,P165,V165,AB165)+AH164</x:f>
        <x:v>1353.9499999999996</x:v>
      </x:c>
      <x:c r="AI165" s="2"/>
    </x:row>
    <x:row r="166" ht="23" customHeight="1">
      <x:c r="B166" s="2" t="n">
        <x:f>158</x:f>
        <x:v>158</x:v>
      </x:c>
      <x:c r="C166" s="6" t="n">
        <x:f>H165</x:f>
        <x:v>0</x:v>
      </x:c>
      <x:c r="D166" s="6" t="n">
        <x:f>ROUND(C166*'Debt strategy'!$D$9/12,2)</x:f>
        <x:v>0</x:v>
      </x:c>
      <x:c r="E166" s="6" t="n">
        <x:f>MIN(C166+D166,'Debt strategy'!$E$9)</x:f>
        <x:v>0</x:v>
      </x:c>
      <x:c r="F166" s="27" t="n">
        <x:f>IF(C166+D166-E166&lt;=0,99,1+SUM(IF(AND(I166+J166-K166&gt;0,OR(I166+J166-K166&lt;C166+D166-E166,AND(I166+J166-K166=C166+D166-E166,1&lt;0))),1,0),IF(AND(O166+P166-Q166&gt;0,OR(O166+P166-Q166&lt;C166+D166-E166,AND(O166+P166-Q166=C166+D166-E166,2&lt;0))),1,0),IF(AND(U166+V166-W166&gt;0,OR(U166+V166-W166&lt;C166+D166-E166,AND(U166+V166-W166=C166+D166-E166,3&lt;0))),1,0),IF(AND(AA166+AB166-AC166&gt;0,OR(AA166+AB166-AC166&lt;C166+D166-E166,AND(AA166+AB166-AC166=C166+D166-E166,4&lt;0))),1,0)))</x:f>
        <x:v>99</x:v>
      </x:c>
      <x:c r="G166" s="6" t="n">
        <x:f>IF('Debt strategy'!$C$16&gt;0,0,MIN(C166+D166-E166,MAX(0,'Debt strategy'!$C$5-SUM(E166,K166,Q166,W166,AC166)-SUM(IF(L166&lt;F166,I166+J166-K166,0),IF(R166&lt;F166,O166+P166-Q166,0),IF(X166&lt;F166,U166+V166-W166,0),IF(AD166&lt;F166,AA166+AB166-AC166,0)))))</x:f>
        <x:v>0</x:v>
      </x:c>
      <x:c r="H166" s="6" t="n">
        <x:f>ROUND(MAX(0,C166+D166-E166-G166),2)</x:f>
        <x:v>0</x:v>
      </x:c>
      <x:c r="I166" s="6" t="n">
        <x:f>N165</x:f>
        <x:v>0</x:v>
      </x:c>
      <x:c r="J166" s="6" t="n">
        <x:f>ROUND(I166*'Debt strategy'!$D$10/12,2)</x:f>
        <x:v>0</x:v>
      </x:c>
      <x:c r="K166" s="6" t="n">
        <x:f>MIN(I166+J166,'Debt strategy'!$E$10)</x:f>
        <x:v>0</x:v>
      </x:c>
      <x:c r="L166" s="27" t="n">
        <x:f>IF(I166+J166-K166&lt;=0,99,1+SUM(IF(AND(C166+D166-E166&gt;0,OR(C166+D166-E166&lt;I166+J166-K166,AND(C166+D166-E166=I166+J166-K166,0&lt;1))),1,0),IF(AND(O166+P166-Q166&gt;0,OR(O166+P166-Q166&lt;I166+J166-K166,AND(O166+P166-Q166=I166+J166-K166,2&lt;1))),1,0),IF(AND(U166+V166-W166&gt;0,OR(U166+V166-W166&lt;I166+J166-K166,AND(U166+V166-W166=I166+J166-K166,3&lt;1))),1,0),IF(AND(AA166+AB166-AC166&gt;0,OR(AA166+AB166-AC166&lt;I166+J166-K166,AND(AA166+AB166-AC166=I166+J166-K166,4&lt;1))),1,0)))</x:f>
        <x:v>99</x:v>
      </x:c>
      <x:c r="M166" s="6" t="n">
        <x:f>IF('Debt strategy'!$C$16&gt;0,0,MIN(I166+J166-K166,MAX(0,'Debt strategy'!$C$5-SUM(E166,K166,Q166,W166,AC166)-SUM(IF(F166&lt;L166,C166+D166-E166,0),IF(R166&lt;L166,O166+P166-Q166,0),IF(X166&lt;L166,U166+V166-W166,0),IF(AD166&lt;L166,AA166+AB166-AC166,0)))))</x:f>
        <x:v>0</x:v>
      </x:c>
      <x:c r="N166" s="6" t="n">
        <x:f>ROUND(MAX(0,I166+J166-K166-M166),2)</x:f>
        <x:v>0</x:v>
      </x:c>
      <x:c r="O166" s="6" t="n">
        <x:f>T165</x:f>
        <x:v>0</x:v>
      </x:c>
      <x:c r="P166" s="6" t="n">
        <x:f>ROUND(O166*'Debt strategy'!$D$11/12,2)</x:f>
        <x:v>0</x:v>
      </x:c>
      <x:c r="Q166" s="6" t="n">
        <x:f>MIN(O166+P166,'Debt strategy'!$E$11)</x:f>
        <x:v>0</x:v>
      </x:c>
      <x:c r="R166" s="27" t="n">
        <x:f>IF(O166+P166-Q166&lt;=0,99,1+SUM(IF(AND(C166+D166-E166&gt;0,OR(C166+D166-E166&lt;O166+P166-Q166,AND(C166+D166-E166=O166+P166-Q166,0&lt;2))),1,0),IF(AND(I166+J166-K166&gt;0,OR(I166+J166-K166&lt;O166+P166-Q166,AND(I166+J166-K166=O166+P166-Q166,1&lt;2))),1,0),IF(AND(U166+V166-W166&gt;0,OR(U166+V166-W166&lt;O166+P166-Q166,AND(U166+V166-W166=O166+P166-Q166,3&lt;2))),1,0),IF(AND(AA166+AB166-AC166&gt;0,OR(AA166+AB166-AC166&lt;O166+P166-Q166,AND(AA166+AB166-AC166=O166+P166-Q166,4&lt;2))),1,0)))</x:f>
        <x:v>99</x:v>
      </x:c>
      <x:c r="S166" s="6" t="n">
        <x:f>IF('Debt strategy'!$C$16&gt;0,0,MIN(O166+P166-Q166,MAX(0,'Debt strategy'!$C$5-SUM(E166,K166,Q166,W166,AC166)-SUM(IF(F166&lt;R166,C166+D166-E166,0),IF(L166&lt;R166,I166+J166-K166,0),IF(X166&lt;R166,U166+V166-W166,0),IF(AD166&lt;R166,AA166+AB166-AC166,0)))))</x:f>
        <x:v>0</x:v>
      </x:c>
      <x:c r="T166" s="6" t="n">
        <x:f>ROUND(MAX(0,O166+P166-Q166-S166),2)</x:f>
        <x:v>0</x:v>
      </x:c>
      <x:c r="U166" s="6" t="n">
        <x:f>Z165</x:f>
        <x:v>0</x:v>
      </x:c>
      <x:c r="V166" s="6" t="n">
        <x:f>ROUND(U166*'Debt strategy'!$D$12/12,2)</x:f>
        <x:v>0</x:v>
      </x:c>
      <x:c r="W166" s="6" t="n">
        <x:f>MIN(U166+V166,'Debt strategy'!$E$12)</x:f>
        <x:v>0</x:v>
      </x:c>
      <x:c r="X166" s="27" t="n">
        <x:f>IF(U166+V166-W166&lt;=0,99,1+SUM(IF(AND(C166+D166-E166&gt;0,OR(C166+D166-E166&lt;U166+V166-W166,AND(C166+D166-E166=U166+V166-W166,0&lt;3))),1,0),IF(AND(I166+J166-K166&gt;0,OR(I166+J166-K166&lt;U166+V166-W166,AND(I166+J166-K166=U166+V166-W166,1&lt;3))),1,0),IF(AND(O166+P166-Q166&gt;0,OR(O166+P166-Q166&lt;U166+V166-W166,AND(O166+P166-Q166=U166+V166-W166,2&lt;3))),1,0),IF(AND(AA166+AB166-AC166&gt;0,OR(AA166+AB166-AC166&lt;U166+V166-W166,AND(AA166+AB166-AC166=U166+V166-W166,4&lt;3))),1,0)))</x:f>
        <x:v>99</x:v>
      </x:c>
      <x:c r="Y166" s="6" t="n">
        <x:f>IF('Debt strategy'!$C$16&gt;0,0,MIN(U166+V166-W166,MAX(0,'Debt strategy'!$C$5-SUM(E166,K166,Q166,W166,AC166)-SUM(IF(F166&lt;X166,C166+D166-E166,0),IF(L166&lt;X166,I166+J166-K166,0),IF(R166&lt;X166,O166+P166-Q166,0),IF(AD166&lt;X166,AA166+AB166-AC166,0)))))</x:f>
        <x:v>0</x:v>
      </x:c>
      <x:c r="Z166" s="6" t="n">
        <x:f>ROUND(MAX(0,U166+V166-W166-Y166),2)</x:f>
        <x:v>0</x:v>
      </x:c>
      <x:c r="AA166" s="6" t="n">
        <x:f>AF165</x:f>
        <x:v>0</x:v>
      </x:c>
      <x:c r="AB166" s="6" t="n">
        <x:f>ROUND(AA166*'Debt strategy'!$D$13/12,2)</x:f>
        <x:v>0</x:v>
      </x:c>
      <x:c r="AC166" s="6" t="n">
        <x:f>MIN(AA166+AB166,'Debt strategy'!$E$13)</x:f>
        <x:v>0</x:v>
      </x:c>
      <x:c r="AD166" s="27" t="n">
        <x:f>IF(AA166+AB166-AC166&lt;=0,99,1+SUM(IF(AND(C166+D166-E166&gt;0,OR(C166+D166-E166&lt;AA166+AB166-AC166,AND(C166+D166-E166=AA166+AB166-AC166,0&lt;4))),1,0),IF(AND(I166+J166-K166&gt;0,OR(I166+J166-K166&lt;AA166+AB166-AC166,AND(I166+J166-K166=AA166+AB166-AC166,1&lt;4))),1,0),IF(AND(O166+P166-Q166&gt;0,OR(O166+P166-Q166&lt;AA166+AB166-AC166,AND(O166+P166-Q166=AA166+AB166-AC166,2&lt;4))),1,0),IF(AND(U166+V166-W166&gt;0,OR(U166+V166-W166&lt;AA166+AB166-AC166,AND(U166+V166-W166=AA166+AB166-AC166,3&lt;4))),1,0)))</x:f>
        <x:v>99</x:v>
      </x:c>
      <x:c r="AE166" s="6" t="n">
        <x:f>IF('Debt strategy'!$C$16&gt;0,0,MIN(AA166+AB166-AC166,MAX(0,'Debt strategy'!$C$5-SUM(E166,K166,Q166,W166,AC166)-SUM(IF(F166&lt;AD166,C166+D166-E166,0),IF(L166&lt;AD166,I166+J166-K166,0),IF(R166&lt;AD166,O166+P166-Q166,0),IF(X166&lt;AD166,U166+V166-W166,0)))))</x:f>
        <x:v>0</x:v>
      </x:c>
      <x:c r="AF166" s="6" t="n">
        <x:f>ROUND(MAX(0,AA166+AB166-AC166-AE166),2)</x:f>
        <x:v>0</x:v>
      </x:c>
      <x:c r="AG166" s="6" t="n">
        <x:f>SUM(H166,N166,T166,Z166,AF166)</x:f>
        <x:v>0</x:v>
      </x:c>
      <x:c r="AH166" s="6" t="n">
        <x:f>SUM(D166,J166,P166,V166,AB166)+AH165</x:f>
        <x:v>1353.9499999999996</x:v>
      </x:c>
      <x:c r="AI166" s="2"/>
    </x:row>
    <x:row r="167" ht="23" customHeight="1">
      <x:c r="B167" s="2" t="n">
        <x:f>159</x:f>
        <x:v>159</x:v>
      </x:c>
      <x:c r="C167" s="6" t="n">
        <x:f>H166</x:f>
        <x:v>0</x:v>
      </x:c>
      <x:c r="D167" s="6" t="n">
        <x:f>ROUND(C167*'Debt strategy'!$D$9/12,2)</x:f>
        <x:v>0</x:v>
      </x:c>
      <x:c r="E167" s="6" t="n">
        <x:f>MIN(C167+D167,'Debt strategy'!$E$9)</x:f>
        <x:v>0</x:v>
      </x:c>
      <x:c r="F167" s="27" t="n">
        <x:f>IF(C167+D167-E167&lt;=0,99,1+SUM(IF(AND(I167+J167-K167&gt;0,OR(I167+J167-K167&lt;C167+D167-E167,AND(I167+J167-K167=C167+D167-E167,1&lt;0))),1,0),IF(AND(O167+P167-Q167&gt;0,OR(O167+P167-Q167&lt;C167+D167-E167,AND(O167+P167-Q167=C167+D167-E167,2&lt;0))),1,0),IF(AND(U167+V167-W167&gt;0,OR(U167+V167-W167&lt;C167+D167-E167,AND(U167+V167-W167=C167+D167-E167,3&lt;0))),1,0),IF(AND(AA167+AB167-AC167&gt;0,OR(AA167+AB167-AC167&lt;C167+D167-E167,AND(AA167+AB167-AC167=C167+D167-E167,4&lt;0))),1,0)))</x:f>
        <x:v>99</x:v>
      </x:c>
      <x:c r="G167" s="6" t="n">
        <x:f>IF('Debt strategy'!$C$16&gt;0,0,MIN(C167+D167-E167,MAX(0,'Debt strategy'!$C$5-SUM(E167,K167,Q167,W167,AC167)-SUM(IF(L167&lt;F167,I167+J167-K167,0),IF(R167&lt;F167,O167+P167-Q167,0),IF(X167&lt;F167,U167+V167-W167,0),IF(AD167&lt;F167,AA167+AB167-AC167,0)))))</x:f>
        <x:v>0</x:v>
      </x:c>
      <x:c r="H167" s="6" t="n">
        <x:f>ROUND(MAX(0,C167+D167-E167-G167),2)</x:f>
        <x:v>0</x:v>
      </x:c>
      <x:c r="I167" s="6" t="n">
        <x:f>N166</x:f>
        <x:v>0</x:v>
      </x:c>
      <x:c r="J167" s="6" t="n">
        <x:f>ROUND(I167*'Debt strategy'!$D$10/12,2)</x:f>
        <x:v>0</x:v>
      </x:c>
      <x:c r="K167" s="6" t="n">
        <x:f>MIN(I167+J167,'Debt strategy'!$E$10)</x:f>
        <x:v>0</x:v>
      </x:c>
      <x:c r="L167" s="27" t="n">
        <x:f>IF(I167+J167-K167&lt;=0,99,1+SUM(IF(AND(C167+D167-E167&gt;0,OR(C167+D167-E167&lt;I167+J167-K167,AND(C167+D167-E167=I167+J167-K167,0&lt;1))),1,0),IF(AND(O167+P167-Q167&gt;0,OR(O167+P167-Q167&lt;I167+J167-K167,AND(O167+P167-Q167=I167+J167-K167,2&lt;1))),1,0),IF(AND(U167+V167-W167&gt;0,OR(U167+V167-W167&lt;I167+J167-K167,AND(U167+V167-W167=I167+J167-K167,3&lt;1))),1,0),IF(AND(AA167+AB167-AC167&gt;0,OR(AA167+AB167-AC167&lt;I167+J167-K167,AND(AA167+AB167-AC167=I167+J167-K167,4&lt;1))),1,0)))</x:f>
        <x:v>99</x:v>
      </x:c>
      <x:c r="M167" s="6" t="n">
        <x:f>IF('Debt strategy'!$C$16&gt;0,0,MIN(I167+J167-K167,MAX(0,'Debt strategy'!$C$5-SUM(E167,K167,Q167,W167,AC167)-SUM(IF(F167&lt;L167,C167+D167-E167,0),IF(R167&lt;L167,O167+P167-Q167,0),IF(X167&lt;L167,U167+V167-W167,0),IF(AD167&lt;L167,AA167+AB167-AC167,0)))))</x:f>
        <x:v>0</x:v>
      </x:c>
      <x:c r="N167" s="6" t="n">
        <x:f>ROUND(MAX(0,I167+J167-K167-M167),2)</x:f>
        <x:v>0</x:v>
      </x:c>
      <x:c r="O167" s="6" t="n">
        <x:f>T166</x:f>
        <x:v>0</x:v>
      </x:c>
      <x:c r="P167" s="6" t="n">
        <x:f>ROUND(O167*'Debt strategy'!$D$11/12,2)</x:f>
        <x:v>0</x:v>
      </x:c>
      <x:c r="Q167" s="6" t="n">
        <x:f>MIN(O167+P167,'Debt strategy'!$E$11)</x:f>
        <x:v>0</x:v>
      </x:c>
      <x:c r="R167" s="27" t="n">
        <x:f>IF(O167+P167-Q167&lt;=0,99,1+SUM(IF(AND(C167+D167-E167&gt;0,OR(C167+D167-E167&lt;O167+P167-Q167,AND(C167+D167-E167=O167+P167-Q167,0&lt;2))),1,0),IF(AND(I167+J167-K167&gt;0,OR(I167+J167-K167&lt;O167+P167-Q167,AND(I167+J167-K167=O167+P167-Q167,1&lt;2))),1,0),IF(AND(U167+V167-W167&gt;0,OR(U167+V167-W167&lt;O167+P167-Q167,AND(U167+V167-W167=O167+P167-Q167,3&lt;2))),1,0),IF(AND(AA167+AB167-AC167&gt;0,OR(AA167+AB167-AC167&lt;O167+P167-Q167,AND(AA167+AB167-AC167=O167+P167-Q167,4&lt;2))),1,0)))</x:f>
        <x:v>99</x:v>
      </x:c>
      <x:c r="S167" s="6" t="n">
        <x:f>IF('Debt strategy'!$C$16&gt;0,0,MIN(O167+P167-Q167,MAX(0,'Debt strategy'!$C$5-SUM(E167,K167,Q167,W167,AC167)-SUM(IF(F167&lt;R167,C167+D167-E167,0),IF(L167&lt;R167,I167+J167-K167,0),IF(X167&lt;R167,U167+V167-W167,0),IF(AD167&lt;R167,AA167+AB167-AC167,0)))))</x:f>
        <x:v>0</x:v>
      </x:c>
      <x:c r="T167" s="6" t="n">
        <x:f>ROUND(MAX(0,O167+P167-Q167-S167),2)</x:f>
        <x:v>0</x:v>
      </x:c>
      <x:c r="U167" s="6" t="n">
        <x:f>Z166</x:f>
        <x:v>0</x:v>
      </x:c>
      <x:c r="V167" s="6" t="n">
        <x:f>ROUND(U167*'Debt strategy'!$D$12/12,2)</x:f>
        <x:v>0</x:v>
      </x:c>
      <x:c r="W167" s="6" t="n">
        <x:f>MIN(U167+V167,'Debt strategy'!$E$12)</x:f>
        <x:v>0</x:v>
      </x:c>
      <x:c r="X167" s="27" t="n">
        <x:f>IF(U167+V167-W167&lt;=0,99,1+SUM(IF(AND(C167+D167-E167&gt;0,OR(C167+D167-E167&lt;U167+V167-W167,AND(C167+D167-E167=U167+V167-W167,0&lt;3))),1,0),IF(AND(I167+J167-K167&gt;0,OR(I167+J167-K167&lt;U167+V167-W167,AND(I167+J167-K167=U167+V167-W167,1&lt;3))),1,0),IF(AND(O167+P167-Q167&gt;0,OR(O167+P167-Q167&lt;U167+V167-W167,AND(O167+P167-Q167=U167+V167-W167,2&lt;3))),1,0),IF(AND(AA167+AB167-AC167&gt;0,OR(AA167+AB167-AC167&lt;U167+V167-W167,AND(AA167+AB167-AC167=U167+V167-W167,4&lt;3))),1,0)))</x:f>
        <x:v>99</x:v>
      </x:c>
      <x:c r="Y167" s="6" t="n">
        <x:f>IF('Debt strategy'!$C$16&gt;0,0,MIN(U167+V167-W167,MAX(0,'Debt strategy'!$C$5-SUM(E167,K167,Q167,W167,AC167)-SUM(IF(F167&lt;X167,C167+D167-E167,0),IF(L167&lt;X167,I167+J167-K167,0),IF(R167&lt;X167,O167+P167-Q167,0),IF(AD167&lt;X167,AA167+AB167-AC167,0)))))</x:f>
        <x:v>0</x:v>
      </x:c>
      <x:c r="Z167" s="6" t="n">
        <x:f>ROUND(MAX(0,U167+V167-W167-Y167),2)</x:f>
        <x:v>0</x:v>
      </x:c>
      <x:c r="AA167" s="6" t="n">
        <x:f>AF166</x:f>
        <x:v>0</x:v>
      </x:c>
      <x:c r="AB167" s="6" t="n">
        <x:f>ROUND(AA167*'Debt strategy'!$D$13/12,2)</x:f>
        <x:v>0</x:v>
      </x:c>
      <x:c r="AC167" s="6" t="n">
        <x:f>MIN(AA167+AB167,'Debt strategy'!$E$13)</x:f>
        <x:v>0</x:v>
      </x:c>
      <x:c r="AD167" s="27" t="n">
        <x:f>IF(AA167+AB167-AC167&lt;=0,99,1+SUM(IF(AND(C167+D167-E167&gt;0,OR(C167+D167-E167&lt;AA167+AB167-AC167,AND(C167+D167-E167=AA167+AB167-AC167,0&lt;4))),1,0),IF(AND(I167+J167-K167&gt;0,OR(I167+J167-K167&lt;AA167+AB167-AC167,AND(I167+J167-K167=AA167+AB167-AC167,1&lt;4))),1,0),IF(AND(O167+P167-Q167&gt;0,OR(O167+P167-Q167&lt;AA167+AB167-AC167,AND(O167+P167-Q167=AA167+AB167-AC167,2&lt;4))),1,0),IF(AND(U167+V167-W167&gt;0,OR(U167+V167-W167&lt;AA167+AB167-AC167,AND(U167+V167-W167=AA167+AB167-AC167,3&lt;4))),1,0)))</x:f>
        <x:v>99</x:v>
      </x:c>
      <x:c r="AE167" s="6" t="n">
        <x:f>IF('Debt strategy'!$C$16&gt;0,0,MIN(AA167+AB167-AC167,MAX(0,'Debt strategy'!$C$5-SUM(E167,K167,Q167,W167,AC167)-SUM(IF(F167&lt;AD167,C167+D167-E167,0),IF(L167&lt;AD167,I167+J167-K167,0),IF(R167&lt;AD167,O167+P167-Q167,0),IF(X167&lt;AD167,U167+V167-W167,0)))))</x:f>
        <x:v>0</x:v>
      </x:c>
      <x:c r="AF167" s="6" t="n">
        <x:f>ROUND(MAX(0,AA167+AB167-AC167-AE167),2)</x:f>
        <x:v>0</x:v>
      </x:c>
      <x:c r="AG167" s="6" t="n">
        <x:f>SUM(H167,N167,T167,Z167,AF167)</x:f>
        <x:v>0</x:v>
      </x:c>
      <x:c r="AH167" s="6" t="n">
        <x:f>SUM(D167,J167,P167,V167,AB167)+AH166</x:f>
        <x:v>1353.9499999999996</x:v>
      </x:c>
      <x:c r="AI167" s="2"/>
    </x:row>
    <x:row r="168" ht="23" customHeight="1">
      <x:c r="B168" s="2" t="n">
        <x:f>160</x:f>
        <x:v>160</x:v>
      </x:c>
      <x:c r="C168" s="6" t="n">
        <x:f>H167</x:f>
        <x:v>0</x:v>
      </x:c>
      <x:c r="D168" s="6" t="n">
        <x:f>ROUND(C168*'Debt strategy'!$D$9/12,2)</x:f>
        <x:v>0</x:v>
      </x:c>
      <x:c r="E168" s="6" t="n">
        <x:f>MIN(C168+D168,'Debt strategy'!$E$9)</x:f>
        <x:v>0</x:v>
      </x:c>
      <x:c r="F168" s="27" t="n">
        <x:f>IF(C168+D168-E168&lt;=0,99,1+SUM(IF(AND(I168+J168-K168&gt;0,OR(I168+J168-K168&lt;C168+D168-E168,AND(I168+J168-K168=C168+D168-E168,1&lt;0))),1,0),IF(AND(O168+P168-Q168&gt;0,OR(O168+P168-Q168&lt;C168+D168-E168,AND(O168+P168-Q168=C168+D168-E168,2&lt;0))),1,0),IF(AND(U168+V168-W168&gt;0,OR(U168+V168-W168&lt;C168+D168-E168,AND(U168+V168-W168=C168+D168-E168,3&lt;0))),1,0),IF(AND(AA168+AB168-AC168&gt;0,OR(AA168+AB168-AC168&lt;C168+D168-E168,AND(AA168+AB168-AC168=C168+D168-E168,4&lt;0))),1,0)))</x:f>
        <x:v>99</x:v>
      </x:c>
      <x:c r="G168" s="6" t="n">
        <x:f>IF('Debt strategy'!$C$16&gt;0,0,MIN(C168+D168-E168,MAX(0,'Debt strategy'!$C$5-SUM(E168,K168,Q168,W168,AC168)-SUM(IF(L168&lt;F168,I168+J168-K168,0),IF(R168&lt;F168,O168+P168-Q168,0),IF(X168&lt;F168,U168+V168-W168,0),IF(AD168&lt;F168,AA168+AB168-AC168,0)))))</x:f>
        <x:v>0</x:v>
      </x:c>
      <x:c r="H168" s="6" t="n">
        <x:f>ROUND(MAX(0,C168+D168-E168-G168),2)</x:f>
        <x:v>0</x:v>
      </x:c>
      <x:c r="I168" s="6" t="n">
        <x:f>N167</x:f>
        <x:v>0</x:v>
      </x:c>
      <x:c r="J168" s="6" t="n">
        <x:f>ROUND(I168*'Debt strategy'!$D$10/12,2)</x:f>
        <x:v>0</x:v>
      </x:c>
      <x:c r="K168" s="6" t="n">
        <x:f>MIN(I168+J168,'Debt strategy'!$E$10)</x:f>
        <x:v>0</x:v>
      </x:c>
      <x:c r="L168" s="27" t="n">
        <x:f>IF(I168+J168-K168&lt;=0,99,1+SUM(IF(AND(C168+D168-E168&gt;0,OR(C168+D168-E168&lt;I168+J168-K168,AND(C168+D168-E168=I168+J168-K168,0&lt;1))),1,0),IF(AND(O168+P168-Q168&gt;0,OR(O168+P168-Q168&lt;I168+J168-K168,AND(O168+P168-Q168=I168+J168-K168,2&lt;1))),1,0),IF(AND(U168+V168-W168&gt;0,OR(U168+V168-W168&lt;I168+J168-K168,AND(U168+V168-W168=I168+J168-K168,3&lt;1))),1,0),IF(AND(AA168+AB168-AC168&gt;0,OR(AA168+AB168-AC168&lt;I168+J168-K168,AND(AA168+AB168-AC168=I168+J168-K168,4&lt;1))),1,0)))</x:f>
        <x:v>99</x:v>
      </x:c>
      <x:c r="M168" s="6" t="n">
        <x:f>IF('Debt strategy'!$C$16&gt;0,0,MIN(I168+J168-K168,MAX(0,'Debt strategy'!$C$5-SUM(E168,K168,Q168,W168,AC168)-SUM(IF(F168&lt;L168,C168+D168-E168,0),IF(R168&lt;L168,O168+P168-Q168,0),IF(X168&lt;L168,U168+V168-W168,0),IF(AD168&lt;L168,AA168+AB168-AC168,0)))))</x:f>
        <x:v>0</x:v>
      </x:c>
      <x:c r="N168" s="6" t="n">
        <x:f>ROUND(MAX(0,I168+J168-K168-M168),2)</x:f>
        <x:v>0</x:v>
      </x:c>
      <x:c r="O168" s="6" t="n">
        <x:f>T167</x:f>
        <x:v>0</x:v>
      </x:c>
      <x:c r="P168" s="6" t="n">
        <x:f>ROUND(O168*'Debt strategy'!$D$11/12,2)</x:f>
        <x:v>0</x:v>
      </x:c>
      <x:c r="Q168" s="6" t="n">
        <x:f>MIN(O168+P168,'Debt strategy'!$E$11)</x:f>
        <x:v>0</x:v>
      </x:c>
      <x:c r="R168" s="27" t="n">
        <x:f>IF(O168+P168-Q168&lt;=0,99,1+SUM(IF(AND(C168+D168-E168&gt;0,OR(C168+D168-E168&lt;O168+P168-Q168,AND(C168+D168-E168=O168+P168-Q168,0&lt;2))),1,0),IF(AND(I168+J168-K168&gt;0,OR(I168+J168-K168&lt;O168+P168-Q168,AND(I168+J168-K168=O168+P168-Q168,1&lt;2))),1,0),IF(AND(U168+V168-W168&gt;0,OR(U168+V168-W168&lt;O168+P168-Q168,AND(U168+V168-W168=O168+P168-Q168,3&lt;2))),1,0),IF(AND(AA168+AB168-AC168&gt;0,OR(AA168+AB168-AC168&lt;O168+P168-Q168,AND(AA168+AB168-AC168=O168+P168-Q168,4&lt;2))),1,0)))</x:f>
        <x:v>99</x:v>
      </x:c>
      <x:c r="S168" s="6" t="n">
        <x:f>IF('Debt strategy'!$C$16&gt;0,0,MIN(O168+P168-Q168,MAX(0,'Debt strategy'!$C$5-SUM(E168,K168,Q168,W168,AC168)-SUM(IF(F168&lt;R168,C168+D168-E168,0),IF(L168&lt;R168,I168+J168-K168,0),IF(X168&lt;R168,U168+V168-W168,0),IF(AD168&lt;R168,AA168+AB168-AC168,0)))))</x:f>
        <x:v>0</x:v>
      </x:c>
      <x:c r="T168" s="6" t="n">
        <x:f>ROUND(MAX(0,O168+P168-Q168-S168),2)</x:f>
        <x:v>0</x:v>
      </x:c>
      <x:c r="U168" s="6" t="n">
        <x:f>Z167</x:f>
        <x:v>0</x:v>
      </x:c>
      <x:c r="V168" s="6" t="n">
        <x:f>ROUND(U168*'Debt strategy'!$D$12/12,2)</x:f>
        <x:v>0</x:v>
      </x:c>
      <x:c r="W168" s="6" t="n">
        <x:f>MIN(U168+V168,'Debt strategy'!$E$12)</x:f>
        <x:v>0</x:v>
      </x:c>
      <x:c r="X168" s="27" t="n">
        <x:f>IF(U168+V168-W168&lt;=0,99,1+SUM(IF(AND(C168+D168-E168&gt;0,OR(C168+D168-E168&lt;U168+V168-W168,AND(C168+D168-E168=U168+V168-W168,0&lt;3))),1,0),IF(AND(I168+J168-K168&gt;0,OR(I168+J168-K168&lt;U168+V168-W168,AND(I168+J168-K168=U168+V168-W168,1&lt;3))),1,0),IF(AND(O168+P168-Q168&gt;0,OR(O168+P168-Q168&lt;U168+V168-W168,AND(O168+P168-Q168=U168+V168-W168,2&lt;3))),1,0),IF(AND(AA168+AB168-AC168&gt;0,OR(AA168+AB168-AC168&lt;U168+V168-W168,AND(AA168+AB168-AC168=U168+V168-W168,4&lt;3))),1,0)))</x:f>
        <x:v>99</x:v>
      </x:c>
      <x:c r="Y168" s="6" t="n">
        <x:f>IF('Debt strategy'!$C$16&gt;0,0,MIN(U168+V168-W168,MAX(0,'Debt strategy'!$C$5-SUM(E168,K168,Q168,W168,AC168)-SUM(IF(F168&lt;X168,C168+D168-E168,0),IF(L168&lt;X168,I168+J168-K168,0),IF(R168&lt;X168,O168+P168-Q168,0),IF(AD168&lt;X168,AA168+AB168-AC168,0)))))</x:f>
        <x:v>0</x:v>
      </x:c>
      <x:c r="Z168" s="6" t="n">
        <x:f>ROUND(MAX(0,U168+V168-W168-Y168),2)</x:f>
        <x:v>0</x:v>
      </x:c>
      <x:c r="AA168" s="6" t="n">
        <x:f>AF167</x:f>
        <x:v>0</x:v>
      </x:c>
      <x:c r="AB168" s="6" t="n">
        <x:f>ROUND(AA168*'Debt strategy'!$D$13/12,2)</x:f>
        <x:v>0</x:v>
      </x:c>
      <x:c r="AC168" s="6" t="n">
        <x:f>MIN(AA168+AB168,'Debt strategy'!$E$13)</x:f>
        <x:v>0</x:v>
      </x:c>
      <x:c r="AD168" s="27" t="n">
        <x:f>IF(AA168+AB168-AC168&lt;=0,99,1+SUM(IF(AND(C168+D168-E168&gt;0,OR(C168+D168-E168&lt;AA168+AB168-AC168,AND(C168+D168-E168=AA168+AB168-AC168,0&lt;4))),1,0),IF(AND(I168+J168-K168&gt;0,OR(I168+J168-K168&lt;AA168+AB168-AC168,AND(I168+J168-K168=AA168+AB168-AC168,1&lt;4))),1,0),IF(AND(O168+P168-Q168&gt;0,OR(O168+P168-Q168&lt;AA168+AB168-AC168,AND(O168+P168-Q168=AA168+AB168-AC168,2&lt;4))),1,0),IF(AND(U168+V168-W168&gt;0,OR(U168+V168-W168&lt;AA168+AB168-AC168,AND(U168+V168-W168=AA168+AB168-AC168,3&lt;4))),1,0)))</x:f>
        <x:v>99</x:v>
      </x:c>
      <x:c r="AE168" s="6" t="n">
        <x:f>IF('Debt strategy'!$C$16&gt;0,0,MIN(AA168+AB168-AC168,MAX(0,'Debt strategy'!$C$5-SUM(E168,K168,Q168,W168,AC168)-SUM(IF(F168&lt;AD168,C168+D168-E168,0),IF(L168&lt;AD168,I168+J168-K168,0),IF(R168&lt;AD168,O168+P168-Q168,0),IF(X168&lt;AD168,U168+V168-W168,0)))))</x:f>
        <x:v>0</x:v>
      </x:c>
      <x:c r="AF168" s="6" t="n">
        <x:f>ROUND(MAX(0,AA168+AB168-AC168-AE168),2)</x:f>
        <x:v>0</x:v>
      </x:c>
      <x:c r="AG168" s="6" t="n">
        <x:f>SUM(H168,N168,T168,Z168,AF168)</x:f>
        <x:v>0</x:v>
      </x:c>
      <x:c r="AH168" s="6" t="n">
        <x:f>SUM(D168,J168,P168,V168,AB168)+AH167</x:f>
        <x:v>1353.9499999999996</x:v>
      </x:c>
      <x:c r="AI168" s="2"/>
    </x:row>
    <x:row r="169" ht="23" customHeight="1">
      <x:c r="B169" s="2" t="n">
        <x:f>161</x:f>
        <x:v>161</x:v>
      </x:c>
      <x:c r="C169" s="6" t="n">
        <x:f>H168</x:f>
        <x:v>0</x:v>
      </x:c>
      <x:c r="D169" s="6" t="n">
        <x:f>ROUND(C169*'Debt strategy'!$D$9/12,2)</x:f>
        <x:v>0</x:v>
      </x:c>
      <x:c r="E169" s="6" t="n">
        <x:f>MIN(C169+D169,'Debt strategy'!$E$9)</x:f>
        <x:v>0</x:v>
      </x:c>
      <x:c r="F169" s="27" t="n">
        <x:f>IF(C169+D169-E169&lt;=0,99,1+SUM(IF(AND(I169+J169-K169&gt;0,OR(I169+J169-K169&lt;C169+D169-E169,AND(I169+J169-K169=C169+D169-E169,1&lt;0))),1,0),IF(AND(O169+P169-Q169&gt;0,OR(O169+P169-Q169&lt;C169+D169-E169,AND(O169+P169-Q169=C169+D169-E169,2&lt;0))),1,0),IF(AND(U169+V169-W169&gt;0,OR(U169+V169-W169&lt;C169+D169-E169,AND(U169+V169-W169=C169+D169-E169,3&lt;0))),1,0),IF(AND(AA169+AB169-AC169&gt;0,OR(AA169+AB169-AC169&lt;C169+D169-E169,AND(AA169+AB169-AC169=C169+D169-E169,4&lt;0))),1,0)))</x:f>
        <x:v>99</x:v>
      </x:c>
      <x:c r="G169" s="6" t="n">
        <x:f>IF('Debt strategy'!$C$16&gt;0,0,MIN(C169+D169-E169,MAX(0,'Debt strategy'!$C$5-SUM(E169,K169,Q169,W169,AC169)-SUM(IF(L169&lt;F169,I169+J169-K169,0),IF(R169&lt;F169,O169+P169-Q169,0),IF(X169&lt;F169,U169+V169-W169,0),IF(AD169&lt;F169,AA169+AB169-AC169,0)))))</x:f>
        <x:v>0</x:v>
      </x:c>
      <x:c r="H169" s="6" t="n">
        <x:f>ROUND(MAX(0,C169+D169-E169-G169),2)</x:f>
        <x:v>0</x:v>
      </x:c>
      <x:c r="I169" s="6" t="n">
        <x:f>N168</x:f>
        <x:v>0</x:v>
      </x:c>
      <x:c r="J169" s="6" t="n">
        <x:f>ROUND(I169*'Debt strategy'!$D$10/12,2)</x:f>
        <x:v>0</x:v>
      </x:c>
      <x:c r="K169" s="6" t="n">
        <x:f>MIN(I169+J169,'Debt strategy'!$E$10)</x:f>
        <x:v>0</x:v>
      </x:c>
      <x:c r="L169" s="27" t="n">
        <x:f>IF(I169+J169-K169&lt;=0,99,1+SUM(IF(AND(C169+D169-E169&gt;0,OR(C169+D169-E169&lt;I169+J169-K169,AND(C169+D169-E169=I169+J169-K169,0&lt;1))),1,0),IF(AND(O169+P169-Q169&gt;0,OR(O169+P169-Q169&lt;I169+J169-K169,AND(O169+P169-Q169=I169+J169-K169,2&lt;1))),1,0),IF(AND(U169+V169-W169&gt;0,OR(U169+V169-W169&lt;I169+J169-K169,AND(U169+V169-W169=I169+J169-K169,3&lt;1))),1,0),IF(AND(AA169+AB169-AC169&gt;0,OR(AA169+AB169-AC169&lt;I169+J169-K169,AND(AA169+AB169-AC169=I169+J169-K169,4&lt;1))),1,0)))</x:f>
        <x:v>99</x:v>
      </x:c>
      <x:c r="M169" s="6" t="n">
        <x:f>IF('Debt strategy'!$C$16&gt;0,0,MIN(I169+J169-K169,MAX(0,'Debt strategy'!$C$5-SUM(E169,K169,Q169,W169,AC169)-SUM(IF(F169&lt;L169,C169+D169-E169,0),IF(R169&lt;L169,O169+P169-Q169,0),IF(X169&lt;L169,U169+V169-W169,0),IF(AD169&lt;L169,AA169+AB169-AC169,0)))))</x:f>
        <x:v>0</x:v>
      </x:c>
      <x:c r="N169" s="6" t="n">
        <x:f>ROUND(MAX(0,I169+J169-K169-M169),2)</x:f>
        <x:v>0</x:v>
      </x:c>
      <x:c r="O169" s="6" t="n">
        <x:f>T168</x:f>
        <x:v>0</x:v>
      </x:c>
      <x:c r="P169" s="6" t="n">
        <x:f>ROUND(O169*'Debt strategy'!$D$11/12,2)</x:f>
        <x:v>0</x:v>
      </x:c>
      <x:c r="Q169" s="6" t="n">
        <x:f>MIN(O169+P169,'Debt strategy'!$E$11)</x:f>
        <x:v>0</x:v>
      </x:c>
      <x:c r="R169" s="27" t="n">
        <x:f>IF(O169+P169-Q169&lt;=0,99,1+SUM(IF(AND(C169+D169-E169&gt;0,OR(C169+D169-E169&lt;O169+P169-Q169,AND(C169+D169-E169=O169+P169-Q169,0&lt;2))),1,0),IF(AND(I169+J169-K169&gt;0,OR(I169+J169-K169&lt;O169+P169-Q169,AND(I169+J169-K169=O169+P169-Q169,1&lt;2))),1,0),IF(AND(U169+V169-W169&gt;0,OR(U169+V169-W169&lt;O169+P169-Q169,AND(U169+V169-W169=O169+P169-Q169,3&lt;2))),1,0),IF(AND(AA169+AB169-AC169&gt;0,OR(AA169+AB169-AC169&lt;O169+P169-Q169,AND(AA169+AB169-AC169=O169+P169-Q169,4&lt;2))),1,0)))</x:f>
        <x:v>99</x:v>
      </x:c>
      <x:c r="S169" s="6" t="n">
        <x:f>IF('Debt strategy'!$C$16&gt;0,0,MIN(O169+P169-Q169,MAX(0,'Debt strategy'!$C$5-SUM(E169,K169,Q169,W169,AC169)-SUM(IF(F169&lt;R169,C169+D169-E169,0),IF(L169&lt;R169,I169+J169-K169,0),IF(X169&lt;R169,U169+V169-W169,0),IF(AD169&lt;R169,AA169+AB169-AC169,0)))))</x:f>
        <x:v>0</x:v>
      </x:c>
      <x:c r="T169" s="6" t="n">
        <x:f>ROUND(MAX(0,O169+P169-Q169-S169),2)</x:f>
        <x:v>0</x:v>
      </x:c>
      <x:c r="U169" s="6" t="n">
        <x:f>Z168</x:f>
        <x:v>0</x:v>
      </x:c>
      <x:c r="V169" s="6" t="n">
        <x:f>ROUND(U169*'Debt strategy'!$D$12/12,2)</x:f>
        <x:v>0</x:v>
      </x:c>
      <x:c r="W169" s="6" t="n">
        <x:f>MIN(U169+V169,'Debt strategy'!$E$12)</x:f>
        <x:v>0</x:v>
      </x:c>
      <x:c r="X169" s="27" t="n">
        <x:f>IF(U169+V169-W169&lt;=0,99,1+SUM(IF(AND(C169+D169-E169&gt;0,OR(C169+D169-E169&lt;U169+V169-W169,AND(C169+D169-E169=U169+V169-W169,0&lt;3))),1,0),IF(AND(I169+J169-K169&gt;0,OR(I169+J169-K169&lt;U169+V169-W169,AND(I169+J169-K169=U169+V169-W169,1&lt;3))),1,0),IF(AND(O169+P169-Q169&gt;0,OR(O169+P169-Q169&lt;U169+V169-W169,AND(O169+P169-Q169=U169+V169-W169,2&lt;3))),1,0),IF(AND(AA169+AB169-AC169&gt;0,OR(AA169+AB169-AC169&lt;U169+V169-W169,AND(AA169+AB169-AC169=U169+V169-W169,4&lt;3))),1,0)))</x:f>
        <x:v>99</x:v>
      </x:c>
      <x:c r="Y169" s="6" t="n">
        <x:f>IF('Debt strategy'!$C$16&gt;0,0,MIN(U169+V169-W169,MAX(0,'Debt strategy'!$C$5-SUM(E169,K169,Q169,W169,AC169)-SUM(IF(F169&lt;X169,C169+D169-E169,0),IF(L169&lt;X169,I169+J169-K169,0),IF(R169&lt;X169,O169+P169-Q169,0),IF(AD169&lt;X169,AA169+AB169-AC169,0)))))</x:f>
        <x:v>0</x:v>
      </x:c>
      <x:c r="Z169" s="6" t="n">
        <x:f>ROUND(MAX(0,U169+V169-W169-Y169),2)</x:f>
        <x:v>0</x:v>
      </x:c>
      <x:c r="AA169" s="6" t="n">
        <x:f>AF168</x:f>
        <x:v>0</x:v>
      </x:c>
      <x:c r="AB169" s="6" t="n">
        <x:f>ROUND(AA169*'Debt strategy'!$D$13/12,2)</x:f>
        <x:v>0</x:v>
      </x:c>
      <x:c r="AC169" s="6" t="n">
        <x:f>MIN(AA169+AB169,'Debt strategy'!$E$13)</x:f>
        <x:v>0</x:v>
      </x:c>
      <x:c r="AD169" s="27" t="n">
        <x:f>IF(AA169+AB169-AC169&lt;=0,99,1+SUM(IF(AND(C169+D169-E169&gt;0,OR(C169+D169-E169&lt;AA169+AB169-AC169,AND(C169+D169-E169=AA169+AB169-AC169,0&lt;4))),1,0),IF(AND(I169+J169-K169&gt;0,OR(I169+J169-K169&lt;AA169+AB169-AC169,AND(I169+J169-K169=AA169+AB169-AC169,1&lt;4))),1,0),IF(AND(O169+P169-Q169&gt;0,OR(O169+P169-Q169&lt;AA169+AB169-AC169,AND(O169+P169-Q169=AA169+AB169-AC169,2&lt;4))),1,0),IF(AND(U169+V169-W169&gt;0,OR(U169+V169-W169&lt;AA169+AB169-AC169,AND(U169+V169-W169=AA169+AB169-AC169,3&lt;4))),1,0)))</x:f>
        <x:v>99</x:v>
      </x:c>
      <x:c r="AE169" s="6" t="n">
        <x:f>IF('Debt strategy'!$C$16&gt;0,0,MIN(AA169+AB169-AC169,MAX(0,'Debt strategy'!$C$5-SUM(E169,K169,Q169,W169,AC169)-SUM(IF(F169&lt;AD169,C169+D169-E169,0),IF(L169&lt;AD169,I169+J169-K169,0),IF(R169&lt;AD169,O169+P169-Q169,0),IF(X169&lt;AD169,U169+V169-W169,0)))))</x:f>
        <x:v>0</x:v>
      </x:c>
      <x:c r="AF169" s="6" t="n">
        <x:f>ROUND(MAX(0,AA169+AB169-AC169-AE169),2)</x:f>
        <x:v>0</x:v>
      </x:c>
      <x:c r="AG169" s="6" t="n">
        <x:f>SUM(H169,N169,T169,Z169,AF169)</x:f>
        <x:v>0</x:v>
      </x:c>
      <x:c r="AH169" s="6" t="n">
        <x:f>SUM(D169,J169,P169,V169,AB169)+AH168</x:f>
        <x:v>1353.9499999999996</x:v>
      </x:c>
      <x:c r="AI169" s="2"/>
    </x:row>
    <x:row r="170" ht="23" customHeight="1">
      <x:c r="B170" s="2" t="n">
        <x:f>162</x:f>
        <x:v>162</x:v>
      </x:c>
      <x:c r="C170" s="6" t="n">
        <x:f>H169</x:f>
        <x:v>0</x:v>
      </x:c>
      <x:c r="D170" s="6" t="n">
        <x:f>ROUND(C170*'Debt strategy'!$D$9/12,2)</x:f>
        <x:v>0</x:v>
      </x:c>
      <x:c r="E170" s="6" t="n">
        <x:f>MIN(C170+D170,'Debt strategy'!$E$9)</x:f>
        <x:v>0</x:v>
      </x:c>
      <x:c r="F170" s="27" t="n">
        <x:f>IF(C170+D170-E170&lt;=0,99,1+SUM(IF(AND(I170+J170-K170&gt;0,OR(I170+J170-K170&lt;C170+D170-E170,AND(I170+J170-K170=C170+D170-E170,1&lt;0))),1,0),IF(AND(O170+P170-Q170&gt;0,OR(O170+P170-Q170&lt;C170+D170-E170,AND(O170+P170-Q170=C170+D170-E170,2&lt;0))),1,0),IF(AND(U170+V170-W170&gt;0,OR(U170+V170-W170&lt;C170+D170-E170,AND(U170+V170-W170=C170+D170-E170,3&lt;0))),1,0),IF(AND(AA170+AB170-AC170&gt;0,OR(AA170+AB170-AC170&lt;C170+D170-E170,AND(AA170+AB170-AC170=C170+D170-E170,4&lt;0))),1,0)))</x:f>
        <x:v>99</x:v>
      </x:c>
      <x:c r="G170" s="6" t="n">
        <x:f>IF('Debt strategy'!$C$16&gt;0,0,MIN(C170+D170-E170,MAX(0,'Debt strategy'!$C$5-SUM(E170,K170,Q170,W170,AC170)-SUM(IF(L170&lt;F170,I170+J170-K170,0),IF(R170&lt;F170,O170+P170-Q170,0),IF(X170&lt;F170,U170+V170-W170,0),IF(AD170&lt;F170,AA170+AB170-AC170,0)))))</x:f>
        <x:v>0</x:v>
      </x:c>
      <x:c r="H170" s="6" t="n">
        <x:f>ROUND(MAX(0,C170+D170-E170-G170),2)</x:f>
        <x:v>0</x:v>
      </x:c>
      <x:c r="I170" s="6" t="n">
        <x:f>N169</x:f>
        <x:v>0</x:v>
      </x:c>
      <x:c r="J170" s="6" t="n">
        <x:f>ROUND(I170*'Debt strategy'!$D$10/12,2)</x:f>
        <x:v>0</x:v>
      </x:c>
      <x:c r="K170" s="6" t="n">
        <x:f>MIN(I170+J170,'Debt strategy'!$E$10)</x:f>
        <x:v>0</x:v>
      </x:c>
      <x:c r="L170" s="27" t="n">
        <x:f>IF(I170+J170-K170&lt;=0,99,1+SUM(IF(AND(C170+D170-E170&gt;0,OR(C170+D170-E170&lt;I170+J170-K170,AND(C170+D170-E170=I170+J170-K170,0&lt;1))),1,0),IF(AND(O170+P170-Q170&gt;0,OR(O170+P170-Q170&lt;I170+J170-K170,AND(O170+P170-Q170=I170+J170-K170,2&lt;1))),1,0),IF(AND(U170+V170-W170&gt;0,OR(U170+V170-W170&lt;I170+J170-K170,AND(U170+V170-W170=I170+J170-K170,3&lt;1))),1,0),IF(AND(AA170+AB170-AC170&gt;0,OR(AA170+AB170-AC170&lt;I170+J170-K170,AND(AA170+AB170-AC170=I170+J170-K170,4&lt;1))),1,0)))</x:f>
        <x:v>99</x:v>
      </x:c>
      <x:c r="M170" s="6" t="n">
        <x:f>IF('Debt strategy'!$C$16&gt;0,0,MIN(I170+J170-K170,MAX(0,'Debt strategy'!$C$5-SUM(E170,K170,Q170,W170,AC170)-SUM(IF(F170&lt;L170,C170+D170-E170,0),IF(R170&lt;L170,O170+P170-Q170,0),IF(X170&lt;L170,U170+V170-W170,0),IF(AD170&lt;L170,AA170+AB170-AC170,0)))))</x:f>
        <x:v>0</x:v>
      </x:c>
      <x:c r="N170" s="6" t="n">
        <x:f>ROUND(MAX(0,I170+J170-K170-M170),2)</x:f>
        <x:v>0</x:v>
      </x:c>
      <x:c r="O170" s="6" t="n">
        <x:f>T169</x:f>
        <x:v>0</x:v>
      </x:c>
      <x:c r="P170" s="6" t="n">
        <x:f>ROUND(O170*'Debt strategy'!$D$11/12,2)</x:f>
        <x:v>0</x:v>
      </x:c>
      <x:c r="Q170" s="6" t="n">
        <x:f>MIN(O170+P170,'Debt strategy'!$E$11)</x:f>
        <x:v>0</x:v>
      </x:c>
      <x:c r="R170" s="27" t="n">
        <x:f>IF(O170+P170-Q170&lt;=0,99,1+SUM(IF(AND(C170+D170-E170&gt;0,OR(C170+D170-E170&lt;O170+P170-Q170,AND(C170+D170-E170=O170+P170-Q170,0&lt;2))),1,0),IF(AND(I170+J170-K170&gt;0,OR(I170+J170-K170&lt;O170+P170-Q170,AND(I170+J170-K170=O170+P170-Q170,1&lt;2))),1,0),IF(AND(U170+V170-W170&gt;0,OR(U170+V170-W170&lt;O170+P170-Q170,AND(U170+V170-W170=O170+P170-Q170,3&lt;2))),1,0),IF(AND(AA170+AB170-AC170&gt;0,OR(AA170+AB170-AC170&lt;O170+P170-Q170,AND(AA170+AB170-AC170=O170+P170-Q170,4&lt;2))),1,0)))</x:f>
        <x:v>99</x:v>
      </x:c>
      <x:c r="S170" s="6" t="n">
        <x:f>IF('Debt strategy'!$C$16&gt;0,0,MIN(O170+P170-Q170,MAX(0,'Debt strategy'!$C$5-SUM(E170,K170,Q170,W170,AC170)-SUM(IF(F170&lt;R170,C170+D170-E170,0),IF(L170&lt;R170,I170+J170-K170,0),IF(X170&lt;R170,U170+V170-W170,0),IF(AD170&lt;R170,AA170+AB170-AC170,0)))))</x:f>
        <x:v>0</x:v>
      </x:c>
      <x:c r="T170" s="6" t="n">
        <x:f>ROUND(MAX(0,O170+P170-Q170-S170),2)</x:f>
        <x:v>0</x:v>
      </x:c>
      <x:c r="U170" s="6" t="n">
        <x:f>Z169</x:f>
        <x:v>0</x:v>
      </x:c>
      <x:c r="V170" s="6" t="n">
        <x:f>ROUND(U170*'Debt strategy'!$D$12/12,2)</x:f>
        <x:v>0</x:v>
      </x:c>
      <x:c r="W170" s="6" t="n">
        <x:f>MIN(U170+V170,'Debt strategy'!$E$12)</x:f>
        <x:v>0</x:v>
      </x:c>
      <x:c r="X170" s="27" t="n">
        <x:f>IF(U170+V170-W170&lt;=0,99,1+SUM(IF(AND(C170+D170-E170&gt;0,OR(C170+D170-E170&lt;U170+V170-W170,AND(C170+D170-E170=U170+V170-W170,0&lt;3))),1,0),IF(AND(I170+J170-K170&gt;0,OR(I170+J170-K170&lt;U170+V170-W170,AND(I170+J170-K170=U170+V170-W170,1&lt;3))),1,0),IF(AND(O170+P170-Q170&gt;0,OR(O170+P170-Q170&lt;U170+V170-W170,AND(O170+P170-Q170=U170+V170-W170,2&lt;3))),1,0),IF(AND(AA170+AB170-AC170&gt;0,OR(AA170+AB170-AC170&lt;U170+V170-W170,AND(AA170+AB170-AC170=U170+V170-W170,4&lt;3))),1,0)))</x:f>
        <x:v>99</x:v>
      </x:c>
      <x:c r="Y170" s="6" t="n">
        <x:f>IF('Debt strategy'!$C$16&gt;0,0,MIN(U170+V170-W170,MAX(0,'Debt strategy'!$C$5-SUM(E170,K170,Q170,W170,AC170)-SUM(IF(F170&lt;X170,C170+D170-E170,0),IF(L170&lt;X170,I170+J170-K170,0),IF(R170&lt;X170,O170+P170-Q170,0),IF(AD170&lt;X170,AA170+AB170-AC170,0)))))</x:f>
        <x:v>0</x:v>
      </x:c>
      <x:c r="Z170" s="6" t="n">
        <x:f>ROUND(MAX(0,U170+V170-W170-Y170),2)</x:f>
        <x:v>0</x:v>
      </x:c>
      <x:c r="AA170" s="6" t="n">
        <x:f>AF169</x:f>
        <x:v>0</x:v>
      </x:c>
      <x:c r="AB170" s="6" t="n">
        <x:f>ROUND(AA170*'Debt strategy'!$D$13/12,2)</x:f>
        <x:v>0</x:v>
      </x:c>
      <x:c r="AC170" s="6" t="n">
        <x:f>MIN(AA170+AB170,'Debt strategy'!$E$13)</x:f>
        <x:v>0</x:v>
      </x:c>
      <x:c r="AD170" s="27" t="n">
        <x:f>IF(AA170+AB170-AC170&lt;=0,99,1+SUM(IF(AND(C170+D170-E170&gt;0,OR(C170+D170-E170&lt;AA170+AB170-AC170,AND(C170+D170-E170=AA170+AB170-AC170,0&lt;4))),1,0),IF(AND(I170+J170-K170&gt;0,OR(I170+J170-K170&lt;AA170+AB170-AC170,AND(I170+J170-K170=AA170+AB170-AC170,1&lt;4))),1,0),IF(AND(O170+P170-Q170&gt;0,OR(O170+P170-Q170&lt;AA170+AB170-AC170,AND(O170+P170-Q170=AA170+AB170-AC170,2&lt;4))),1,0),IF(AND(U170+V170-W170&gt;0,OR(U170+V170-W170&lt;AA170+AB170-AC170,AND(U170+V170-W170=AA170+AB170-AC170,3&lt;4))),1,0)))</x:f>
        <x:v>99</x:v>
      </x:c>
      <x:c r="AE170" s="6" t="n">
        <x:f>IF('Debt strategy'!$C$16&gt;0,0,MIN(AA170+AB170-AC170,MAX(0,'Debt strategy'!$C$5-SUM(E170,K170,Q170,W170,AC170)-SUM(IF(F170&lt;AD170,C170+D170-E170,0),IF(L170&lt;AD170,I170+J170-K170,0),IF(R170&lt;AD170,O170+P170-Q170,0),IF(X170&lt;AD170,U170+V170-W170,0)))))</x:f>
        <x:v>0</x:v>
      </x:c>
      <x:c r="AF170" s="6" t="n">
        <x:f>ROUND(MAX(0,AA170+AB170-AC170-AE170),2)</x:f>
        <x:v>0</x:v>
      </x:c>
      <x:c r="AG170" s="6" t="n">
        <x:f>SUM(H170,N170,T170,Z170,AF170)</x:f>
        <x:v>0</x:v>
      </x:c>
      <x:c r="AH170" s="6" t="n">
        <x:f>SUM(D170,J170,P170,V170,AB170)+AH169</x:f>
        <x:v>1353.9499999999996</x:v>
      </x:c>
      <x:c r="AI170" s="2"/>
    </x:row>
    <x:row r="171" ht="23" customHeight="1">
      <x:c r="B171" s="2" t="n">
        <x:f>163</x:f>
        <x:v>163</x:v>
      </x:c>
      <x:c r="C171" s="6" t="n">
        <x:f>H170</x:f>
        <x:v>0</x:v>
      </x:c>
      <x:c r="D171" s="6" t="n">
        <x:f>ROUND(C171*'Debt strategy'!$D$9/12,2)</x:f>
        <x:v>0</x:v>
      </x:c>
      <x:c r="E171" s="6" t="n">
        <x:f>MIN(C171+D171,'Debt strategy'!$E$9)</x:f>
        <x:v>0</x:v>
      </x:c>
      <x:c r="F171" s="27" t="n">
        <x:f>IF(C171+D171-E171&lt;=0,99,1+SUM(IF(AND(I171+J171-K171&gt;0,OR(I171+J171-K171&lt;C171+D171-E171,AND(I171+J171-K171=C171+D171-E171,1&lt;0))),1,0),IF(AND(O171+P171-Q171&gt;0,OR(O171+P171-Q171&lt;C171+D171-E171,AND(O171+P171-Q171=C171+D171-E171,2&lt;0))),1,0),IF(AND(U171+V171-W171&gt;0,OR(U171+V171-W171&lt;C171+D171-E171,AND(U171+V171-W171=C171+D171-E171,3&lt;0))),1,0),IF(AND(AA171+AB171-AC171&gt;0,OR(AA171+AB171-AC171&lt;C171+D171-E171,AND(AA171+AB171-AC171=C171+D171-E171,4&lt;0))),1,0)))</x:f>
        <x:v>99</x:v>
      </x:c>
      <x:c r="G171" s="6" t="n">
        <x:f>IF('Debt strategy'!$C$16&gt;0,0,MIN(C171+D171-E171,MAX(0,'Debt strategy'!$C$5-SUM(E171,K171,Q171,W171,AC171)-SUM(IF(L171&lt;F171,I171+J171-K171,0),IF(R171&lt;F171,O171+P171-Q171,0),IF(X171&lt;F171,U171+V171-W171,0),IF(AD171&lt;F171,AA171+AB171-AC171,0)))))</x:f>
        <x:v>0</x:v>
      </x:c>
      <x:c r="H171" s="6" t="n">
        <x:f>ROUND(MAX(0,C171+D171-E171-G171),2)</x:f>
        <x:v>0</x:v>
      </x:c>
      <x:c r="I171" s="6" t="n">
        <x:f>N170</x:f>
        <x:v>0</x:v>
      </x:c>
      <x:c r="J171" s="6" t="n">
        <x:f>ROUND(I171*'Debt strategy'!$D$10/12,2)</x:f>
        <x:v>0</x:v>
      </x:c>
      <x:c r="K171" s="6" t="n">
        <x:f>MIN(I171+J171,'Debt strategy'!$E$10)</x:f>
        <x:v>0</x:v>
      </x:c>
      <x:c r="L171" s="27" t="n">
        <x:f>IF(I171+J171-K171&lt;=0,99,1+SUM(IF(AND(C171+D171-E171&gt;0,OR(C171+D171-E171&lt;I171+J171-K171,AND(C171+D171-E171=I171+J171-K171,0&lt;1))),1,0),IF(AND(O171+P171-Q171&gt;0,OR(O171+P171-Q171&lt;I171+J171-K171,AND(O171+P171-Q171=I171+J171-K171,2&lt;1))),1,0),IF(AND(U171+V171-W171&gt;0,OR(U171+V171-W171&lt;I171+J171-K171,AND(U171+V171-W171=I171+J171-K171,3&lt;1))),1,0),IF(AND(AA171+AB171-AC171&gt;0,OR(AA171+AB171-AC171&lt;I171+J171-K171,AND(AA171+AB171-AC171=I171+J171-K171,4&lt;1))),1,0)))</x:f>
        <x:v>99</x:v>
      </x:c>
      <x:c r="M171" s="6" t="n">
        <x:f>IF('Debt strategy'!$C$16&gt;0,0,MIN(I171+J171-K171,MAX(0,'Debt strategy'!$C$5-SUM(E171,K171,Q171,W171,AC171)-SUM(IF(F171&lt;L171,C171+D171-E171,0),IF(R171&lt;L171,O171+P171-Q171,0),IF(X171&lt;L171,U171+V171-W171,0),IF(AD171&lt;L171,AA171+AB171-AC171,0)))))</x:f>
        <x:v>0</x:v>
      </x:c>
      <x:c r="N171" s="6" t="n">
        <x:f>ROUND(MAX(0,I171+J171-K171-M171),2)</x:f>
        <x:v>0</x:v>
      </x:c>
      <x:c r="O171" s="6" t="n">
        <x:f>T170</x:f>
        <x:v>0</x:v>
      </x:c>
      <x:c r="P171" s="6" t="n">
        <x:f>ROUND(O171*'Debt strategy'!$D$11/12,2)</x:f>
        <x:v>0</x:v>
      </x:c>
      <x:c r="Q171" s="6" t="n">
        <x:f>MIN(O171+P171,'Debt strategy'!$E$11)</x:f>
        <x:v>0</x:v>
      </x:c>
      <x:c r="R171" s="27" t="n">
        <x:f>IF(O171+P171-Q171&lt;=0,99,1+SUM(IF(AND(C171+D171-E171&gt;0,OR(C171+D171-E171&lt;O171+P171-Q171,AND(C171+D171-E171=O171+P171-Q171,0&lt;2))),1,0),IF(AND(I171+J171-K171&gt;0,OR(I171+J171-K171&lt;O171+P171-Q171,AND(I171+J171-K171=O171+P171-Q171,1&lt;2))),1,0),IF(AND(U171+V171-W171&gt;0,OR(U171+V171-W171&lt;O171+P171-Q171,AND(U171+V171-W171=O171+P171-Q171,3&lt;2))),1,0),IF(AND(AA171+AB171-AC171&gt;0,OR(AA171+AB171-AC171&lt;O171+P171-Q171,AND(AA171+AB171-AC171=O171+P171-Q171,4&lt;2))),1,0)))</x:f>
        <x:v>99</x:v>
      </x:c>
      <x:c r="S171" s="6" t="n">
        <x:f>IF('Debt strategy'!$C$16&gt;0,0,MIN(O171+P171-Q171,MAX(0,'Debt strategy'!$C$5-SUM(E171,K171,Q171,W171,AC171)-SUM(IF(F171&lt;R171,C171+D171-E171,0),IF(L171&lt;R171,I171+J171-K171,0),IF(X171&lt;R171,U171+V171-W171,0),IF(AD171&lt;R171,AA171+AB171-AC171,0)))))</x:f>
        <x:v>0</x:v>
      </x:c>
      <x:c r="T171" s="6" t="n">
        <x:f>ROUND(MAX(0,O171+P171-Q171-S171),2)</x:f>
        <x:v>0</x:v>
      </x:c>
      <x:c r="U171" s="6" t="n">
        <x:f>Z170</x:f>
        <x:v>0</x:v>
      </x:c>
      <x:c r="V171" s="6" t="n">
        <x:f>ROUND(U171*'Debt strategy'!$D$12/12,2)</x:f>
        <x:v>0</x:v>
      </x:c>
      <x:c r="W171" s="6" t="n">
        <x:f>MIN(U171+V171,'Debt strategy'!$E$12)</x:f>
        <x:v>0</x:v>
      </x:c>
      <x:c r="X171" s="27" t="n">
        <x:f>IF(U171+V171-W171&lt;=0,99,1+SUM(IF(AND(C171+D171-E171&gt;0,OR(C171+D171-E171&lt;U171+V171-W171,AND(C171+D171-E171=U171+V171-W171,0&lt;3))),1,0),IF(AND(I171+J171-K171&gt;0,OR(I171+J171-K171&lt;U171+V171-W171,AND(I171+J171-K171=U171+V171-W171,1&lt;3))),1,0),IF(AND(O171+P171-Q171&gt;0,OR(O171+P171-Q171&lt;U171+V171-W171,AND(O171+P171-Q171=U171+V171-W171,2&lt;3))),1,0),IF(AND(AA171+AB171-AC171&gt;0,OR(AA171+AB171-AC171&lt;U171+V171-W171,AND(AA171+AB171-AC171=U171+V171-W171,4&lt;3))),1,0)))</x:f>
        <x:v>99</x:v>
      </x:c>
      <x:c r="Y171" s="6" t="n">
        <x:f>IF('Debt strategy'!$C$16&gt;0,0,MIN(U171+V171-W171,MAX(0,'Debt strategy'!$C$5-SUM(E171,K171,Q171,W171,AC171)-SUM(IF(F171&lt;X171,C171+D171-E171,0),IF(L171&lt;X171,I171+J171-K171,0),IF(R171&lt;X171,O171+P171-Q171,0),IF(AD171&lt;X171,AA171+AB171-AC171,0)))))</x:f>
        <x:v>0</x:v>
      </x:c>
      <x:c r="Z171" s="6" t="n">
        <x:f>ROUND(MAX(0,U171+V171-W171-Y171),2)</x:f>
        <x:v>0</x:v>
      </x:c>
      <x:c r="AA171" s="6" t="n">
        <x:f>AF170</x:f>
        <x:v>0</x:v>
      </x:c>
      <x:c r="AB171" s="6" t="n">
        <x:f>ROUND(AA171*'Debt strategy'!$D$13/12,2)</x:f>
        <x:v>0</x:v>
      </x:c>
      <x:c r="AC171" s="6" t="n">
        <x:f>MIN(AA171+AB171,'Debt strategy'!$E$13)</x:f>
        <x:v>0</x:v>
      </x:c>
      <x:c r="AD171" s="27" t="n">
        <x:f>IF(AA171+AB171-AC171&lt;=0,99,1+SUM(IF(AND(C171+D171-E171&gt;0,OR(C171+D171-E171&lt;AA171+AB171-AC171,AND(C171+D171-E171=AA171+AB171-AC171,0&lt;4))),1,0),IF(AND(I171+J171-K171&gt;0,OR(I171+J171-K171&lt;AA171+AB171-AC171,AND(I171+J171-K171=AA171+AB171-AC171,1&lt;4))),1,0),IF(AND(O171+P171-Q171&gt;0,OR(O171+P171-Q171&lt;AA171+AB171-AC171,AND(O171+P171-Q171=AA171+AB171-AC171,2&lt;4))),1,0),IF(AND(U171+V171-W171&gt;0,OR(U171+V171-W171&lt;AA171+AB171-AC171,AND(U171+V171-W171=AA171+AB171-AC171,3&lt;4))),1,0)))</x:f>
        <x:v>99</x:v>
      </x:c>
      <x:c r="AE171" s="6" t="n">
        <x:f>IF('Debt strategy'!$C$16&gt;0,0,MIN(AA171+AB171-AC171,MAX(0,'Debt strategy'!$C$5-SUM(E171,K171,Q171,W171,AC171)-SUM(IF(F171&lt;AD171,C171+D171-E171,0),IF(L171&lt;AD171,I171+J171-K171,0),IF(R171&lt;AD171,O171+P171-Q171,0),IF(X171&lt;AD171,U171+V171-W171,0)))))</x:f>
        <x:v>0</x:v>
      </x:c>
      <x:c r="AF171" s="6" t="n">
        <x:f>ROUND(MAX(0,AA171+AB171-AC171-AE171),2)</x:f>
        <x:v>0</x:v>
      </x:c>
      <x:c r="AG171" s="6" t="n">
        <x:f>SUM(H171,N171,T171,Z171,AF171)</x:f>
        <x:v>0</x:v>
      </x:c>
      <x:c r="AH171" s="6" t="n">
        <x:f>SUM(D171,J171,P171,V171,AB171)+AH170</x:f>
        <x:v>1353.9499999999996</x:v>
      </x:c>
      <x:c r="AI171" s="2"/>
    </x:row>
    <x:row r="172" ht="23" customHeight="1">
      <x:c r="B172" s="2" t="n">
        <x:f>164</x:f>
        <x:v>164</x:v>
      </x:c>
      <x:c r="C172" s="6" t="n">
        <x:f>H171</x:f>
        <x:v>0</x:v>
      </x:c>
      <x:c r="D172" s="6" t="n">
        <x:f>ROUND(C172*'Debt strategy'!$D$9/12,2)</x:f>
        <x:v>0</x:v>
      </x:c>
      <x:c r="E172" s="6" t="n">
        <x:f>MIN(C172+D172,'Debt strategy'!$E$9)</x:f>
        <x:v>0</x:v>
      </x:c>
      <x:c r="F172" s="27" t="n">
        <x:f>IF(C172+D172-E172&lt;=0,99,1+SUM(IF(AND(I172+J172-K172&gt;0,OR(I172+J172-K172&lt;C172+D172-E172,AND(I172+J172-K172=C172+D172-E172,1&lt;0))),1,0),IF(AND(O172+P172-Q172&gt;0,OR(O172+P172-Q172&lt;C172+D172-E172,AND(O172+P172-Q172=C172+D172-E172,2&lt;0))),1,0),IF(AND(U172+V172-W172&gt;0,OR(U172+V172-W172&lt;C172+D172-E172,AND(U172+V172-W172=C172+D172-E172,3&lt;0))),1,0),IF(AND(AA172+AB172-AC172&gt;0,OR(AA172+AB172-AC172&lt;C172+D172-E172,AND(AA172+AB172-AC172=C172+D172-E172,4&lt;0))),1,0)))</x:f>
        <x:v>99</x:v>
      </x:c>
      <x:c r="G172" s="6" t="n">
        <x:f>IF('Debt strategy'!$C$16&gt;0,0,MIN(C172+D172-E172,MAX(0,'Debt strategy'!$C$5-SUM(E172,K172,Q172,W172,AC172)-SUM(IF(L172&lt;F172,I172+J172-K172,0),IF(R172&lt;F172,O172+P172-Q172,0),IF(X172&lt;F172,U172+V172-W172,0),IF(AD172&lt;F172,AA172+AB172-AC172,0)))))</x:f>
        <x:v>0</x:v>
      </x:c>
      <x:c r="H172" s="6" t="n">
        <x:f>ROUND(MAX(0,C172+D172-E172-G172),2)</x:f>
        <x:v>0</x:v>
      </x:c>
      <x:c r="I172" s="6" t="n">
        <x:f>N171</x:f>
        <x:v>0</x:v>
      </x:c>
      <x:c r="J172" s="6" t="n">
        <x:f>ROUND(I172*'Debt strategy'!$D$10/12,2)</x:f>
        <x:v>0</x:v>
      </x:c>
      <x:c r="K172" s="6" t="n">
        <x:f>MIN(I172+J172,'Debt strategy'!$E$10)</x:f>
        <x:v>0</x:v>
      </x:c>
      <x:c r="L172" s="27" t="n">
        <x:f>IF(I172+J172-K172&lt;=0,99,1+SUM(IF(AND(C172+D172-E172&gt;0,OR(C172+D172-E172&lt;I172+J172-K172,AND(C172+D172-E172=I172+J172-K172,0&lt;1))),1,0),IF(AND(O172+P172-Q172&gt;0,OR(O172+P172-Q172&lt;I172+J172-K172,AND(O172+P172-Q172=I172+J172-K172,2&lt;1))),1,0),IF(AND(U172+V172-W172&gt;0,OR(U172+V172-W172&lt;I172+J172-K172,AND(U172+V172-W172=I172+J172-K172,3&lt;1))),1,0),IF(AND(AA172+AB172-AC172&gt;0,OR(AA172+AB172-AC172&lt;I172+J172-K172,AND(AA172+AB172-AC172=I172+J172-K172,4&lt;1))),1,0)))</x:f>
        <x:v>99</x:v>
      </x:c>
      <x:c r="M172" s="6" t="n">
        <x:f>IF('Debt strategy'!$C$16&gt;0,0,MIN(I172+J172-K172,MAX(0,'Debt strategy'!$C$5-SUM(E172,K172,Q172,W172,AC172)-SUM(IF(F172&lt;L172,C172+D172-E172,0),IF(R172&lt;L172,O172+P172-Q172,0),IF(X172&lt;L172,U172+V172-W172,0),IF(AD172&lt;L172,AA172+AB172-AC172,0)))))</x:f>
        <x:v>0</x:v>
      </x:c>
      <x:c r="N172" s="6" t="n">
        <x:f>ROUND(MAX(0,I172+J172-K172-M172),2)</x:f>
        <x:v>0</x:v>
      </x:c>
      <x:c r="O172" s="6" t="n">
        <x:f>T171</x:f>
        <x:v>0</x:v>
      </x:c>
      <x:c r="P172" s="6" t="n">
        <x:f>ROUND(O172*'Debt strategy'!$D$11/12,2)</x:f>
        <x:v>0</x:v>
      </x:c>
      <x:c r="Q172" s="6" t="n">
        <x:f>MIN(O172+P172,'Debt strategy'!$E$11)</x:f>
        <x:v>0</x:v>
      </x:c>
      <x:c r="R172" s="27" t="n">
        <x:f>IF(O172+P172-Q172&lt;=0,99,1+SUM(IF(AND(C172+D172-E172&gt;0,OR(C172+D172-E172&lt;O172+P172-Q172,AND(C172+D172-E172=O172+P172-Q172,0&lt;2))),1,0),IF(AND(I172+J172-K172&gt;0,OR(I172+J172-K172&lt;O172+P172-Q172,AND(I172+J172-K172=O172+P172-Q172,1&lt;2))),1,0),IF(AND(U172+V172-W172&gt;0,OR(U172+V172-W172&lt;O172+P172-Q172,AND(U172+V172-W172=O172+P172-Q172,3&lt;2))),1,0),IF(AND(AA172+AB172-AC172&gt;0,OR(AA172+AB172-AC172&lt;O172+P172-Q172,AND(AA172+AB172-AC172=O172+P172-Q172,4&lt;2))),1,0)))</x:f>
        <x:v>99</x:v>
      </x:c>
      <x:c r="S172" s="6" t="n">
        <x:f>IF('Debt strategy'!$C$16&gt;0,0,MIN(O172+P172-Q172,MAX(0,'Debt strategy'!$C$5-SUM(E172,K172,Q172,W172,AC172)-SUM(IF(F172&lt;R172,C172+D172-E172,0),IF(L172&lt;R172,I172+J172-K172,0),IF(X172&lt;R172,U172+V172-W172,0),IF(AD172&lt;R172,AA172+AB172-AC172,0)))))</x:f>
        <x:v>0</x:v>
      </x:c>
      <x:c r="T172" s="6" t="n">
        <x:f>ROUND(MAX(0,O172+P172-Q172-S172),2)</x:f>
        <x:v>0</x:v>
      </x:c>
      <x:c r="U172" s="6" t="n">
        <x:f>Z171</x:f>
        <x:v>0</x:v>
      </x:c>
      <x:c r="V172" s="6" t="n">
        <x:f>ROUND(U172*'Debt strategy'!$D$12/12,2)</x:f>
        <x:v>0</x:v>
      </x:c>
      <x:c r="W172" s="6" t="n">
        <x:f>MIN(U172+V172,'Debt strategy'!$E$12)</x:f>
        <x:v>0</x:v>
      </x:c>
      <x:c r="X172" s="27" t="n">
        <x:f>IF(U172+V172-W172&lt;=0,99,1+SUM(IF(AND(C172+D172-E172&gt;0,OR(C172+D172-E172&lt;U172+V172-W172,AND(C172+D172-E172=U172+V172-W172,0&lt;3))),1,0),IF(AND(I172+J172-K172&gt;0,OR(I172+J172-K172&lt;U172+V172-W172,AND(I172+J172-K172=U172+V172-W172,1&lt;3))),1,0),IF(AND(O172+P172-Q172&gt;0,OR(O172+P172-Q172&lt;U172+V172-W172,AND(O172+P172-Q172=U172+V172-W172,2&lt;3))),1,0),IF(AND(AA172+AB172-AC172&gt;0,OR(AA172+AB172-AC172&lt;U172+V172-W172,AND(AA172+AB172-AC172=U172+V172-W172,4&lt;3))),1,0)))</x:f>
        <x:v>99</x:v>
      </x:c>
      <x:c r="Y172" s="6" t="n">
        <x:f>IF('Debt strategy'!$C$16&gt;0,0,MIN(U172+V172-W172,MAX(0,'Debt strategy'!$C$5-SUM(E172,K172,Q172,W172,AC172)-SUM(IF(F172&lt;X172,C172+D172-E172,0),IF(L172&lt;X172,I172+J172-K172,0),IF(R172&lt;X172,O172+P172-Q172,0),IF(AD172&lt;X172,AA172+AB172-AC172,0)))))</x:f>
        <x:v>0</x:v>
      </x:c>
      <x:c r="Z172" s="6" t="n">
        <x:f>ROUND(MAX(0,U172+V172-W172-Y172),2)</x:f>
        <x:v>0</x:v>
      </x:c>
      <x:c r="AA172" s="6" t="n">
        <x:f>AF171</x:f>
        <x:v>0</x:v>
      </x:c>
      <x:c r="AB172" s="6" t="n">
        <x:f>ROUND(AA172*'Debt strategy'!$D$13/12,2)</x:f>
        <x:v>0</x:v>
      </x:c>
      <x:c r="AC172" s="6" t="n">
        <x:f>MIN(AA172+AB172,'Debt strategy'!$E$13)</x:f>
        <x:v>0</x:v>
      </x:c>
      <x:c r="AD172" s="27" t="n">
        <x:f>IF(AA172+AB172-AC172&lt;=0,99,1+SUM(IF(AND(C172+D172-E172&gt;0,OR(C172+D172-E172&lt;AA172+AB172-AC172,AND(C172+D172-E172=AA172+AB172-AC172,0&lt;4))),1,0),IF(AND(I172+J172-K172&gt;0,OR(I172+J172-K172&lt;AA172+AB172-AC172,AND(I172+J172-K172=AA172+AB172-AC172,1&lt;4))),1,0),IF(AND(O172+P172-Q172&gt;0,OR(O172+P172-Q172&lt;AA172+AB172-AC172,AND(O172+P172-Q172=AA172+AB172-AC172,2&lt;4))),1,0),IF(AND(U172+V172-W172&gt;0,OR(U172+V172-W172&lt;AA172+AB172-AC172,AND(U172+V172-W172=AA172+AB172-AC172,3&lt;4))),1,0)))</x:f>
        <x:v>99</x:v>
      </x:c>
      <x:c r="AE172" s="6" t="n">
        <x:f>IF('Debt strategy'!$C$16&gt;0,0,MIN(AA172+AB172-AC172,MAX(0,'Debt strategy'!$C$5-SUM(E172,K172,Q172,W172,AC172)-SUM(IF(F172&lt;AD172,C172+D172-E172,0),IF(L172&lt;AD172,I172+J172-K172,0),IF(R172&lt;AD172,O172+P172-Q172,0),IF(X172&lt;AD172,U172+V172-W172,0)))))</x:f>
        <x:v>0</x:v>
      </x:c>
      <x:c r="AF172" s="6" t="n">
        <x:f>ROUND(MAX(0,AA172+AB172-AC172-AE172),2)</x:f>
        <x:v>0</x:v>
      </x:c>
      <x:c r="AG172" s="6" t="n">
        <x:f>SUM(H172,N172,T172,Z172,AF172)</x:f>
        <x:v>0</x:v>
      </x:c>
      <x:c r="AH172" s="6" t="n">
        <x:f>SUM(D172,J172,P172,V172,AB172)+AH171</x:f>
        <x:v>1353.9499999999996</x:v>
      </x:c>
      <x:c r="AI172" s="2"/>
    </x:row>
    <x:row r="173" ht="23" customHeight="1">
      <x:c r="B173" s="2" t="n">
        <x:f>165</x:f>
        <x:v>165</x:v>
      </x:c>
      <x:c r="C173" s="6" t="n">
        <x:f>H172</x:f>
        <x:v>0</x:v>
      </x:c>
      <x:c r="D173" s="6" t="n">
        <x:f>ROUND(C173*'Debt strategy'!$D$9/12,2)</x:f>
        <x:v>0</x:v>
      </x:c>
      <x:c r="E173" s="6" t="n">
        <x:f>MIN(C173+D173,'Debt strategy'!$E$9)</x:f>
        <x:v>0</x:v>
      </x:c>
      <x:c r="F173" s="27" t="n">
        <x:f>IF(C173+D173-E173&lt;=0,99,1+SUM(IF(AND(I173+J173-K173&gt;0,OR(I173+J173-K173&lt;C173+D173-E173,AND(I173+J173-K173=C173+D173-E173,1&lt;0))),1,0),IF(AND(O173+P173-Q173&gt;0,OR(O173+P173-Q173&lt;C173+D173-E173,AND(O173+P173-Q173=C173+D173-E173,2&lt;0))),1,0),IF(AND(U173+V173-W173&gt;0,OR(U173+V173-W173&lt;C173+D173-E173,AND(U173+V173-W173=C173+D173-E173,3&lt;0))),1,0),IF(AND(AA173+AB173-AC173&gt;0,OR(AA173+AB173-AC173&lt;C173+D173-E173,AND(AA173+AB173-AC173=C173+D173-E173,4&lt;0))),1,0)))</x:f>
        <x:v>99</x:v>
      </x:c>
      <x:c r="G173" s="6" t="n">
        <x:f>IF('Debt strategy'!$C$16&gt;0,0,MIN(C173+D173-E173,MAX(0,'Debt strategy'!$C$5-SUM(E173,K173,Q173,W173,AC173)-SUM(IF(L173&lt;F173,I173+J173-K173,0),IF(R173&lt;F173,O173+P173-Q173,0),IF(X173&lt;F173,U173+V173-W173,0),IF(AD173&lt;F173,AA173+AB173-AC173,0)))))</x:f>
        <x:v>0</x:v>
      </x:c>
      <x:c r="H173" s="6" t="n">
        <x:f>ROUND(MAX(0,C173+D173-E173-G173),2)</x:f>
        <x:v>0</x:v>
      </x:c>
      <x:c r="I173" s="6" t="n">
        <x:f>N172</x:f>
        <x:v>0</x:v>
      </x:c>
      <x:c r="J173" s="6" t="n">
        <x:f>ROUND(I173*'Debt strategy'!$D$10/12,2)</x:f>
        <x:v>0</x:v>
      </x:c>
      <x:c r="K173" s="6" t="n">
        <x:f>MIN(I173+J173,'Debt strategy'!$E$10)</x:f>
        <x:v>0</x:v>
      </x:c>
      <x:c r="L173" s="27" t="n">
        <x:f>IF(I173+J173-K173&lt;=0,99,1+SUM(IF(AND(C173+D173-E173&gt;0,OR(C173+D173-E173&lt;I173+J173-K173,AND(C173+D173-E173=I173+J173-K173,0&lt;1))),1,0),IF(AND(O173+P173-Q173&gt;0,OR(O173+P173-Q173&lt;I173+J173-K173,AND(O173+P173-Q173=I173+J173-K173,2&lt;1))),1,0),IF(AND(U173+V173-W173&gt;0,OR(U173+V173-W173&lt;I173+J173-K173,AND(U173+V173-W173=I173+J173-K173,3&lt;1))),1,0),IF(AND(AA173+AB173-AC173&gt;0,OR(AA173+AB173-AC173&lt;I173+J173-K173,AND(AA173+AB173-AC173=I173+J173-K173,4&lt;1))),1,0)))</x:f>
        <x:v>99</x:v>
      </x:c>
      <x:c r="M173" s="6" t="n">
        <x:f>IF('Debt strategy'!$C$16&gt;0,0,MIN(I173+J173-K173,MAX(0,'Debt strategy'!$C$5-SUM(E173,K173,Q173,W173,AC173)-SUM(IF(F173&lt;L173,C173+D173-E173,0),IF(R173&lt;L173,O173+P173-Q173,0),IF(X173&lt;L173,U173+V173-W173,0),IF(AD173&lt;L173,AA173+AB173-AC173,0)))))</x:f>
        <x:v>0</x:v>
      </x:c>
      <x:c r="N173" s="6" t="n">
        <x:f>ROUND(MAX(0,I173+J173-K173-M173),2)</x:f>
        <x:v>0</x:v>
      </x:c>
      <x:c r="O173" s="6" t="n">
        <x:f>T172</x:f>
        <x:v>0</x:v>
      </x:c>
      <x:c r="P173" s="6" t="n">
        <x:f>ROUND(O173*'Debt strategy'!$D$11/12,2)</x:f>
        <x:v>0</x:v>
      </x:c>
      <x:c r="Q173" s="6" t="n">
        <x:f>MIN(O173+P173,'Debt strategy'!$E$11)</x:f>
        <x:v>0</x:v>
      </x:c>
      <x:c r="R173" s="27" t="n">
        <x:f>IF(O173+P173-Q173&lt;=0,99,1+SUM(IF(AND(C173+D173-E173&gt;0,OR(C173+D173-E173&lt;O173+P173-Q173,AND(C173+D173-E173=O173+P173-Q173,0&lt;2))),1,0),IF(AND(I173+J173-K173&gt;0,OR(I173+J173-K173&lt;O173+P173-Q173,AND(I173+J173-K173=O173+P173-Q173,1&lt;2))),1,0),IF(AND(U173+V173-W173&gt;0,OR(U173+V173-W173&lt;O173+P173-Q173,AND(U173+V173-W173=O173+P173-Q173,3&lt;2))),1,0),IF(AND(AA173+AB173-AC173&gt;0,OR(AA173+AB173-AC173&lt;O173+P173-Q173,AND(AA173+AB173-AC173=O173+P173-Q173,4&lt;2))),1,0)))</x:f>
        <x:v>99</x:v>
      </x:c>
      <x:c r="S173" s="6" t="n">
        <x:f>IF('Debt strategy'!$C$16&gt;0,0,MIN(O173+P173-Q173,MAX(0,'Debt strategy'!$C$5-SUM(E173,K173,Q173,W173,AC173)-SUM(IF(F173&lt;R173,C173+D173-E173,0),IF(L173&lt;R173,I173+J173-K173,0),IF(X173&lt;R173,U173+V173-W173,0),IF(AD173&lt;R173,AA173+AB173-AC173,0)))))</x:f>
        <x:v>0</x:v>
      </x:c>
      <x:c r="T173" s="6" t="n">
        <x:f>ROUND(MAX(0,O173+P173-Q173-S173),2)</x:f>
        <x:v>0</x:v>
      </x:c>
      <x:c r="U173" s="6" t="n">
        <x:f>Z172</x:f>
        <x:v>0</x:v>
      </x:c>
      <x:c r="V173" s="6" t="n">
        <x:f>ROUND(U173*'Debt strategy'!$D$12/12,2)</x:f>
        <x:v>0</x:v>
      </x:c>
      <x:c r="W173" s="6" t="n">
        <x:f>MIN(U173+V173,'Debt strategy'!$E$12)</x:f>
        <x:v>0</x:v>
      </x:c>
      <x:c r="X173" s="27" t="n">
        <x:f>IF(U173+V173-W173&lt;=0,99,1+SUM(IF(AND(C173+D173-E173&gt;0,OR(C173+D173-E173&lt;U173+V173-W173,AND(C173+D173-E173=U173+V173-W173,0&lt;3))),1,0),IF(AND(I173+J173-K173&gt;0,OR(I173+J173-K173&lt;U173+V173-W173,AND(I173+J173-K173=U173+V173-W173,1&lt;3))),1,0),IF(AND(O173+P173-Q173&gt;0,OR(O173+P173-Q173&lt;U173+V173-W173,AND(O173+P173-Q173=U173+V173-W173,2&lt;3))),1,0),IF(AND(AA173+AB173-AC173&gt;0,OR(AA173+AB173-AC173&lt;U173+V173-W173,AND(AA173+AB173-AC173=U173+V173-W173,4&lt;3))),1,0)))</x:f>
        <x:v>99</x:v>
      </x:c>
      <x:c r="Y173" s="6" t="n">
        <x:f>IF('Debt strategy'!$C$16&gt;0,0,MIN(U173+V173-W173,MAX(0,'Debt strategy'!$C$5-SUM(E173,K173,Q173,W173,AC173)-SUM(IF(F173&lt;X173,C173+D173-E173,0),IF(L173&lt;X173,I173+J173-K173,0),IF(R173&lt;X173,O173+P173-Q173,0),IF(AD173&lt;X173,AA173+AB173-AC173,0)))))</x:f>
        <x:v>0</x:v>
      </x:c>
      <x:c r="Z173" s="6" t="n">
        <x:f>ROUND(MAX(0,U173+V173-W173-Y173),2)</x:f>
        <x:v>0</x:v>
      </x:c>
      <x:c r="AA173" s="6" t="n">
        <x:f>AF172</x:f>
        <x:v>0</x:v>
      </x:c>
      <x:c r="AB173" s="6" t="n">
        <x:f>ROUND(AA173*'Debt strategy'!$D$13/12,2)</x:f>
        <x:v>0</x:v>
      </x:c>
      <x:c r="AC173" s="6" t="n">
        <x:f>MIN(AA173+AB173,'Debt strategy'!$E$13)</x:f>
        <x:v>0</x:v>
      </x:c>
      <x:c r="AD173" s="27" t="n">
        <x:f>IF(AA173+AB173-AC173&lt;=0,99,1+SUM(IF(AND(C173+D173-E173&gt;0,OR(C173+D173-E173&lt;AA173+AB173-AC173,AND(C173+D173-E173=AA173+AB173-AC173,0&lt;4))),1,0),IF(AND(I173+J173-K173&gt;0,OR(I173+J173-K173&lt;AA173+AB173-AC173,AND(I173+J173-K173=AA173+AB173-AC173,1&lt;4))),1,0),IF(AND(O173+P173-Q173&gt;0,OR(O173+P173-Q173&lt;AA173+AB173-AC173,AND(O173+P173-Q173=AA173+AB173-AC173,2&lt;4))),1,0),IF(AND(U173+V173-W173&gt;0,OR(U173+V173-W173&lt;AA173+AB173-AC173,AND(U173+V173-W173=AA173+AB173-AC173,3&lt;4))),1,0)))</x:f>
        <x:v>99</x:v>
      </x:c>
      <x:c r="AE173" s="6" t="n">
        <x:f>IF('Debt strategy'!$C$16&gt;0,0,MIN(AA173+AB173-AC173,MAX(0,'Debt strategy'!$C$5-SUM(E173,K173,Q173,W173,AC173)-SUM(IF(F173&lt;AD173,C173+D173-E173,0),IF(L173&lt;AD173,I173+J173-K173,0),IF(R173&lt;AD173,O173+P173-Q173,0),IF(X173&lt;AD173,U173+V173-W173,0)))))</x:f>
        <x:v>0</x:v>
      </x:c>
      <x:c r="AF173" s="6" t="n">
        <x:f>ROUND(MAX(0,AA173+AB173-AC173-AE173),2)</x:f>
        <x:v>0</x:v>
      </x:c>
      <x:c r="AG173" s="6" t="n">
        <x:f>SUM(H173,N173,T173,Z173,AF173)</x:f>
        <x:v>0</x:v>
      </x:c>
      <x:c r="AH173" s="6" t="n">
        <x:f>SUM(D173,J173,P173,V173,AB173)+AH172</x:f>
        <x:v>1353.9499999999996</x:v>
      </x:c>
      <x:c r="AI173" s="2"/>
    </x:row>
    <x:row r="174" ht="23" customHeight="1">
      <x:c r="B174" s="2" t="n">
        <x:f>166</x:f>
        <x:v>166</x:v>
      </x:c>
      <x:c r="C174" s="6" t="n">
        <x:f>H173</x:f>
        <x:v>0</x:v>
      </x:c>
      <x:c r="D174" s="6" t="n">
        <x:f>ROUND(C174*'Debt strategy'!$D$9/12,2)</x:f>
        <x:v>0</x:v>
      </x:c>
      <x:c r="E174" s="6" t="n">
        <x:f>MIN(C174+D174,'Debt strategy'!$E$9)</x:f>
        <x:v>0</x:v>
      </x:c>
      <x:c r="F174" s="27" t="n">
        <x:f>IF(C174+D174-E174&lt;=0,99,1+SUM(IF(AND(I174+J174-K174&gt;0,OR(I174+J174-K174&lt;C174+D174-E174,AND(I174+J174-K174=C174+D174-E174,1&lt;0))),1,0),IF(AND(O174+P174-Q174&gt;0,OR(O174+P174-Q174&lt;C174+D174-E174,AND(O174+P174-Q174=C174+D174-E174,2&lt;0))),1,0),IF(AND(U174+V174-W174&gt;0,OR(U174+V174-W174&lt;C174+D174-E174,AND(U174+V174-W174=C174+D174-E174,3&lt;0))),1,0),IF(AND(AA174+AB174-AC174&gt;0,OR(AA174+AB174-AC174&lt;C174+D174-E174,AND(AA174+AB174-AC174=C174+D174-E174,4&lt;0))),1,0)))</x:f>
        <x:v>99</x:v>
      </x:c>
      <x:c r="G174" s="6" t="n">
        <x:f>IF('Debt strategy'!$C$16&gt;0,0,MIN(C174+D174-E174,MAX(0,'Debt strategy'!$C$5-SUM(E174,K174,Q174,W174,AC174)-SUM(IF(L174&lt;F174,I174+J174-K174,0),IF(R174&lt;F174,O174+P174-Q174,0),IF(X174&lt;F174,U174+V174-W174,0),IF(AD174&lt;F174,AA174+AB174-AC174,0)))))</x:f>
        <x:v>0</x:v>
      </x:c>
      <x:c r="H174" s="6" t="n">
        <x:f>ROUND(MAX(0,C174+D174-E174-G174),2)</x:f>
        <x:v>0</x:v>
      </x:c>
      <x:c r="I174" s="6" t="n">
        <x:f>N173</x:f>
        <x:v>0</x:v>
      </x:c>
      <x:c r="J174" s="6" t="n">
        <x:f>ROUND(I174*'Debt strategy'!$D$10/12,2)</x:f>
        <x:v>0</x:v>
      </x:c>
      <x:c r="K174" s="6" t="n">
        <x:f>MIN(I174+J174,'Debt strategy'!$E$10)</x:f>
        <x:v>0</x:v>
      </x:c>
      <x:c r="L174" s="27" t="n">
        <x:f>IF(I174+J174-K174&lt;=0,99,1+SUM(IF(AND(C174+D174-E174&gt;0,OR(C174+D174-E174&lt;I174+J174-K174,AND(C174+D174-E174=I174+J174-K174,0&lt;1))),1,0),IF(AND(O174+P174-Q174&gt;0,OR(O174+P174-Q174&lt;I174+J174-K174,AND(O174+P174-Q174=I174+J174-K174,2&lt;1))),1,0),IF(AND(U174+V174-W174&gt;0,OR(U174+V174-W174&lt;I174+J174-K174,AND(U174+V174-W174=I174+J174-K174,3&lt;1))),1,0),IF(AND(AA174+AB174-AC174&gt;0,OR(AA174+AB174-AC174&lt;I174+J174-K174,AND(AA174+AB174-AC174=I174+J174-K174,4&lt;1))),1,0)))</x:f>
        <x:v>99</x:v>
      </x:c>
      <x:c r="M174" s="6" t="n">
        <x:f>IF('Debt strategy'!$C$16&gt;0,0,MIN(I174+J174-K174,MAX(0,'Debt strategy'!$C$5-SUM(E174,K174,Q174,W174,AC174)-SUM(IF(F174&lt;L174,C174+D174-E174,0),IF(R174&lt;L174,O174+P174-Q174,0),IF(X174&lt;L174,U174+V174-W174,0),IF(AD174&lt;L174,AA174+AB174-AC174,0)))))</x:f>
        <x:v>0</x:v>
      </x:c>
      <x:c r="N174" s="6" t="n">
        <x:f>ROUND(MAX(0,I174+J174-K174-M174),2)</x:f>
        <x:v>0</x:v>
      </x:c>
      <x:c r="O174" s="6" t="n">
        <x:f>T173</x:f>
        <x:v>0</x:v>
      </x:c>
      <x:c r="P174" s="6" t="n">
        <x:f>ROUND(O174*'Debt strategy'!$D$11/12,2)</x:f>
        <x:v>0</x:v>
      </x:c>
      <x:c r="Q174" s="6" t="n">
        <x:f>MIN(O174+P174,'Debt strategy'!$E$11)</x:f>
        <x:v>0</x:v>
      </x:c>
      <x:c r="R174" s="27" t="n">
        <x:f>IF(O174+P174-Q174&lt;=0,99,1+SUM(IF(AND(C174+D174-E174&gt;0,OR(C174+D174-E174&lt;O174+P174-Q174,AND(C174+D174-E174=O174+P174-Q174,0&lt;2))),1,0),IF(AND(I174+J174-K174&gt;0,OR(I174+J174-K174&lt;O174+P174-Q174,AND(I174+J174-K174=O174+P174-Q174,1&lt;2))),1,0),IF(AND(U174+V174-W174&gt;0,OR(U174+V174-W174&lt;O174+P174-Q174,AND(U174+V174-W174=O174+P174-Q174,3&lt;2))),1,0),IF(AND(AA174+AB174-AC174&gt;0,OR(AA174+AB174-AC174&lt;O174+P174-Q174,AND(AA174+AB174-AC174=O174+P174-Q174,4&lt;2))),1,0)))</x:f>
        <x:v>99</x:v>
      </x:c>
      <x:c r="S174" s="6" t="n">
        <x:f>IF('Debt strategy'!$C$16&gt;0,0,MIN(O174+P174-Q174,MAX(0,'Debt strategy'!$C$5-SUM(E174,K174,Q174,W174,AC174)-SUM(IF(F174&lt;R174,C174+D174-E174,0),IF(L174&lt;R174,I174+J174-K174,0),IF(X174&lt;R174,U174+V174-W174,0),IF(AD174&lt;R174,AA174+AB174-AC174,0)))))</x:f>
        <x:v>0</x:v>
      </x:c>
      <x:c r="T174" s="6" t="n">
        <x:f>ROUND(MAX(0,O174+P174-Q174-S174),2)</x:f>
        <x:v>0</x:v>
      </x:c>
      <x:c r="U174" s="6" t="n">
        <x:f>Z173</x:f>
        <x:v>0</x:v>
      </x:c>
      <x:c r="V174" s="6" t="n">
        <x:f>ROUND(U174*'Debt strategy'!$D$12/12,2)</x:f>
        <x:v>0</x:v>
      </x:c>
      <x:c r="W174" s="6" t="n">
        <x:f>MIN(U174+V174,'Debt strategy'!$E$12)</x:f>
        <x:v>0</x:v>
      </x:c>
      <x:c r="X174" s="27" t="n">
        <x:f>IF(U174+V174-W174&lt;=0,99,1+SUM(IF(AND(C174+D174-E174&gt;0,OR(C174+D174-E174&lt;U174+V174-W174,AND(C174+D174-E174=U174+V174-W174,0&lt;3))),1,0),IF(AND(I174+J174-K174&gt;0,OR(I174+J174-K174&lt;U174+V174-W174,AND(I174+J174-K174=U174+V174-W174,1&lt;3))),1,0),IF(AND(O174+P174-Q174&gt;0,OR(O174+P174-Q174&lt;U174+V174-W174,AND(O174+P174-Q174=U174+V174-W174,2&lt;3))),1,0),IF(AND(AA174+AB174-AC174&gt;0,OR(AA174+AB174-AC174&lt;U174+V174-W174,AND(AA174+AB174-AC174=U174+V174-W174,4&lt;3))),1,0)))</x:f>
        <x:v>99</x:v>
      </x:c>
      <x:c r="Y174" s="6" t="n">
        <x:f>IF('Debt strategy'!$C$16&gt;0,0,MIN(U174+V174-W174,MAX(0,'Debt strategy'!$C$5-SUM(E174,K174,Q174,W174,AC174)-SUM(IF(F174&lt;X174,C174+D174-E174,0),IF(L174&lt;X174,I174+J174-K174,0),IF(R174&lt;X174,O174+P174-Q174,0),IF(AD174&lt;X174,AA174+AB174-AC174,0)))))</x:f>
        <x:v>0</x:v>
      </x:c>
      <x:c r="Z174" s="6" t="n">
        <x:f>ROUND(MAX(0,U174+V174-W174-Y174),2)</x:f>
        <x:v>0</x:v>
      </x:c>
      <x:c r="AA174" s="6" t="n">
        <x:f>AF173</x:f>
        <x:v>0</x:v>
      </x:c>
      <x:c r="AB174" s="6" t="n">
        <x:f>ROUND(AA174*'Debt strategy'!$D$13/12,2)</x:f>
        <x:v>0</x:v>
      </x:c>
      <x:c r="AC174" s="6" t="n">
        <x:f>MIN(AA174+AB174,'Debt strategy'!$E$13)</x:f>
        <x:v>0</x:v>
      </x:c>
      <x:c r="AD174" s="27" t="n">
        <x:f>IF(AA174+AB174-AC174&lt;=0,99,1+SUM(IF(AND(C174+D174-E174&gt;0,OR(C174+D174-E174&lt;AA174+AB174-AC174,AND(C174+D174-E174=AA174+AB174-AC174,0&lt;4))),1,0),IF(AND(I174+J174-K174&gt;0,OR(I174+J174-K174&lt;AA174+AB174-AC174,AND(I174+J174-K174=AA174+AB174-AC174,1&lt;4))),1,0),IF(AND(O174+P174-Q174&gt;0,OR(O174+P174-Q174&lt;AA174+AB174-AC174,AND(O174+P174-Q174=AA174+AB174-AC174,2&lt;4))),1,0),IF(AND(U174+V174-W174&gt;0,OR(U174+V174-W174&lt;AA174+AB174-AC174,AND(U174+V174-W174=AA174+AB174-AC174,3&lt;4))),1,0)))</x:f>
        <x:v>99</x:v>
      </x:c>
      <x:c r="AE174" s="6" t="n">
        <x:f>IF('Debt strategy'!$C$16&gt;0,0,MIN(AA174+AB174-AC174,MAX(0,'Debt strategy'!$C$5-SUM(E174,K174,Q174,W174,AC174)-SUM(IF(F174&lt;AD174,C174+D174-E174,0),IF(L174&lt;AD174,I174+J174-K174,0),IF(R174&lt;AD174,O174+P174-Q174,0),IF(X174&lt;AD174,U174+V174-W174,0)))))</x:f>
        <x:v>0</x:v>
      </x:c>
      <x:c r="AF174" s="6" t="n">
        <x:f>ROUND(MAX(0,AA174+AB174-AC174-AE174),2)</x:f>
        <x:v>0</x:v>
      </x:c>
      <x:c r="AG174" s="6" t="n">
        <x:f>SUM(H174,N174,T174,Z174,AF174)</x:f>
        <x:v>0</x:v>
      </x:c>
      <x:c r="AH174" s="6" t="n">
        <x:f>SUM(D174,J174,P174,V174,AB174)+AH173</x:f>
        <x:v>1353.9499999999996</x:v>
      </x:c>
      <x:c r="AI174" s="2"/>
    </x:row>
    <x:row r="175" ht="23" customHeight="1">
      <x:c r="B175" s="2" t="n">
        <x:f>167</x:f>
        <x:v>167</x:v>
      </x:c>
      <x:c r="C175" s="6" t="n">
        <x:f>H174</x:f>
        <x:v>0</x:v>
      </x:c>
      <x:c r="D175" s="6" t="n">
        <x:f>ROUND(C175*'Debt strategy'!$D$9/12,2)</x:f>
        <x:v>0</x:v>
      </x:c>
      <x:c r="E175" s="6" t="n">
        <x:f>MIN(C175+D175,'Debt strategy'!$E$9)</x:f>
        <x:v>0</x:v>
      </x:c>
      <x:c r="F175" s="27" t="n">
        <x:f>IF(C175+D175-E175&lt;=0,99,1+SUM(IF(AND(I175+J175-K175&gt;0,OR(I175+J175-K175&lt;C175+D175-E175,AND(I175+J175-K175=C175+D175-E175,1&lt;0))),1,0),IF(AND(O175+P175-Q175&gt;0,OR(O175+P175-Q175&lt;C175+D175-E175,AND(O175+P175-Q175=C175+D175-E175,2&lt;0))),1,0),IF(AND(U175+V175-W175&gt;0,OR(U175+V175-W175&lt;C175+D175-E175,AND(U175+V175-W175=C175+D175-E175,3&lt;0))),1,0),IF(AND(AA175+AB175-AC175&gt;0,OR(AA175+AB175-AC175&lt;C175+D175-E175,AND(AA175+AB175-AC175=C175+D175-E175,4&lt;0))),1,0)))</x:f>
        <x:v>99</x:v>
      </x:c>
      <x:c r="G175" s="6" t="n">
        <x:f>IF('Debt strategy'!$C$16&gt;0,0,MIN(C175+D175-E175,MAX(0,'Debt strategy'!$C$5-SUM(E175,K175,Q175,W175,AC175)-SUM(IF(L175&lt;F175,I175+J175-K175,0),IF(R175&lt;F175,O175+P175-Q175,0),IF(X175&lt;F175,U175+V175-W175,0),IF(AD175&lt;F175,AA175+AB175-AC175,0)))))</x:f>
        <x:v>0</x:v>
      </x:c>
      <x:c r="H175" s="6" t="n">
        <x:f>ROUND(MAX(0,C175+D175-E175-G175),2)</x:f>
        <x:v>0</x:v>
      </x:c>
      <x:c r="I175" s="6" t="n">
        <x:f>N174</x:f>
        <x:v>0</x:v>
      </x:c>
      <x:c r="J175" s="6" t="n">
        <x:f>ROUND(I175*'Debt strategy'!$D$10/12,2)</x:f>
        <x:v>0</x:v>
      </x:c>
      <x:c r="K175" s="6" t="n">
        <x:f>MIN(I175+J175,'Debt strategy'!$E$10)</x:f>
        <x:v>0</x:v>
      </x:c>
      <x:c r="L175" s="27" t="n">
        <x:f>IF(I175+J175-K175&lt;=0,99,1+SUM(IF(AND(C175+D175-E175&gt;0,OR(C175+D175-E175&lt;I175+J175-K175,AND(C175+D175-E175=I175+J175-K175,0&lt;1))),1,0),IF(AND(O175+P175-Q175&gt;0,OR(O175+P175-Q175&lt;I175+J175-K175,AND(O175+P175-Q175=I175+J175-K175,2&lt;1))),1,0),IF(AND(U175+V175-W175&gt;0,OR(U175+V175-W175&lt;I175+J175-K175,AND(U175+V175-W175=I175+J175-K175,3&lt;1))),1,0),IF(AND(AA175+AB175-AC175&gt;0,OR(AA175+AB175-AC175&lt;I175+J175-K175,AND(AA175+AB175-AC175=I175+J175-K175,4&lt;1))),1,0)))</x:f>
        <x:v>99</x:v>
      </x:c>
      <x:c r="M175" s="6" t="n">
        <x:f>IF('Debt strategy'!$C$16&gt;0,0,MIN(I175+J175-K175,MAX(0,'Debt strategy'!$C$5-SUM(E175,K175,Q175,W175,AC175)-SUM(IF(F175&lt;L175,C175+D175-E175,0),IF(R175&lt;L175,O175+P175-Q175,0),IF(X175&lt;L175,U175+V175-W175,0),IF(AD175&lt;L175,AA175+AB175-AC175,0)))))</x:f>
        <x:v>0</x:v>
      </x:c>
      <x:c r="N175" s="6" t="n">
        <x:f>ROUND(MAX(0,I175+J175-K175-M175),2)</x:f>
        <x:v>0</x:v>
      </x:c>
      <x:c r="O175" s="6" t="n">
        <x:f>T174</x:f>
        <x:v>0</x:v>
      </x:c>
      <x:c r="P175" s="6" t="n">
        <x:f>ROUND(O175*'Debt strategy'!$D$11/12,2)</x:f>
        <x:v>0</x:v>
      </x:c>
      <x:c r="Q175" s="6" t="n">
        <x:f>MIN(O175+P175,'Debt strategy'!$E$11)</x:f>
        <x:v>0</x:v>
      </x:c>
      <x:c r="R175" s="27" t="n">
        <x:f>IF(O175+P175-Q175&lt;=0,99,1+SUM(IF(AND(C175+D175-E175&gt;0,OR(C175+D175-E175&lt;O175+P175-Q175,AND(C175+D175-E175=O175+P175-Q175,0&lt;2))),1,0),IF(AND(I175+J175-K175&gt;0,OR(I175+J175-K175&lt;O175+P175-Q175,AND(I175+J175-K175=O175+P175-Q175,1&lt;2))),1,0),IF(AND(U175+V175-W175&gt;0,OR(U175+V175-W175&lt;O175+P175-Q175,AND(U175+V175-W175=O175+P175-Q175,3&lt;2))),1,0),IF(AND(AA175+AB175-AC175&gt;0,OR(AA175+AB175-AC175&lt;O175+P175-Q175,AND(AA175+AB175-AC175=O175+P175-Q175,4&lt;2))),1,0)))</x:f>
        <x:v>99</x:v>
      </x:c>
      <x:c r="S175" s="6" t="n">
        <x:f>IF('Debt strategy'!$C$16&gt;0,0,MIN(O175+P175-Q175,MAX(0,'Debt strategy'!$C$5-SUM(E175,K175,Q175,W175,AC175)-SUM(IF(F175&lt;R175,C175+D175-E175,0),IF(L175&lt;R175,I175+J175-K175,0),IF(X175&lt;R175,U175+V175-W175,0),IF(AD175&lt;R175,AA175+AB175-AC175,0)))))</x:f>
        <x:v>0</x:v>
      </x:c>
      <x:c r="T175" s="6" t="n">
        <x:f>ROUND(MAX(0,O175+P175-Q175-S175),2)</x:f>
        <x:v>0</x:v>
      </x:c>
      <x:c r="U175" s="6" t="n">
        <x:f>Z174</x:f>
        <x:v>0</x:v>
      </x:c>
      <x:c r="V175" s="6" t="n">
        <x:f>ROUND(U175*'Debt strategy'!$D$12/12,2)</x:f>
        <x:v>0</x:v>
      </x:c>
      <x:c r="W175" s="6" t="n">
        <x:f>MIN(U175+V175,'Debt strategy'!$E$12)</x:f>
        <x:v>0</x:v>
      </x:c>
      <x:c r="X175" s="27" t="n">
        <x:f>IF(U175+V175-W175&lt;=0,99,1+SUM(IF(AND(C175+D175-E175&gt;0,OR(C175+D175-E175&lt;U175+V175-W175,AND(C175+D175-E175=U175+V175-W175,0&lt;3))),1,0),IF(AND(I175+J175-K175&gt;0,OR(I175+J175-K175&lt;U175+V175-W175,AND(I175+J175-K175=U175+V175-W175,1&lt;3))),1,0),IF(AND(O175+P175-Q175&gt;0,OR(O175+P175-Q175&lt;U175+V175-W175,AND(O175+P175-Q175=U175+V175-W175,2&lt;3))),1,0),IF(AND(AA175+AB175-AC175&gt;0,OR(AA175+AB175-AC175&lt;U175+V175-W175,AND(AA175+AB175-AC175=U175+V175-W175,4&lt;3))),1,0)))</x:f>
        <x:v>99</x:v>
      </x:c>
      <x:c r="Y175" s="6" t="n">
        <x:f>IF('Debt strategy'!$C$16&gt;0,0,MIN(U175+V175-W175,MAX(0,'Debt strategy'!$C$5-SUM(E175,K175,Q175,W175,AC175)-SUM(IF(F175&lt;X175,C175+D175-E175,0),IF(L175&lt;X175,I175+J175-K175,0),IF(R175&lt;X175,O175+P175-Q175,0),IF(AD175&lt;X175,AA175+AB175-AC175,0)))))</x:f>
        <x:v>0</x:v>
      </x:c>
      <x:c r="Z175" s="6" t="n">
        <x:f>ROUND(MAX(0,U175+V175-W175-Y175),2)</x:f>
        <x:v>0</x:v>
      </x:c>
      <x:c r="AA175" s="6" t="n">
        <x:f>AF174</x:f>
        <x:v>0</x:v>
      </x:c>
      <x:c r="AB175" s="6" t="n">
        <x:f>ROUND(AA175*'Debt strategy'!$D$13/12,2)</x:f>
        <x:v>0</x:v>
      </x:c>
      <x:c r="AC175" s="6" t="n">
        <x:f>MIN(AA175+AB175,'Debt strategy'!$E$13)</x:f>
        <x:v>0</x:v>
      </x:c>
      <x:c r="AD175" s="27" t="n">
        <x:f>IF(AA175+AB175-AC175&lt;=0,99,1+SUM(IF(AND(C175+D175-E175&gt;0,OR(C175+D175-E175&lt;AA175+AB175-AC175,AND(C175+D175-E175=AA175+AB175-AC175,0&lt;4))),1,0),IF(AND(I175+J175-K175&gt;0,OR(I175+J175-K175&lt;AA175+AB175-AC175,AND(I175+J175-K175=AA175+AB175-AC175,1&lt;4))),1,0),IF(AND(O175+P175-Q175&gt;0,OR(O175+P175-Q175&lt;AA175+AB175-AC175,AND(O175+P175-Q175=AA175+AB175-AC175,2&lt;4))),1,0),IF(AND(U175+V175-W175&gt;0,OR(U175+V175-W175&lt;AA175+AB175-AC175,AND(U175+V175-W175=AA175+AB175-AC175,3&lt;4))),1,0)))</x:f>
        <x:v>99</x:v>
      </x:c>
      <x:c r="AE175" s="6" t="n">
        <x:f>IF('Debt strategy'!$C$16&gt;0,0,MIN(AA175+AB175-AC175,MAX(0,'Debt strategy'!$C$5-SUM(E175,K175,Q175,W175,AC175)-SUM(IF(F175&lt;AD175,C175+D175-E175,0),IF(L175&lt;AD175,I175+J175-K175,0),IF(R175&lt;AD175,O175+P175-Q175,0),IF(X175&lt;AD175,U175+V175-W175,0)))))</x:f>
        <x:v>0</x:v>
      </x:c>
      <x:c r="AF175" s="6" t="n">
        <x:f>ROUND(MAX(0,AA175+AB175-AC175-AE175),2)</x:f>
        <x:v>0</x:v>
      </x:c>
      <x:c r="AG175" s="6" t="n">
        <x:f>SUM(H175,N175,T175,Z175,AF175)</x:f>
        <x:v>0</x:v>
      </x:c>
      <x:c r="AH175" s="6" t="n">
        <x:f>SUM(D175,J175,P175,V175,AB175)+AH174</x:f>
        <x:v>1353.9499999999996</x:v>
      </x:c>
      <x:c r="AI175" s="2"/>
    </x:row>
    <x:row r="176" ht="23" customHeight="1">
      <x:c r="B176" s="2" t="n">
        <x:f>168</x:f>
        <x:v>168</x:v>
      </x:c>
      <x:c r="C176" s="6" t="n">
        <x:f>H175</x:f>
        <x:v>0</x:v>
      </x:c>
      <x:c r="D176" s="6" t="n">
        <x:f>ROUND(C176*'Debt strategy'!$D$9/12,2)</x:f>
        <x:v>0</x:v>
      </x:c>
      <x:c r="E176" s="6" t="n">
        <x:f>MIN(C176+D176,'Debt strategy'!$E$9)</x:f>
        <x:v>0</x:v>
      </x:c>
      <x:c r="F176" s="27" t="n">
        <x:f>IF(C176+D176-E176&lt;=0,99,1+SUM(IF(AND(I176+J176-K176&gt;0,OR(I176+J176-K176&lt;C176+D176-E176,AND(I176+J176-K176=C176+D176-E176,1&lt;0))),1,0),IF(AND(O176+P176-Q176&gt;0,OR(O176+P176-Q176&lt;C176+D176-E176,AND(O176+P176-Q176=C176+D176-E176,2&lt;0))),1,0),IF(AND(U176+V176-W176&gt;0,OR(U176+V176-W176&lt;C176+D176-E176,AND(U176+V176-W176=C176+D176-E176,3&lt;0))),1,0),IF(AND(AA176+AB176-AC176&gt;0,OR(AA176+AB176-AC176&lt;C176+D176-E176,AND(AA176+AB176-AC176=C176+D176-E176,4&lt;0))),1,0)))</x:f>
        <x:v>99</x:v>
      </x:c>
      <x:c r="G176" s="6" t="n">
        <x:f>IF('Debt strategy'!$C$16&gt;0,0,MIN(C176+D176-E176,MAX(0,'Debt strategy'!$C$5-SUM(E176,K176,Q176,W176,AC176)-SUM(IF(L176&lt;F176,I176+J176-K176,0),IF(R176&lt;F176,O176+P176-Q176,0),IF(X176&lt;F176,U176+V176-W176,0),IF(AD176&lt;F176,AA176+AB176-AC176,0)))))</x:f>
        <x:v>0</x:v>
      </x:c>
      <x:c r="H176" s="6" t="n">
        <x:f>ROUND(MAX(0,C176+D176-E176-G176),2)</x:f>
        <x:v>0</x:v>
      </x:c>
      <x:c r="I176" s="6" t="n">
        <x:f>N175</x:f>
        <x:v>0</x:v>
      </x:c>
      <x:c r="J176" s="6" t="n">
        <x:f>ROUND(I176*'Debt strategy'!$D$10/12,2)</x:f>
        <x:v>0</x:v>
      </x:c>
      <x:c r="K176" s="6" t="n">
        <x:f>MIN(I176+J176,'Debt strategy'!$E$10)</x:f>
        <x:v>0</x:v>
      </x:c>
      <x:c r="L176" s="27" t="n">
        <x:f>IF(I176+J176-K176&lt;=0,99,1+SUM(IF(AND(C176+D176-E176&gt;0,OR(C176+D176-E176&lt;I176+J176-K176,AND(C176+D176-E176=I176+J176-K176,0&lt;1))),1,0),IF(AND(O176+P176-Q176&gt;0,OR(O176+P176-Q176&lt;I176+J176-K176,AND(O176+P176-Q176=I176+J176-K176,2&lt;1))),1,0),IF(AND(U176+V176-W176&gt;0,OR(U176+V176-W176&lt;I176+J176-K176,AND(U176+V176-W176=I176+J176-K176,3&lt;1))),1,0),IF(AND(AA176+AB176-AC176&gt;0,OR(AA176+AB176-AC176&lt;I176+J176-K176,AND(AA176+AB176-AC176=I176+J176-K176,4&lt;1))),1,0)))</x:f>
        <x:v>99</x:v>
      </x:c>
      <x:c r="M176" s="6" t="n">
        <x:f>IF('Debt strategy'!$C$16&gt;0,0,MIN(I176+J176-K176,MAX(0,'Debt strategy'!$C$5-SUM(E176,K176,Q176,W176,AC176)-SUM(IF(F176&lt;L176,C176+D176-E176,0),IF(R176&lt;L176,O176+P176-Q176,0),IF(X176&lt;L176,U176+V176-W176,0),IF(AD176&lt;L176,AA176+AB176-AC176,0)))))</x:f>
        <x:v>0</x:v>
      </x:c>
      <x:c r="N176" s="6" t="n">
        <x:f>ROUND(MAX(0,I176+J176-K176-M176),2)</x:f>
        <x:v>0</x:v>
      </x:c>
      <x:c r="O176" s="6" t="n">
        <x:f>T175</x:f>
        <x:v>0</x:v>
      </x:c>
      <x:c r="P176" s="6" t="n">
        <x:f>ROUND(O176*'Debt strategy'!$D$11/12,2)</x:f>
        <x:v>0</x:v>
      </x:c>
      <x:c r="Q176" s="6" t="n">
        <x:f>MIN(O176+P176,'Debt strategy'!$E$11)</x:f>
        <x:v>0</x:v>
      </x:c>
      <x:c r="R176" s="27" t="n">
        <x:f>IF(O176+P176-Q176&lt;=0,99,1+SUM(IF(AND(C176+D176-E176&gt;0,OR(C176+D176-E176&lt;O176+P176-Q176,AND(C176+D176-E176=O176+P176-Q176,0&lt;2))),1,0),IF(AND(I176+J176-K176&gt;0,OR(I176+J176-K176&lt;O176+P176-Q176,AND(I176+J176-K176=O176+P176-Q176,1&lt;2))),1,0),IF(AND(U176+V176-W176&gt;0,OR(U176+V176-W176&lt;O176+P176-Q176,AND(U176+V176-W176=O176+P176-Q176,3&lt;2))),1,0),IF(AND(AA176+AB176-AC176&gt;0,OR(AA176+AB176-AC176&lt;O176+P176-Q176,AND(AA176+AB176-AC176=O176+P176-Q176,4&lt;2))),1,0)))</x:f>
        <x:v>99</x:v>
      </x:c>
      <x:c r="S176" s="6" t="n">
        <x:f>IF('Debt strategy'!$C$16&gt;0,0,MIN(O176+P176-Q176,MAX(0,'Debt strategy'!$C$5-SUM(E176,K176,Q176,W176,AC176)-SUM(IF(F176&lt;R176,C176+D176-E176,0),IF(L176&lt;R176,I176+J176-K176,0),IF(X176&lt;R176,U176+V176-W176,0),IF(AD176&lt;R176,AA176+AB176-AC176,0)))))</x:f>
        <x:v>0</x:v>
      </x:c>
      <x:c r="T176" s="6" t="n">
        <x:f>ROUND(MAX(0,O176+P176-Q176-S176),2)</x:f>
        <x:v>0</x:v>
      </x:c>
      <x:c r="U176" s="6" t="n">
        <x:f>Z175</x:f>
        <x:v>0</x:v>
      </x:c>
      <x:c r="V176" s="6" t="n">
        <x:f>ROUND(U176*'Debt strategy'!$D$12/12,2)</x:f>
        <x:v>0</x:v>
      </x:c>
      <x:c r="W176" s="6" t="n">
        <x:f>MIN(U176+V176,'Debt strategy'!$E$12)</x:f>
        <x:v>0</x:v>
      </x:c>
      <x:c r="X176" s="27" t="n">
        <x:f>IF(U176+V176-W176&lt;=0,99,1+SUM(IF(AND(C176+D176-E176&gt;0,OR(C176+D176-E176&lt;U176+V176-W176,AND(C176+D176-E176=U176+V176-W176,0&lt;3))),1,0),IF(AND(I176+J176-K176&gt;0,OR(I176+J176-K176&lt;U176+V176-W176,AND(I176+J176-K176=U176+V176-W176,1&lt;3))),1,0),IF(AND(O176+P176-Q176&gt;0,OR(O176+P176-Q176&lt;U176+V176-W176,AND(O176+P176-Q176=U176+V176-W176,2&lt;3))),1,0),IF(AND(AA176+AB176-AC176&gt;0,OR(AA176+AB176-AC176&lt;U176+V176-W176,AND(AA176+AB176-AC176=U176+V176-W176,4&lt;3))),1,0)))</x:f>
        <x:v>99</x:v>
      </x:c>
      <x:c r="Y176" s="6" t="n">
        <x:f>IF('Debt strategy'!$C$16&gt;0,0,MIN(U176+V176-W176,MAX(0,'Debt strategy'!$C$5-SUM(E176,K176,Q176,W176,AC176)-SUM(IF(F176&lt;X176,C176+D176-E176,0),IF(L176&lt;X176,I176+J176-K176,0),IF(R176&lt;X176,O176+P176-Q176,0),IF(AD176&lt;X176,AA176+AB176-AC176,0)))))</x:f>
        <x:v>0</x:v>
      </x:c>
      <x:c r="Z176" s="6" t="n">
        <x:f>ROUND(MAX(0,U176+V176-W176-Y176),2)</x:f>
        <x:v>0</x:v>
      </x:c>
      <x:c r="AA176" s="6" t="n">
        <x:f>AF175</x:f>
        <x:v>0</x:v>
      </x:c>
      <x:c r="AB176" s="6" t="n">
        <x:f>ROUND(AA176*'Debt strategy'!$D$13/12,2)</x:f>
        <x:v>0</x:v>
      </x:c>
      <x:c r="AC176" s="6" t="n">
        <x:f>MIN(AA176+AB176,'Debt strategy'!$E$13)</x:f>
        <x:v>0</x:v>
      </x:c>
      <x:c r="AD176" s="27" t="n">
        <x:f>IF(AA176+AB176-AC176&lt;=0,99,1+SUM(IF(AND(C176+D176-E176&gt;0,OR(C176+D176-E176&lt;AA176+AB176-AC176,AND(C176+D176-E176=AA176+AB176-AC176,0&lt;4))),1,0),IF(AND(I176+J176-K176&gt;0,OR(I176+J176-K176&lt;AA176+AB176-AC176,AND(I176+J176-K176=AA176+AB176-AC176,1&lt;4))),1,0),IF(AND(O176+P176-Q176&gt;0,OR(O176+P176-Q176&lt;AA176+AB176-AC176,AND(O176+P176-Q176=AA176+AB176-AC176,2&lt;4))),1,0),IF(AND(U176+V176-W176&gt;0,OR(U176+V176-W176&lt;AA176+AB176-AC176,AND(U176+V176-W176=AA176+AB176-AC176,3&lt;4))),1,0)))</x:f>
        <x:v>99</x:v>
      </x:c>
      <x:c r="AE176" s="6" t="n">
        <x:f>IF('Debt strategy'!$C$16&gt;0,0,MIN(AA176+AB176-AC176,MAX(0,'Debt strategy'!$C$5-SUM(E176,K176,Q176,W176,AC176)-SUM(IF(F176&lt;AD176,C176+D176-E176,0),IF(L176&lt;AD176,I176+J176-K176,0),IF(R176&lt;AD176,O176+P176-Q176,0),IF(X176&lt;AD176,U176+V176-W176,0)))))</x:f>
        <x:v>0</x:v>
      </x:c>
      <x:c r="AF176" s="6" t="n">
        <x:f>ROUND(MAX(0,AA176+AB176-AC176-AE176),2)</x:f>
        <x:v>0</x:v>
      </x:c>
      <x:c r="AG176" s="6" t="n">
        <x:f>SUM(H176,N176,T176,Z176,AF176)</x:f>
        <x:v>0</x:v>
      </x:c>
      <x:c r="AH176" s="6" t="n">
        <x:f>SUM(D176,J176,P176,V176,AB176)+AH175</x:f>
        <x:v>1353.9499999999996</x:v>
      </x:c>
      <x:c r="AI176" s="2"/>
    </x:row>
    <x:row r="177" ht="23" customHeight="1">
      <x:c r="B177" s="2" t="n">
        <x:f>169</x:f>
        <x:v>169</x:v>
      </x:c>
      <x:c r="C177" s="6" t="n">
        <x:f>H176</x:f>
        <x:v>0</x:v>
      </x:c>
      <x:c r="D177" s="6" t="n">
        <x:f>ROUND(C177*'Debt strategy'!$D$9/12,2)</x:f>
        <x:v>0</x:v>
      </x:c>
      <x:c r="E177" s="6" t="n">
        <x:f>MIN(C177+D177,'Debt strategy'!$E$9)</x:f>
        <x:v>0</x:v>
      </x:c>
      <x:c r="F177" s="27" t="n">
        <x:f>IF(C177+D177-E177&lt;=0,99,1+SUM(IF(AND(I177+J177-K177&gt;0,OR(I177+J177-K177&lt;C177+D177-E177,AND(I177+J177-K177=C177+D177-E177,1&lt;0))),1,0),IF(AND(O177+P177-Q177&gt;0,OR(O177+P177-Q177&lt;C177+D177-E177,AND(O177+P177-Q177=C177+D177-E177,2&lt;0))),1,0),IF(AND(U177+V177-W177&gt;0,OR(U177+V177-W177&lt;C177+D177-E177,AND(U177+V177-W177=C177+D177-E177,3&lt;0))),1,0),IF(AND(AA177+AB177-AC177&gt;0,OR(AA177+AB177-AC177&lt;C177+D177-E177,AND(AA177+AB177-AC177=C177+D177-E177,4&lt;0))),1,0)))</x:f>
        <x:v>99</x:v>
      </x:c>
      <x:c r="G177" s="6" t="n">
        <x:f>IF('Debt strategy'!$C$16&gt;0,0,MIN(C177+D177-E177,MAX(0,'Debt strategy'!$C$5-SUM(E177,K177,Q177,W177,AC177)-SUM(IF(L177&lt;F177,I177+J177-K177,0),IF(R177&lt;F177,O177+P177-Q177,0),IF(X177&lt;F177,U177+V177-W177,0),IF(AD177&lt;F177,AA177+AB177-AC177,0)))))</x:f>
        <x:v>0</x:v>
      </x:c>
      <x:c r="H177" s="6" t="n">
        <x:f>ROUND(MAX(0,C177+D177-E177-G177),2)</x:f>
        <x:v>0</x:v>
      </x:c>
      <x:c r="I177" s="6" t="n">
        <x:f>N176</x:f>
        <x:v>0</x:v>
      </x:c>
      <x:c r="J177" s="6" t="n">
        <x:f>ROUND(I177*'Debt strategy'!$D$10/12,2)</x:f>
        <x:v>0</x:v>
      </x:c>
      <x:c r="K177" s="6" t="n">
        <x:f>MIN(I177+J177,'Debt strategy'!$E$10)</x:f>
        <x:v>0</x:v>
      </x:c>
      <x:c r="L177" s="27" t="n">
        <x:f>IF(I177+J177-K177&lt;=0,99,1+SUM(IF(AND(C177+D177-E177&gt;0,OR(C177+D177-E177&lt;I177+J177-K177,AND(C177+D177-E177=I177+J177-K177,0&lt;1))),1,0),IF(AND(O177+P177-Q177&gt;0,OR(O177+P177-Q177&lt;I177+J177-K177,AND(O177+P177-Q177=I177+J177-K177,2&lt;1))),1,0),IF(AND(U177+V177-W177&gt;0,OR(U177+V177-W177&lt;I177+J177-K177,AND(U177+V177-W177=I177+J177-K177,3&lt;1))),1,0),IF(AND(AA177+AB177-AC177&gt;0,OR(AA177+AB177-AC177&lt;I177+J177-K177,AND(AA177+AB177-AC177=I177+J177-K177,4&lt;1))),1,0)))</x:f>
        <x:v>99</x:v>
      </x:c>
      <x:c r="M177" s="6" t="n">
        <x:f>IF('Debt strategy'!$C$16&gt;0,0,MIN(I177+J177-K177,MAX(0,'Debt strategy'!$C$5-SUM(E177,K177,Q177,W177,AC177)-SUM(IF(F177&lt;L177,C177+D177-E177,0),IF(R177&lt;L177,O177+P177-Q177,0),IF(X177&lt;L177,U177+V177-W177,0),IF(AD177&lt;L177,AA177+AB177-AC177,0)))))</x:f>
        <x:v>0</x:v>
      </x:c>
      <x:c r="N177" s="6" t="n">
        <x:f>ROUND(MAX(0,I177+J177-K177-M177),2)</x:f>
        <x:v>0</x:v>
      </x:c>
      <x:c r="O177" s="6" t="n">
        <x:f>T176</x:f>
        <x:v>0</x:v>
      </x:c>
      <x:c r="P177" s="6" t="n">
        <x:f>ROUND(O177*'Debt strategy'!$D$11/12,2)</x:f>
        <x:v>0</x:v>
      </x:c>
      <x:c r="Q177" s="6" t="n">
        <x:f>MIN(O177+P177,'Debt strategy'!$E$11)</x:f>
        <x:v>0</x:v>
      </x:c>
      <x:c r="R177" s="27" t="n">
        <x:f>IF(O177+P177-Q177&lt;=0,99,1+SUM(IF(AND(C177+D177-E177&gt;0,OR(C177+D177-E177&lt;O177+P177-Q177,AND(C177+D177-E177=O177+P177-Q177,0&lt;2))),1,0),IF(AND(I177+J177-K177&gt;0,OR(I177+J177-K177&lt;O177+P177-Q177,AND(I177+J177-K177=O177+P177-Q177,1&lt;2))),1,0),IF(AND(U177+V177-W177&gt;0,OR(U177+V177-W177&lt;O177+P177-Q177,AND(U177+V177-W177=O177+P177-Q177,3&lt;2))),1,0),IF(AND(AA177+AB177-AC177&gt;0,OR(AA177+AB177-AC177&lt;O177+P177-Q177,AND(AA177+AB177-AC177=O177+P177-Q177,4&lt;2))),1,0)))</x:f>
        <x:v>99</x:v>
      </x:c>
      <x:c r="S177" s="6" t="n">
        <x:f>IF('Debt strategy'!$C$16&gt;0,0,MIN(O177+P177-Q177,MAX(0,'Debt strategy'!$C$5-SUM(E177,K177,Q177,W177,AC177)-SUM(IF(F177&lt;R177,C177+D177-E177,0),IF(L177&lt;R177,I177+J177-K177,0),IF(X177&lt;R177,U177+V177-W177,0),IF(AD177&lt;R177,AA177+AB177-AC177,0)))))</x:f>
        <x:v>0</x:v>
      </x:c>
      <x:c r="T177" s="6" t="n">
        <x:f>ROUND(MAX(0,O177+P177-Q177-S177),2)</x:f>
        <x:v>0</x:v>
      </x:c>
      <x:c r="U177" s="6" t="n">
        <x:f>Z176</x:f>
        <x:v>0</x:v>
      </x:c>
      <x:c r="V177" s="6" t="n">
        <x:f>ROUND(U177*'Debt strategy'!$D$12/12,2)</x:f>
        <x:v>0</x:v>
      </x:c>
      <x:c r="W177" s="6" t="n">
        <x:f>MIN(U177+V177,'Debt strategy'!$E$12)</x:f>
        <x:v>0</x:v>
      </x:c>
      <x:c r="X177" s="27" t="n">
        <x:f>IF(U177+V177-W177&lt;=0,99,1+SUM(IF(AND(C177+D177-E177&gt;0,OR(C177+D177-E177&lt;U177+V177-W177,AND(C177+D177-E177=U177+V177-W177,0&lt;3))),1,0),IF(AND(I177+J177-K177&gt;0,OR(I177+J177-K177&lt;U177+V177-W177,AND(I177+J177-K177=U177+V177-W177,1&lt;3))),1,0),IF(AND(O177+P177-Q177&gt;0,OR(O177+P177-Q177&lt;U177+V177-W177,AND(O177+P177-Q177=U177+V177-W177,2&lt;3))),1,0),IF(AND(AA177+AB177-AC177&gt;0,OR(AA177+AB177-AC177&lt;U177+V177-W177,AND(AA177+AB177-AC177=U177+V177-W177,4&lt;3))),1,0)))</x:f>
        <x:v>99</x:v>
      </x:c>
      <x:c r="Y177" s="6" t="n">
        <x:f>IF('Debt strategy'!$C$16&gt;0,0,MIN(U177+V177-W177,MAX(0,'Debt strategy'!$C$5-SUM(E177,K177,Q177,W177,AC177)-SUM(IF(F177&lt;X177,C177+D177-E177,0),IF(L177&lt;X177,I177+J177-K177,0),IF(R177&lt;X177,O177+P177-Q177,0),IF(AD177&lt;X177,AA177+AB177-AC177,0)))))</x:f>
        <x:v>0</x:v>
      </x:c>
      <x:c r="Z177" s="6" t="n">
        <x:f>ROUND(MAX(0,U177+V177-W177-Y177),2)</x:f>
        <x:v>0</x:v>
      </x:c>
      <x:c r="AA177" s="6" t="n">
        <x:f>AF176</x:f>
        <x:v>0</x:v>
      </x:c>
      <x:c r="AB177" s="6" t="n">
        <x:f>ROUND(AA177*'Debt strategy'!$D$13/12,2)</x:f>
        <x:v>0</x:v>
      </x:c>
      <x:c r="AC177" s="6" t="n">
        <x:f>MIN(AA177+AB177,'Debt strategy'!$E$13)</x:f>
        <x:v>0</x:v>
      </x:c>
      <x:c r="AD177" s="27" t="n">
        <x:f>IF(AA177+AB177-AC177&lt;=0,99,1+SUM(IF(AND(C177+D177-E177&gt;0,OR(C177+D177-E177&lt;AA177+AB177-AC177,AND(C177+D177-E177=AA177+AB177-AC177,0&lt;4))),1,0),IF(AND(I177+J177-K177&gt;0,OR(I177+J177-K177&lt;AA177+AB177-AC177,AND(I177+J177-K177=AA177+AB177-AC177,1&lt;4))),1,0),IF(AND(O177+P177-Q177&gt;0,OR(O177+P177-Q177&lt;AA177+AB177-AC177,AND(O177+P177-Q177=AA177+AB177-AC177,2&lt;4))),1,0),IF(AND(U177+V177-W177&gt;0,OR(U177+V177-W177&lt;AA177+AB177-AC177,AND(U177+V177-W177=AA177+AB177-AC177,3&lt;4))),1,0)))</x:f>
        <x:v>99</x:v>
      </x:c>
      <x:c r="AE177" s="6" t="n">
        <x:f>IF('Debt strategy'!$C$16&gt;0,0,MIN(AA177+AB177-AC177,MAX(0,'Debt strategy'!$C$5-SUM(E177,K177,Q177,W177,AC177)-SUM(IF(F177&lt;AD177,C177+D177-E177,0),IF(L177&lt;AD177,I177+J177-K177,0),IF(R177&lt;AD177,O177+P177-Q177,0),IF(X177&lt;AD177,U177+V177-W177,0)))))</x:f>
        <x:v>0</x:v>
      </x:c>
      <x:c r="AF177" s="6" t="n">
        <x:f>ROUND(MAX(0,AA177+AB177-AC177-AE177),2)</x:f>
        <x:v>0</x:v>
      </x:c>
      <x:c r="AG177" s="6" t="n">
        <x:f>SUM(H177,N177,T177,Z177,AF177)</x:f>
        <x:v>0</x:v>
      </x:c>
      <x:c r="AH177" s="6" t="n">
        <x:f>SUM(D177,J177,P177,V177,AB177)+AH176</x:f>
        <x:v>1353.9499999999996</x:v>
      </x:c>
      <x:c r="AI177" s="2"/>
    </x:row>
    <x:row r="178" ht="23" customHeight="1">
      <x:c r="B178" s="2" t="n">
        <x:f>170</x:f>
        <x:v>170</x:v>
      </x:c>
      <x:c r="C178" s="6" t="n">
        <x:f>H177</x:f>
        <x:v>0</x:v>
      </x:c>
      <x:c r="D178" s="6" t="n">
        <x:f>ROUND(C178*'Debt strategy'!$D$9/12,2)</x:f>
        <x:v>0</x:v>
      </x:c>
      <x:c r="E178" s="6" t="n">
        <x:f>MIN(C178+D178,'Debt strategy'!$E$9)</x:f>
        <x:v>0</x:v>
      </x:c>
      <x:c r="F178" s="27" t="n">
        <x:f>IF(C178+D178-E178&lt;=0,99,1+SUM(IF(AND(I178+J178-K178&gt;0,OR(I178+J178-K178&lt;C178+D178-E178,AND(I178+J178-K178=C178+D178-E178,1&lt;0))),1,0),IF(AND(O178+P178-Q178&gt;0,OR(O178+P178-Q178&lt;C178+D178-E178,AND(O178+P178-Q178=C178+D178-E178,2&lt;0))),1,0),IF(AND(U178+V178-W178&gt;0,OR(U178+V178-W178&lt;C178+D178-E178,AND(U178+V178-W178=C178+D178-E178,3&lt;0))),1,0),IF(AND(AA178+AB178-AC178&gt;0,OR(AA178+AB178-AC178&lt;C178+D178-E178,AND(AA178+AB178-AC178=C178+D178-E178,4&lt;0))),1,0)))</x:f>
        <x:v>99</x:v>
      </x:c>
      <x:c r="G178" s="6" t="n">
        <x:f>IF('Debt strategy'!$C$16&gt;0,0,MIN(C178+D178-E178,MAX(0,'Debt strategy'!$C$5-SUM(E178,K178,Q178,W178,AC178)-SUM(IF(L178&lt;F178,I178+J178-K178,0),IF(R178&lt;F178,O178+P178-Q178,0),IF(X178&lt;F178,U178+V178-W178,0),IF(AD178&lt;F178,AA178+AB178-AC178,0)))))</x:f>
        <x:v>0</x:v>
      </x:c>
      <x:c r="H178" s="6" t="n">
        <x:f>ROUND(MAX(0,C178+D178-E178-G178),2)</x:f>
        <x:v>0</x:v>
      </x:c>
      <x:c r="I178" s="6" t="n">
        <x:f>N177</x:f>
        <x:v>0</x:v>
      </x:c>
      <x:c r="J178" s="6" t="n">
        <x:f>ROUND(I178*'Debt strategy'!$D$10/12,2)</x:f>
        <x:v>0</x:v>
      </x:c>
      <x:c r="K178" s="6" t="n">
        <x:f>MIN(I178+J178,'Debt strategy'!$E$10)</x:f>
        <x:v>0</x:v>
      </x:c>
      <x:c r="L178" s="27" t="n">
        <x:f>IF(I178+J178-K178&lt;=0,99,1+SUM(IF(AND(C178+D178-E178&gt;0,OR(C178+D178-E178&lt;I178+J178-K178,AND(C178+D178-E178=I178+J178-K178,0&lt;1))),1,0),IF(AND(O178+P178-Q178&gt;0,OR(O178+P178-Q178&lt;I178+J178-K178,AND(O178+P178-Q178=I178+J178-K178,2&lt;1))),1,0),IF(AND(U178+V178-W178&gt;0,OR(U178+V178-W178&lt;I178+J178-K178,AND(U178+V178-W178=I178+J178-K178,3&lt;1))),1,0),IF(AND(AA178+AB178-AC178&gt;0,OR(AA178+AB178-AC178&lt;I178+J178-K178,AND(AA178+AB178-AC178=I178+J178-K178,4&lt;1))),1,0)))</x:f>
        <x:v>99</x:v>
      </x:c>
      <x:c r="M178" s="6" t="n">
        <x:f>IF('Debt strategy'!$C$16&gt;0,0,MIN(I178+J178-K178,MAX(0,'Debt strategy'!$C$5-SUM(E178,K178,Q178,W178,AC178)-SUM(IF(F178&lt;L178,C178+D178-E178,0),IF(R178&lt;L178,O178+P178-Q178,0),IF(X178&lt;L178,U178+V178-W178,0),IF(AD178&lt;L178,AA178+AB178-AC178,0)))))</x:f>
        <x:v>0</x:v>
      </x:c>
      <x:c r="N178" s="6" t="n">
        <x:f>ROUND(MAX(0,I178+J178-K178-M178),2)</x:f>
        <x:v>0</x:v>
      </x:c>
      <x:c r="O178" s="6" t="n">
        <x:f>T177</x:f>
        <x:v>0</x:v>
      </x:c>
      <x:c r="P178" s="6" t="n">
        <x:f>ROUND(O178*'Debt strategy'!$D$11/12,2)</x:f>
        <x:v>0</x:v>
      </x:c>
      <x:c r="Q178" s="6" t="n">
        <x:f>MIN(O178+P178,'Debt strategy'!$E$11)</x:f>
        <x:v>0</x:v>
      </x:c>
      <x:c r="R178" s="27" t="n">
        <x:f>IF(O178+P178-Q178&lt;=0,99,1+SUM(IF(AND(C178+D178-E178&gt;0,OR(C178+D178-E178&lt;O178+P178-Q178,AND(C178+D178-E178=O178+P178-Q178,0&lt;2))),1,0),IF(AND(I178+J178-K178&gt;0,OR(I178+J178-K178&lt;O178+P178-Q178,AND(I178+J178-K178=O178+P178-Q178,1&lt;2))),1,0),IF(AND(U178+V178-W178&gt;0,OR(U178+V178-W178&lt;O178+P178-Q178,AND(U178+V178-W178=O178+P178-Q178,3&lt;2))),1,0),IF(AND(AA178+AB178-AC178&gt;0,OR(AA178+AB178-AC178&lt;O178+P178-Q178,AND(AA178+AB178-AC178=O178+P178-Q178,4&lt;2))),1,0)))</x:f>
        <x:v>99</x:v>
      </x:c>
      <x:c r="S178" s="6" t="n">
        <x:f>IF('Debt strategy'!$C$16&gt;0,0,MIN(O178+P178-Q178,MAX(0,'Debt strategy'!$C$5-SUM(E178,K178,Q178,W178,AC178)-SUM(IF(F178&lt;R178,C178+D178-E178,0),IF(L178&lt;R178,I178+J178-K178,0),IF(X178&lt;R178,U178+V178-W178,0),IF(AD178&lt;R178,AA178+AB178-AC178,0)))))</x:f>
        <x:v>0</x:v>
      </x:c>
      <x:c r="T178" s="6" t="n">
        <x:f>ROUND(MAX(0,O178+P178-Q178-S178),2)</x:f>
        <x:v>0</x:v>
      </x:c>
      <x:c r="U178" s="6" t="n">
        <x:f>Z177</x:f>
        <x:v>0</x:v>
      </x:c>
      <x:c r="V178" s="6" t="n">
        <x:f>ROUND(U178*'Debt strategy'!$D$12/12,2)</x:f>
        <x:v>0</x:v>
      </x:c>
      <x:c r="W178" s="6" t="n">
        <x:f>MIN(U178+V178,'Debt strategy'!$E$12)</x:f>
        <x:v>0</x:v>
      </x:c>
      <x:c r="X178" s="27" t="n">
        <x:f>IF(U178+V178-W178&lt;=0,99,1+SUM(IF(AND(C178+D178-E178&gt;0,OR(C178+D178-E178&lt;U178+V178-W178,AND(C178+D178-E178=U178+V178-W178,0&lt;3))),1,0),IF(AND(I178+J178-K178&gt;0,OR(I178+J178-K178&lt;U178+V178-W178,AND(I178+J178-K178=U178+V178-W178,1&lt;3))),1,0),IF(AND(O178+P178-Q178&gt;0,OR(O178+P178-Q178&lt;U178+V178-W178,AND(O178+P178-Q178=U178+V178-W178,2&lt;3))),1,0),IF(AND(AA178+AB178-AC178&gt;0,OR(AA178+AB178-AC178&lt;U178+V178-W178,AND(AA178+AB178-AC178=U178+V178-W178,4&lt;3))),1,0)))</x:f>
        <x:v>99</x:v>
      </x:c>
      <x:c r="Y178" s="6" t="n">
        <x:f>IF('Debt strategy'!$C$16&gt;0,0,MIN(U178+V178-W178,MAX(0,'Debt strategy'!$C$5-SUM(E178,K178,Q178,W178,AC178)-SUM(IF(F178&lt;X178,C178+D178-E178,0),IF(L178&lt;X178,I178+J178-K178,0),IF(R178&lt;X178,O178+P178-Q178,0),IF(AD178&lt;X178,AA178+AB178-AC178,0)))))</x:f>
        <x:v>0</x:v>
      </x:c>
      <x:c r="Z178" s="6" t="n">
        <x:f>ROUND(MAX(0,U178+V178-W178-Y178),2)</x:f>
        <x:v>0</x:v>
      </x:c>
      <x:c r="AA178" s="6" t="n">
        <x:f>AF177</x:f>
        <x:v>0</x:v>
      </x:c>
      <x:c r="AB178" s="6" t="n">
        <x:f>ROUND(AA178*'Debt strategy'!$D$13/12,2)</x:f>
        <x:v>0</x:v>
      </x:c>
      <x:c r="AC178" s="6" t="n">
        <x:f>MIN(AA178+AB178,'Debt strategy'!$E$13)</x:f>
        <x:v>0</x:v>
      </x:c>
      <x:c r="AD178" s="27" t="n">
        <x:f>IF(AA178+AB178-AC178&lt;=0,99,1+SUM(IF(AND(C178+D178-E178&gt;0,OR(C178+D178-E178&lt;AA178+AB178-AC178,AND(C178+D178-E178=AA178+AB178-AC178,0&lt;4))),1,0),IF(AND(I178+J178-K178&gt;0,OR(I178+J178-K178&lt;AA178+AB178-AC178,AND(I178+J178-K178=AA178+AB178-AC178,1&lt;4))),1,0),IF(AND(O178+P178-Q178&gt;0,OR(O178+P178-Q178&lt;AA178+AB178-AC178,AND(O178+P178-Q178=AA178+AB178-AC178,2&lt;4))),1,0),IF(AND(U178+V178-W178&gt;0,OR(U178+V178-W178&lt;AA178+AB178-AC178,AND(U178+V178-W178=AA178+AB178-AC178,3&lt;4))),1,0)))</x:f>
        <x:v>99</x:v>
      </x:c>
      <x:c r="AE178" s="6" t="n">
        <x:f>IF('Debt strategy'!$C$16&gt;0,0,MIN(AA178+AB178-AC178,MAX(0,'Debt strategy'!$C$5-SUM(E178,K178,Q178,W178,AC178)-SUM(IF(F178&lt;AD178,C178+D178-E178,0),IF(L178&lt;AD178,I178+J178-K178,0),IF(R178&lt;AD178,O178+P178-Q178,0),IF(X178&lt;AD178,U178+V178-W178,0)))))</x:f>
        <x:v>0</x:v>
      </x:c>
      <x:c r="AF178" s="6" t="n">
        <x:f>ROUND(MAX(0,AA178+AB178-AC178-AE178),2)</x:f>
        <x:v>0</x:v>
      </x:c>
      <x:c r="AG178" s="6" t="n">
        <x:f>SUM(H178,N178,T178,Z178,AF178)</x:f>
        <x:v>0</x:v>
      </x:c>
      <x:c r="AH178" s="6" t="n">
        <x:f>SUM(D178,J178,P178,V178,AB178)+AH177</x:f>
        <x:v>1353.9499999999996</x:v>
      </x:c>
      <x:c r="AI178" s="2"/>
    </x:row>
    <x:row r="179" ht="23" customHeight="1">
      <x:c r="B179" s="2" t="n">
        <x:f>171</x:f>
        <x:v>171</x:v>
      </x:c>
      <x:c r="C179" s="6" t="n">
        <x:f>H178</x:f>
        <x:v>0</x:v>
      </x:c>
      <x:c r="D179" s="6" t="n">
        <x:f>ROUND(C179*'Debt strategy'!$D$9/12,2)</x:f>
        <x:v>0</x:v>
      </x:c>
      <x:c r="E179" s="6" t="n">
        <x:f>MIN(C179+D179,'Debt strategy'!$E$9)</x:f>
        <x:v>0</x:v>
      </x:c>
      <x:c r="F179" s="27" t="n">
        <x:f>IF(C179+D179-E179&lt;=0,99,1+SUM(IF(AND(I179+J179-K179&gt;0,OR(I179+J179-K179&lt;C179+D179-E179,AND(I179+J179-K179=C179+D179-E179,1&lt;0))),1,0),IF(AND(O179+P179-Q179&gt;0,OR(O179+P179-Q179&lt;C179+D179-E179,AND(O179+P179-Q179=C179+D179-E179,2&lt;0))),1,0),IF(AND(U179+V179-W179&gt;0,OR(U179+V179-W179&lt;C179+D179-E179,AND(U179+V179-W179=C179+D179-E179,3&lt;0))),1,0),IF(AND(AA179+AB179-AC179&gt;0,OR(AA179+AB179-AC179&lt;C179+D179-E179,AND(AA179+AB179-AC179=C179+D179-E179,4&lt;0))),1,0)))</x:f>
        <x:v>99</x:v>
      </x:c>
      <x:c r="G179" s="6" t="n">
        <x:f>IF('Debt strategy'!$C$16&gt;0,0,MIN(C179+D179-E179,MAX(0,'Debt strategy'!$C$5-SUM(E179,K179,Q179,W179,AC179)-SUM(IF(L179&lt;F179,I179+J179-K179,0),IF(R179&lt;F179,O179+P179-Q179,0),IF(X179&lt;F179,U179+V179-W179,0),IF(AD179&lt;F179,AA179+AB179-AC179,0)))))</x:f>
        <x:v>0</x:v>
      </x:c>
      <x:c r="H179" s="6" t="n">
        <x:f>ROUND(MAX(0,C179+D179-E179-G179),2)</x:f>
        <x:v>0</x:v>
      </x:c>
      <x:c r="I179" s="6" t="n">
        <x:f>N178</x:f>
        <x:v>0</x:v>
      </x:c>
      <x:c r="J179" s="6" t="n">
        <x:f>ROUND(I179*'Debt strategy'!$D$10/12,2)</x:f>
        <x:v>0</x:v>
      </x:c>
      <x:c r="K179" s="6" t="n">
        <x:f>MIN(I179+J179,'Debt strategy'!$E$10)</x:f>
        <x:v>0</x:v>
      </x:c>
      <x:c r="L179" s="27" t="n">
        <x:f>IF(I179+J179-K179&lt;=0,99,1+SUM(IF(AND(C179+D179-E179&gt;0,OR(C179+D179-E179&lt;I179+J179-K179,AND(C179+D179-E179=I179+J179-K179,0&lt;1))),1,0),IF(AND(O179+P179-Q179&gt;0,OR(O179+P179-Q179&lt;I179+J179-K179,AND(O179+P179-Q179=I179+J179-K179,2&lt;1))),1,0),IF(AND(U179+V179-W179&gt;0,OR(U179+V179-W179&lt;I179+J179-K179,AND(U179+V179-W179=I179+J179-K179,3&lt;1))),1,0),IF(AND(AA179+AB179-AC179&gt;0,OR(AA179+AB179-AC179&lt;I179+J179-K179,AND(AA179+AB179-AC179=I179+J179-K179,4&lt;1))),1,0)))</x:f>
        <x:v>99</x:v>
      </x:c>
      <x:c r="M179" s="6" t="n">
        <x:f>IF('Debt strategy'!$C$16&gt;0,0,MIN(I179+J179-K179,MAX(0,'Debt strategy'!$C$5-SUM(E179,K179,Q179,W179,AC179)-SUM(IF(F179&lt;L179,C179+D179-E179,0),IF(R179&lt;L179,O179+P179-Q179,0),IF(X179&lt;L179,U179+V179-W179,0),IF(AD179&lt;L179,AA179+AB179-AC179,0)))))</x:f>
        <x:v>0</x:v>
      </x:c>
      <x:c r="N179" s="6" t="n">
        <x:f>ROUND(MAX(0,I179+J179-K179-M179),2)</x:f>
        <x:v>0</x:v>
      </x:c>
      <x:c r="O179" s="6" t="n">
        <x:f>T178</x:f>
        <x:v>0</x:v>
      </x:c>
      <x:c r="P179" s="6" t="n">
        <x:f>ROUND(O179*'Debt strategy'!$D$11/12,2)</x:f>
        <x:v>0</x:v>
      </x:c>
      <x:c r="Q179" s="6" t="n">
        <x:f>MIN(O179+P179,'Debt strategy'!$E$11)</x:f>
        <x:v>0</x:v>
      </x:c>
      <x:c r="R179" s="27" t="n">
        <x:f>IF(O179+P179-Q179&lt;=0,99,1+SUM(IF(AND(C179+D179-E179&gt;0,OR(C179+D179-E179&lt;O179+P179-Q179,AND(C179+D179-E179=O179+P179-Q179,0&lt;2))),1,0),IF(AND(I179+J179-K179&gt;0,OR(I179+J179-K179&lt;O179+P179-Q179,AND(I179+J179-K179=O179+P179-Q179,1&lt;2))),1,0),IF(AND(U179+V179-W179&gt;0,OR(U179+V179-W179&lt;O179+P179-Q179,AND(U179+V179-W179=O179+P179-Q179,3&lt;2))),1,0),IF(AND(AA179+AB179-AC179&gt;0,OR(AA179+AB179-AC179&lt;O179+P179-Q179,AND(AA179+AB179-AC179=O179+P179-Q179,4&lt;2))),1,0)))</x:f>
        <x:v>99</x:v>
      </x:c>
      <x:c r="S179" s="6" t="n">
        <x:f>IF('Debt strategy'!$C$16&gt;0,0,MIN(O179+P179-Q179,MAX(0,'Debt strategy'!$C$5-SUM(E179,K179,Q179,W179,AC179)-SUM(IF(F179&lt;R179,C179+D179-E179,0),IF(L179&lt;R179,I179+J179-K179,0),IF(X179&lt;R179,U179+V179-W179,0),IF(AD179&lt;R179,AA179+AB179-AC179,0)))))</x:f>
        <x:v>0</x:v>
      </x:c>
      <x:c r="T179" s="6" t="n">
        <x:f>ROUND(MAX(0,O179+P179-Q179-S179),2)</x:f>
        <x:v>0</x:v>
      </x:c>
      <x:c r="U179" s="6" t="n">
        <x:f>Z178</x:f>
        <x:v>0</x:v>
      </x:c>
      <x:c r="V179" s="6" t="n">
        <x:f>ROUND(U179*'Debt strategy'!$D$12/12,2)</x:f>
        <x:v>0</x:v>
      </x:c>
      <x:c r="W179" s="6" t="n">
        <x:f>MIN(U179+V179,'Debt strategy'!$E$12)</x:f>
        <x:v>0</x:v>
      </x:c>
      <x:c r="X179" s="27" t="n">
        <x:f>IF(U179+V179-W179&lt;=0,99,1+SUM(IF(AND(C179+D179-E179&gt;0,OR(C179+D179-E179&lt;U179+V179-W179,AND(C179+D179-E179=U179+V179-W179,0&lt;3))),1,0),IF(AND(I179+J179-K179&gt;0,OR(I179+J179-K179&lt;U179+V179-W179,AND(I179+J179-K179=U179+V179-W179,1&lt;3))),1,0),IF(AND(O179+P179-Q179&gt;0,OR(O179+P179-Q179&lt;U179+V179-W179,AND(O179+P179-Q179=U179+V179-W179,2&lt;3))),1,0),IF(AND(AA179+AB179-AC179&gt;0,OR(AA179+AB179-AC179&lt;U179+V179-W179,AND(AA179+AB179-AC179=U179+V179-W179,4&lt;3))),1,0)))</x:f>
        <x:v>99</x:v>
      </x:c>
      <x:c r="Y179" s="6" t="n">
        <x:f>IF('Debt strategy'!$C$16&gt;0,0,MIN(U179+V179-W179,MAX(0,'Debt strategy'!$C$5-SUM(E179,K179,Q179,W179,AC179)-SUM(IF(F179&lt;X179,C179+D179-E179,0),IF(L179&lt;X179,I179+J179-K179,0),IF(R179&lt;X179,O179+P179-Q179,0),IF(AD179&lt;X179,AA179+AB179-AC179,0)))))</x:f>
        <x:v>0</x:v>
      </x:c>
      <x:c r="Z179" s="6" t="n">
        <x:f>ROUND(MAX(0,U179+V179-W179-Y179),2)</x:f>
        <x:v>0</x:v>
      </x:c>
      <x:c r="AA179" s="6" t="n">
        <x:f>AF178</x:f>
        <x:v>0</x:v>
      </x:c>
      <x:c r="AB179" s="6" t="n">
        <x:f>ROUND(AA179*'Debt strategy'!$D$13/12,2)</x:f>
        <x:v>0</x:v>
      </x:c>
      <x:c r="AC179" s="6" t="n">
        <x:f>MIN(AA179+AB179,'Debt strategy'!$E$13)</x:f>
        <x:v>0</x:v>
      </x:c>
      <x:c r="AD179" s="27" t="n">
        <x:f>IF(AA179+AB179-AC179&lt;=0,99,1+SUM(IF(AND(C179+D179-E179&gt;0,OR(C179+D179-E179&lt;AA179+AB179-AC179,AND(C179+D179-E179=AA179+AB179-AC179,0&lt;4))),1,0),IF(AND(I179+J179-K179&gt;0,OR(I179+J179-K179&lt;AA179+AB179-AC179,AND(I179+J179-K179=AA179+AB179-AC179,1&lt;4))),1,0),IF(AND(O179+P179-Q179&gt;0,OR(O179+P179-Q179&lt;AA179+AB179-AC179,AND(O179+P179-Q179=AA179+AB179-AC179,2&lt;4))),1,0),IF(AND(U179+V179-W179&gt;0,OR(U179+V179-W179&lt;AA179+AB179-AC179,AND(U179+V179-W179=AA179+AB179-AC179,3&lt;4))),1,0)))</x:f>
        <x:v>99</x:v>
      </x:c>
      <x:c r="AE179" s="6" t="n">
        <x:f>IF('Debt strategy'!$C$16&gt;0,0,MIN(AA179+AB179-AC179,MAX(0,'Debt strategy'!$C$5-SUM(E179,K179,Q179,W179,AC179)-SUM(IF(F179&lt;AD179,C179+D179-E179,0),IF(L179&lt;AD179,I179+J179-K179,0),IF(R179&lt;AD179,O179+P179-Q179,0),IF(X179&lt;AD179,U179+V179-W179,0)))))</x:f>
        <x:v>0</x:v>
      </x:c>
      <x:c r="AF179" s="6" t="n">
        <x:f>ROUND(MAX(0,AA179+AB179-AC179-AE179),2)</x:f>
        <x:v>0</x:v>
      </x:c>
      <x:c r="AG179" s="6" t="n">
        <x:f>SUM(H179,N179,T179,Z179,AF179)</x:f>
        <x:v>0</x:v>
      </x:c>
      <x:c r="AH179" s="6" t="n">
        <x:f>SUM(D179,J179,P179,V179,AB179)+AH178</x:f>
        <x:v>1353.9499999999996</x:v>
      </x:c>
      <x:c r="AI179" s="2"/>
    </x:row>
    <x:row r="180" ht="23" customHeight="1">
      <x:c r="B180" s="2" t="n">
        <x:f>172</x:f>
        <x:v>172</x:v>
      </x:c>
      <x:c r="C180" s="6" t="n">
        <x:f>H179</x:f>
        <x:v>0</x:v>
      </x:c>
      <x:c r="D180" s="6" t="n">
        <x:f>ROUND(C180*'Debt strategy'!$D$9/12,2)</x:f>
        <x:v>0</x:v>
      </x:c>
      <x:c r="E180" s="6" t="n">
        <x:f>MIN(C180+D180,'Debt strategy'!$E$9)</x:f>
        <x:v>0</x:v>
      </x:c>
      <x:c r="F180" s="27" t="n">
        <x:f>IF(C180+D180-E180&lt;=0,99,1+SUM(IF(AND(I180+J180-K180&gt;0,OR(I180+J180-K180&lt;C180+D180-E180,AND(I180+J180-K180=C180+D180-E180,1&lt;0))),1,0),IF(AND(O180+P180-Q180&gt;0,OR(O180+P180-Q180&lt;C180+D180-E180,AND(O180+P180-Q180=C180+D180-E180,2&lt;0))),1,0),IF(AND(U180+V180-W180&gt;0,OR(U180+V180-W180&lt;C180+D180-E180,AND(U180+V180-W180=C180+D180-E180,3&lt;0))),1,0),IF(AND(AA180+AB180-AC180&gt;0,OR(AA180+AB180-AC180&lt;C180+D180-E180,AND(AA180+AB180-AC180=C180+D180-E180,4&lt;0))),1,0)))</x:f>
        <x:v>99</x:v>
      </x:c>
      <x:c r="G180" s="6" t="n">
        <x:f>IF('Debt strategy'!$C$16&gt;0,0,MIN(C180+D180-E180,MAX(0,'Debt strategy'!$C$5-SUM(E180,K180,Q180,W180,AC180)-SUM(IF(L180&lt;F180,I180+J180-K180,0),IF(R180&lt;F180,O180+P180-Q180,0),IF(X180&lt;F180,U180+V180-W180,0),IF(AD180&lt;F180,AA180+AB180-AC180,0)))))</x:f>
        <x:v>0</x:v>
      </x:c>
      <x:c r="H180" s="6" t="n">
        <x:f>ROUND(MAX(0,C180+D180-E180-G180),2)</x:f>
        <x:v>0</x:v>
      </x:c>
      <x:c r="I180" s="6" t="n">
        <x:f>N179</x:f>
        <x:v>0</x:v>
      </x:c>
      <x:c r="J180" s="6" t="n">
        <x:f>ROUND(I180*'Debt strategy'!$D$10/12,2)</x:f>
        <x:v>0</x:v>
      </x:c>
      <x:c r="K180" s="6" t="n">
        <x:f>MIN(I180+J180,'Debt strategy'!$E$10)</x:f>
        <x:v>0</x:v>
      </x:c>
      <x:c r="L180" s="27" t="n">
        <x:f>IF(I180+J180-K180&lt;=0,99,1+SUM(IF(AND(C180+D180-E180&gt;0,OR(C180+D180-E180&lt;I180+J180-K180,AND(C180+D180-E180=I180+J180-K180,0&lt;1))),1,0),IF(AND(O180+P180-Q180&gt;0,OR(O180+P180-Q180&lt;I180+J180-K180,AND(O180+P180-Q180=I180+J180-K180,2&lt;1))),1,0),IF(AND(U180+V180-W180&gt;0,OR(U180+V180-W180&lt;I180+J180-K180,AND(U180+V180-W180=I180+J180-K180,3&lt;1))),1,0),IF(AND(AA180+AB180-AC180&gt;0,OR(AA180+AB180-AC180&lt;I180+J180-K180,AND(AA180+AB180-AC180=I180+J180-K180,4&lt;1))),1,0)))</x:f>
        <x:v>99</x:v>
      </x:c>
      <x:c r="M180" s="6" t="n">
        <x:f>IF('Debt strategy'!$C$16&gt;0,0,MIN(I180+J180-K180,MAX(0,'Debt strategy'!$C$5-SUM(E180,K180,Q180,W180,AC180)-SUM(IF(F180&lt;L180,C180+D180-E180,0),IF(R180&lt;L180,O180+P180-Q180,0),IF(X180&lt;L180,U180+V180-W180,0),IF(AD180&lt;L180,AA180+AB180-AC180,0)))))</x:f>
        <x:v>0</x:v>
      </x:c>
      <x:c r="N180" s="6" t="n">
        <x:f>ROUND(MAX(0,I180+J180-K180-M180),2)</x:f>
        <x:v>0</x:v>
      </x:c>
      <x:c r="O180" s="6" t="n">
        <x:f>T179</x:f>
        <x:v>0</x:v>
      </x:c>
      <x:c r="P180" s="6" t="n">
        <x:f>ROUND(O180*'Debt strategy'!$D$11/12,2)</x:f>
        <x:v>0</x:v>
      </x:c>
      <x:c r="Q180" s="6" t="n">
        <x:f>MIN(O180+P180,'Debt strategy'!$E$11)</x:f>
        <x:v>0</x:v>
      </x:c>
      <x:c r="R180" s="27" t="n">
        <x:f>IF(O180+P180-Q180&lt;=0,99,1+SUM(IF(AND(C180+D180-E180&gt;0,OR(C180+D180-E180&lt;O180+P180-Q180,AND(C180+D180-E180=O180+P180-Q180,0&lt;2))),1,0),IF(AND(I180+J180-K180&gt;0,OR(I180+J180-K180&lt;O180+P180-Q180,AND(I180+J180-K180=O180+P180-Q180,1&lt;2))),1,0),IF(AND(U180+V180-W180&gt;0,OR(U180+V180-W180&lt;O180+P180-Q180,AND(U180+V180-W180=O180+P180-Q180,3&lt;2))),1,0),IF(AND(AA180+AB180-AC180&gt;0,OR(AA180+AB180-AC180&lt;O180+P180-Q180,AND(AA180+AB180-AC180=O180+P180-Q180,4&lt;2))),1,0)))</x:f>
        <x:v>99</x:v>
      </x:c>
      <x:c r="S180" s="6" t="n">
        <x:f>IF('Debt strategy'!$C$16&gt;0,0,MIN(O180+P180-Q180,MAX(0,'Debt strategy'!$C$5-SUM(E180,K180,Q180,W180,AC180)-SUM(IF(F180&lt;R180,C180+D180-E180,0),IF(L180&lt;R180,I180+J180-K180,0),IF(X180&lt;R180,U180+V180-W180,0),IF(AD180&lt;R180,AA180+AB180-AC180,0)))))</x:f>
        <x:v>0</x:v>
      </x:c>
      <x:c r="T180" s="6" t="n">
        <x:f>ROUND(MAX(0,O180+P180-Q180-S180),2)</x:f>
        <x:v>0</x:v>
      </x:c>
      <x:c r="U180" s="6" t="n">
        <x:f>Z179</x:f>
        <x:v>0</x:v>
      </x:c>
      <x:c r="V180" s="6" t="n">
        <x:f>ROUND(U180*'Debt strategy'!$D$12/12,2)</x:f>
        <x:v>0</x:v>
      </x:c>
      <x:c r="W180" s="6" t="n">
        <x:f>MIN(U180+V180,'Debt strategy'!$E$12)</x:f>
        <x:v>0</x:v>
      </x:c>
      <x:c r="X180" s="27" t="n">
        <x:f>IF(U180+V180-W180&lt;=0,99,1+SUM(IF(AND(C180+D180-E180&gt;0,OR(C180+D180-E180&lt;U180+V180-W180,AND(C180+D180-E180=U180+V180-W180,0&lt;3))),1,0),IF(AND(I180+J180-K180&gt;0,OR(I180+J180-K180&lt;U180+V180-W180,AND(I180+J180-K180=U180+V180-W180,1&lt;3))),1,0),IF(AND(O180+P180-Q180&gt;0,OR(O180+P180-Q180&lt;U180+V180-W180,AND(O180+P180-Q180=U180+V180-W180,2&lt;3))),1,0),IF(AND(AA180+AB180-AC180&gt;0,OR(AA180+AB180-AC180&lt;U180+V180-W180,AND(AA180+AB180-AC180=U180+V180-W180,4&lt;3))),1,0)))</x:f>
        <x:v>99</x:v>
      </x:c>
      <x:c r="Y180" s="6" t="n">
        <x:f>IF('Debt strategy'!$C$16&gt;0,0,MIN(U180+V180-W180,MAX(0,'Debt strategy'!$C$5-SUM(E180,K180,Q180,W180,AC180)-SUM(IF(F180&lt;X180,C180+D180-E180,0),IF(L180&lt;X180,I180+J180-K180,0),IF(R180&lt;X180,O180+P180-Q180,0),IF(AD180&lt;X180,AA180+AB180-AC180,0)))))</x:f>
        <x:v>0</x:v>
      </x:c>
      <x:c r="Z180" s="6" t="n">
        <x:f>ROUND(MAX(0,U180+V180-W180-Y180),2)</x:f>
        <x:v>0</x:v>
      </x:c>
      <x:c r="AA180" s="6" t="n">
        <x:f>AF179</x:f>
        <x:v>0</x:v>
      </x:c>
      <x:c r="AB180" s="6" t="n">
        <x:f>ROUND(AA180*'Debt strategy'!$D$13/12,2)</x:f>
        <x:v>0</x:v>
      </x:c>
      <x:c r="AC180" s="6" t="n">
        <x:f>MIN(AA180+AB180,'Debt strategy'!$E$13)</x:f>
        <x:v>0</x:v>
      </x:c>
      <x:c r="AD180" s="27" t="n">
        <x:f>IF(AA180+AB180-AC180&lt;=0,99,1+SUM(IF(AND(C180+D180-E180&gt;0,OR(C180+D180-E180&lt;AA180+AB180-AC180,AND(C180+D180-E180=AA180+AB180-AC180,0&lt;4))),1,0),IF(AND(I180+J180-K180&gt;0,OR(I180+J180-K180&lt;AA180+AB180-AC180,AND(I180+J180-K180=AA180+AB180-AC180,1&lt;4))),1,0),IF(AND(O180+P180-Q180&gt;0,OR(O180+P180-Q180&lt;AA180+AB180-AC180,AND(O180+P180-Q180=AA180+AB180-AC180,2&lt;4))),1,0),IF(AND(U180+V180-W180&gt;0,OR(U180+V180-W180&lt;AA180+AB180-AC180,AND(U180+V180-W180=AA180+AB180-AC180,3&lt;4))),1,0)))</x:f>
        <x:v>99</x:v>
      </x:c>
      <x:c r="AE180" s="6" t="n">
        <x:f>IF('Debt strategy'!$C$16&gt;0,0,MIN(AA180+AB180-AC180,MAX(0,'Debt strategy'!$C$5-SUM(E180,K180,Q180,W180,AC180)-SUM(IF(F180&lt;AD180,C180+D180-E180,0),IF(L180&lt;AD180,I180+J180-K180,0),IF(R180&lt;AD180,O180+P180-Q180,0),IF(X180&lt;AD180,U180+V180-W180,0)))))</x:f>
        <x:v>0</x:v>
      </x:c>
      <x:c r="AF180" s="6" t="n">
        <x:f>ROUND(MAX(0,AA180+AB180-AC180-AE180),2)</x:f>
        <x:v>0</x:v>
      </x:c>
      <x:c r="AG180" s="6" t="n">
        <x:f>SUM(H180,N180,T180,Z180,AF180)</x:f>
        <x:v>0</x:v>
      </x:c>
      <x:c r="AH180" s="6" t="n">
        <x:f>SUM(D180,J180,P180,V180,AB180)+AH179</x:f>
        <x:v>1353.9499999999996</x:v>
      </x:c>
      <x:c r="AI180" s="2"/>
    </x:row>
    <x:row r="181" ht="23" customHeight="1">
      <x:c r="B181" s="2" t="n">
        <x:f>173</x:f>
        <x:v>173</x:v>
      </x:c>
      <x:c r="C181" s="6" t="n">
        <x:f>H180</x:f>
        <x:v>0</x:v>
      </x:c>
      <x:c r="D181" s="6" t="n">
        <x:f>ROUND(C181*'Debt strategy'!$D$9/12,2)</x:f>
        <x:v>0</x:v>
      </x:c>
      <x:c r="E181" s="6" t="n">
        <x:f>MIN(C181+D181,'Debt strategy'!$E$9)</x:f>
        <x:v>0</x:v>
      </x:c>
      <x:c r="F181" s="27" t="n">
        <x:f>IF(C181+D181-E181&lt;=0,99,1+SUM(IF(AND(I181+J181-K181&gt;0,OR(I181+J181-K181&lt;C181+D181-E181,AND(I181+J181-K181=C181+D181-E181,1&lt;0))),1,0),IF(AND(O181+P181-Q181&gt;0,OR(O181+P181-Q181&lt;C181+D181-E181,AND(O181+P181-Q181=C181+D181-E181,2&lt;0))),1,0),IF(AND(U181+V181-W181&gt;0,OR(U181+V181-W181&lt;C181+D181-E181,AND(U181+V181-W181=C181+D181-E181,3&lt;0))),1,0),IF(AND(AA181+AB181-AC181&gt;0,OR(AA181+AB181-AC181&lt;C181+D181-E181,AND(AA181+AB181-AC181=C181+D181-E181,4&lt;0))),1,0)))</x:f>
        <x:v>99</x:v>
      </x:c>
      <x:c r="G181" s="6" t="n">
        <x:f>IF('Debt strategy'!$C$16&gt;0,0,MIN(C181+D181-E181,MAX(0,'Debt strategy'!$C$5-SUM(E181,K181,Q181,W181,AC181)-SUM(IF(L181&lt;F181,I181+J181-K181,0),IF(R181&lt;F181,O181+P181-Q181,0),IF(X181&lt;F181,U181+V181-W181,0),IF(AD181&lt;F181,AA181+AB181-AC181,0)))))</x:f>
        <x:v>0</x:v>
      </x:c>
      <x:c r="H181" s="6" t="n">
        <x:f>ROUND(MAX(0,C181+D181-E181-G181),2)</x:f>
        <x:v>0</x:v>
      </x:c>
      <x:c r="I181" s="6" t="n">
        <x:f>N180</x:f>
        <x:v>0</x:v>
      </x:c>
      <x:c r="J181" s="6" t="n">
        <x:f>ROUND(I181*'Debt strategy'!$D$10/12,2)</x:f>
        <x:v>0</x:v>
      </x:c>
      <x:c r="K181" s="6" t="n">
        <x:f>MIN(I181+J181,'Debt strategy'!$E$10)</x:f>
        <x:v>0</x:v>
      </x:c>
      <x:c r="L181" s="27" t="n">
        <x:f>IF(I181+J181-K181&lt;=0,99,1+SUM(IF(AND(C181+D181-E181&gt;0,OR(C181+D181-E181&lt;I181+J181-K181,AND(C181+D181-E181=I181+J181-K181,0&lt;1))),1,0),IF(AND(O181+P181-Q181&gt;0,OR(O181+P181-Q181&lt;I181+J181-K181,AND(O181+P181-Q181=I181+J181-K181,2&lt;1))),1,0),IF(AND(U181+V181-W181&gt;0,OR(U181+V181-W181&lt;I181+J181-K181,AND(U181+V181-W181=I181+J181-K181,3&lt;1))),1,0),IF(AND(AA181+AB181-AC181&gt;0,OR(AA181+AB181-AC181&lt;I181+J181-K181,AND(AA181+AB181-AC181=I181+J181-K181,4&lt;1))),1,0)))</x:f>
        <x:v>99</x:v>
      </x:c>
      <x:c r="M181" s="6" t="n">
        <x:f>IF('Debt strategy'!$C$16&gt;0,0,MIN(I181+J181-K181,MAX(0,'Debt strategy'!$C$5-SUM(E181,K181,Q181,W181,AC181)-SUM(IF(F181&lt;L181,C181+D181-E181,0),IF(R181&lt;L181,O181+P181-Q181,0),IF(X181&lt;L181,U181+V181-W181,0),IF(AD181&lt;L181,AA181+AB181-AC181,0)))))</x:f>
        <x:v>0</x:v>
      </x:c>
      <x:c r="N181" s="6" t="n">
        <x:f>ROUND(MAX(0,I181+J181-K181-M181),2)</x:f>
        <x:v>0</x:v>
      </x:c>
      <x:c r="O181" s="6" t="n">
        <x:f>T180</x:f>
        <x:v>0</x:v>
      </x:c>
      <x:c r="P181" s="6" t="n">
        <x:f>ROUND(O181*'Debt strategy'!$D$11/12,2)</x:f>
        <x:v>0</x:v>
      </x:c>
      <x:c r="Q181" s="6" t="n">
        <x:f>MIN(O181+P181,'Debt strategy'!$E$11)</x:f>
        <x:v>0</x:v>
      </x:c>
      <x:c r="R181" s="27" t="n">
        <x:f>IF(O181+P181-Q181&lt;=0,99,1+SUM(IF(AND(C181+D181-E181&gt;0,OR(C181+D181-E181&lt;O181+P181-Q181,AND(C181+D181-E181=O181+P181-Q181,0&lt;2))),1,0),IF(AND(I181+J181-K181&gt;0,OR(I181+J181-K181&lt;O181+P181-Q181,AND(I181+J181-K181=O181+P181-Q181,1&lt;2))),1,0),IF(AND(U181+V181-W181&gt;0,OR(U181+V181-W181&lt;O181+P181-Q181,AND(U181+V181-W181=O181+P181-Q181,3&lt;2))),1,0),IF(AND(AA181+AB181-AC181&gt;0,OR(AA181+AB181-AC181&lt;O181+P181-Q181,AND(AA181+AB181-AC181=O181+P181-Q181,4&lt;2))),1,0)))</x:f>
        <x:v>99</x:v>
      </x:c>
      <x:c r="S181" s="6" t="n">
        <x:f>IF('Debt strategy'!$C$16&gt;0,0,MIN(O181+P181-Q181,MAX(0,'Debt strategy'!$C$5-SUM(E181,K181,Q181,W181,AC181)-SUM(IF(F181&lt;R181,C181+D181-E181,0),IF(L181&lt;R181,I181+J181-K181,0),IF(X181&lt;R181,U181+V181-W181,0),IF(AD181&lt;R181,AA181+AB181-AC181,0)))))</x:f>
        <x:v>0</x:v>
      </x:c>
      <x:c r="T181" s="6" t="n">
        <x:f>ROUND(MAX(0,O181+P181-Q181-S181),2)</x:f>
        <x:v>0</x:v>
      </x:c>
      <x:c r="U181" s="6" t="n">
        <x:f>Z180</x:f>
        <x:v>0</x:v>
      </x:c>
      <x:c r="V181" s="6" t="n">
        <x:f>ROUND(U181*'Debt strategy'!$D$12/12,2)</x:f>
        <x:v>0</x:v>
      </x:c>
      <x:c r="W181" s="6" t="n">
        <x:f>MIN(U181+V181,'Debt strategy'!$E$12)</x:f>
        <x:v>0</x:v>
      </x:c>
      <x:c r="X181" s="27" t="n">
        <x:f>IF(U181+V181-W181&lt;=0,99,1+SUM(IF(AND(C181+D181-E181&gt;0,OR(C181+D181-E181&lt;U181+V181-W181,AND(C181+D181-E181=U181+V181-W181,0&lt;3))),1,0),IF(AND(I181+J181-K181&gt;0,OR(I181+J181-K181&lt;U181+V181-W181,AND(I181+J181-K181=U181+V181-W181,1&lt;3))),1,0),IF(AND(O181+P181-Q181&gt;0,OR(O181+P181-Q181&lt;U181+V181-W181,AND(O181+P181-Q181=U181+V181-W181,2&lt;3))),1,0),IF(AND(AA181+AB181-AC181&gt;0,OR(AA181+AB181-AC181&lt;U181+V181-W181,AND(AA181+AB181-AC181=U181+V181-W181,4&lt;3))),1,0)))</x:f>
        <x:v>99</x:v>
      </x:c>
      <x:c r="Y181" s="6" t="n">
        <x:f>IF('Debt strategy'!$C$16&gt;0,0,MIN(U181+V181-W181,MAX(0,'Debt strategy'!$C$5-SUM(E181,K181,Q181,W181,AC181)-SUM(IF(F181&lt;X181,C181+D181-E181,0),IF(L181&lt;X181,I181+J181-K181,0),IF(R181&lt;X181,O181+P181-Q181,0),IF(AD181&lt;X181,AA181+AB181-AC181,0)))))</x:f>
        <x:v>0</x:v>
      </x:c>
      <x:c r="Z181" s="6" t="n">
        <x:f>ROUND(MAX(0,U181+V181-W181-Y181),2)</x:f>
        <x:v>0</x:v>
      </x:c>
      <x:c r="AA181" s="6" t="n">
        <x:f>AF180</x:f>
        <x:v>0</x:v>
      </x:c>
      <x:c r="AB181" s="6" t="n">
        <x:f>ROUND(AA181*'Debt strategy'!$D$13/12,2)</x:f>
        <x:v>0</x:v>
      </x:c>
      <x:c r="AC181" s="6" t="n">
        <x:f>MIN(AA181+AB181,'Debt strategy'!$E$13)</x:f>
        <x:v>0</x:v>
      </x:c>
      <x:c r="AD181" s="27" t="n">
        <x:f>IF(AA181+AB181-AC181&lt;=0,99,1+SUM(IF(AND(C181+D181-E181&gt;0,OR(C181+D181-E181&lt;AA181+AB181-AC181,AND(C181+D181-E181=AA181+AB181-AC181,0&lt;4))),1,0),IF(AND(I181+J181-K181&gt;0,OR(I181+J181-K181&lt;AA181+AB181-AC181,AND(I181+J181-K181=AA181+AB181-AC181,1&lt;4))),1,0),IF(AND(O181+P181-Q181&gt;0,OR(O181+P181-Q181&lt;AA181+AB181-AC181,AND(O181+P181-Q181=AA181+AB181-AC181,2&lt;4))),1,0),IF(AND(U181+V181-W181&gt;0,OR(U181+V181-W181&lt;AA181+AB181-AC181,AND(U181+V181-W181=AA181+AB181-AC181,3&lt;4))),1,0)))</x:f>
        <x:v>99</x:v>
      </x:c>
      <x:c r="AE181" s="6" t="n">
        <x:f>IF('Debt strategy'!$C$16&gt;0,0,MIN(AA181+AB181-AC181,MAX(0,'Debt strategy'!$C$5-SUM(E181,K181,Q181,W181,AC181)-SUM(IF(F181&lt;AD181,C181+D181-E181,0),IF(L181&lt;AD181,I181+J181-K181,0),IF(R181&lt;AD181,O181+P181-Q181,0),IF(X181&lt;AD181,U181+V181-W181,0)))))</x:f>
        <x:v>0</x:v>
      </x:c>
      <x:c r="AF181" s="6" t="n">
        <x:f>ROUND(MAX(0,AA181+AB181-AC181-AE181),2)</x:f>
        <x:v>0</x:v>
      </x:c>
      <x:c r="AG181" s="6" t="n">
        <x:f>SUM(H181,N181,T181,Z181,AF181)</x:f>
        <x:v>0</x:v>
      </x:c>
      <x:c r="AH181" s="6" t="n">
        <x:f>SUM(D181,J181,P181,V181,AB181)+AH180</x:f>
        <x:v>1353.9499999999996</x:v>
      </x:c>
      <x:c r="AI181" s="2"/>
    </x:row>
    <x:row r="182" ht="23" customHeight="1">
      <x:c r="B182" s="2" t="n">
        <x:f>174</x:f>
        <x:v>174</x:v>
      </x:c>
      <x:c r="C182" s="6" t="n">
        <x:f>H181</x:f>
        <x:v>0</x:v>
      </x:c>
      <x:c r="D182" s="6" t="n">
        <x:f>ROUND(C182*'Debt strategy'!$D$9/12,2)</x:f>
        <x:v>0</x:v>
      </x:c>
      <x:c r="E182" s="6" t="n">
        <x:f>MIN(C182+D182,'Debt strategy'!$E$9)</x:f>
        <x:v>0</x:v>
      </x:c>
      <x:c r="F182" s="27" t="n">
        <x:f>IF(C182+D182-E182&lt;=0,99,1+SUM(IF(AND(I182+J182-K182&gt;0,OR(I182+J182-K182&lt;C182+D182-E182,AND(I182+J182-K182=C182+D182-E182,1&lt;0))),1,0),IF(AND(O182+P182-Q182&gt;0,OR(O182+P182-Q182&lt;C182+D182-E182,AND(O182+P182-Q182=C182+D182-E182,2&lt;0))),1,0),IF(AND(U182+V182-W182&gt;0,OR(U182+V182-W182&lt;C182+D182-E182,AND(U182+V182-W182=C182+D182-E182,3&lt;0))),1,0),IF(AND(AA182+AB182-AC182&gt;0,OR(AA182+AB182-AC182&lt;C182+D182-E182,AND(AA182+AB182-AC182=C182+D182-E182,4&lt;0))),1,0)))</x:f>
        <x:v>99</x:v>
      </x:c>
      <x:c r="G182" s="6" t="n">
        <x:f>IF('Debt strategy'!$C$16&gt;0,0,MIN(C182+D182-E182,MAX(0,'Debt strategy'!$C$5-SUM(E182,K182,Q182,W182,AC182)-SUM(IF(L182&lt;F182,I182+J182-K182,0),IF(R182&lt;F182,O182+P182-Q182,0),IF(X182&lt;F182,U182+V182-W182,0),IF(AD182&lt;F182,AA182+AB182-AC182,0)))))</x:f>
        <x:v>0</x:v>
      </x:c>
      <x:c r="H182" s="6" t="n">
        <x:f>ROUND(MAX(0,C182+D182-E182-G182),2)</x:f>
        <x:v>0</x:v>
      </x:c>
      <x:c r="I182" s="6" t="n">
        <x:f>N181</x:f>
        <x:v>0</x:v>
      </x:c>
      <x:c r="J182" s="6" t="n">
        <x:f>ROUND(I182*'Debt strategy'!$D$10/12,2)</x:f>
        <x:v>0</x:v>
      </x:c>
      <x:c r="K182" s="6" t="n">
        <x:f>MIN(I182+J182,'Debt strategy'!$E$10)</x:f>
        <x:v>0</x:v>
      </x:c>
      <x:c r="L182" s="27" t="n">
        <x:f>IF(I182+J182-K182&lt;=0,99,1+SUM(IF(AND(C182+D182-E182&gt;0,OR(C182+D182-E182&lt;I182+J182-K182,AND(C182+D182-E182=I182+J182-K182,0&lt;1))),1,0),IF(AND(O182+P182-Q182&gt;0,OR(O182+P182-Q182&lt;I182+J182-K182,AND(O182+P182-Q182=I182+J182-K182,2&lt;1))),1,0),IF(AND(U182+V182-W182&gt;0,OR(U182+V182-W182&lt;I182+J182-K182,AND(U182+V182-W182=I182+J182-K182,3&lt;1))),1,0),IF(AND(AA182+AB182-AC182&gt;0,OR(AA182+AB182-AC182&lt;I182+J182-K182,AND(AA182+AB182-AC182=I182+J182-K182,4&lt;1))),1,0)))</x:f>
        <x:v>99</x:v>
      </x:c>
      <x:c r="M182" s="6" t="n">
        <x:f>IF('Debt strategy'!$C$16&gt;0,0,MIN(I182+J182-K182,MAX(0,'Debt strategy'!$C$5-SUM(E182,K182,Q182,W182,AC182)-SUM(IF(F182&lt;L182,C182+D182-E182,0),IF(R182&lt;L182,O182+P182-Q182,0),IF(X182&lt;L182,U182+V182-W182,0),IF(AD182&lt;L182,AA182+AB182-AC182,0)))))</x:f>
        <x:v>0</x:v>
      </x:c>
      <x:c r="N182" s="6" t="n">
        <x:f>ROUND(MAX(0,I182+J182-K182-M182),2)</x:f>
        <x:v>0</x:v>
      </x:c>
      <x:c r="O182" s="6" t="n">
        <x:f>T181</x:f>
        <x:v>0</x:v>
      </x:c>
      <x:c r="P182" s="6" t="n">
        <x:f>ROUND(O182*'Debt strategy'!$D$11/12,2)</x:f>
        <x:v>0</x:v>
      </x:c>
      <x:c r="Q182" s="6" t="n">
        <x:f>MIN(O182+P182,'Debt strategy'!$E$11)</x:f>
        <x:v>0</x:v>
      </x:c>
      <x:c r="R182" s="27" t="n">
        <x:f>IF(O182+P182-Q182&lt;=0,99,1+SUM(IF(AND(C182+D182-E182&gt;0,OR(C182+D182-E182&lt;O182+P182-Q182,AND(C182+D182-E182=O182+P182-Q182,0&lt;2))),1,0),IF(AND(I182+J182-K182&gt;0,OR(I182+J182-K182&lt;O182+P182-Q182,AND(I182+J182-K182=O182+P182-Q182,1&lt;2))),1,0),IF(AND(U182+V182-W182&gt;0,OR(U182+V182-W182&lt;O182+P182-Q182,AND(U182+V182-W182=O182+P182-Q182,3&lt;2))),1,0),IF(AND(AA182+AB182-AC182&gt;0,OR(AA182+AB182-AC182&lt;O182+P182-Q182,AND(AA182+AB182-AC182=O182+P182-Q182,4&lt;2))),1,0)))</x:f>
        <x:v>99</x:v>
      </x:c>
      <x:c r="S182" s="6" t="n">
        <x:f>IF('Debt strategy'!$C$16&gt;0,0,MIN(O182+P182-Q182,MAX(0,'Debt strategy'!$C$5-SUM(E182,K182,Q182,W182,AC182)-SUM(IF(F182&lt;R182,C182+D182-E182,0),IF(L182&lt;R182,I182+J182-K182,0),IF(X182&lt;R182,U182+V182-W182,0),IF(AD182&lt;R182,AA182+AB182-AC182,0)))))</x:f>
        <x:v>0</x:v>
      </x:c>
      <x:c r="T182" s="6" t="n">
        <x:f>ROUND(MAX(0,O182+P182-Q182-S182),2)</x:f>
        <x:v>0</x:v>
      </x:c>
      <x:c r="U182" s="6" t="n">
        <x:f>Z181</x:f>
        <x:v>0</x:v>
      </x:c>
      <x:c r="V182" s="6" t="n">
        <x:f>ROUND(U182*'Debt strategy'!$D$12/12,2)</x:f>
        <x:v>0</x:v>
      </x:c>
      <x:c r="W182" s="6" t="n">
        <x:f>MIN(U182+V182,'Debt strategy'!$E$12)</x:f>
        <x:v>0</x:v>
      </x:c>
      <x:c r="X182" s="27" t="n">
        <x:f>IF(U182+V182-W182&lt;=0,99,1+SUM(IF(AND(C182+D182-E182&gt;0,OR(C182+D182-E182&lt;U182+V182-W182,AND(C182+D182-E182=U182+V182-W182,0&lt;3))),1,0),IF(AND(I182+J182-K182&gt;0,OR(I182+J182-K182&lt;U182+V182-W182,AND(I182+J182-K182=U182+V182-W182,1&lt;3))),1,0),IF(AND(O182+P182-Q182&gt;0,OR(O182+P182-Q182&lt;U182+V182-W182,AND(O182+P182-Q182=U182+V182-W182,2&lt;3))),1,0),IF(AND(AA182+AB182-AC182&gt;0,OR(AA182+AB182-AC182&lt;U182+V182-W182,AND(AA182+AB182-AC182=U182+V182-W182,4&lt;3))),1,0)))</x:f>
        <x:v>99</x:v>
      </x:c>
      <x:c r="Y182" s="6" t="n">
        <x:f>IF('Debt strategy'!$C$16&gt;0,0,MIN(U182+V182-W182,MAX(0,'Debt strategy'!$C$5-SUM(E182,K182,Q182,W182,AC182)-SUM(IF(F182&lt;X182,C182+D182-E182,0),IF(L182&lt;X182,I182+J182-K182,0),IF(R182&lt;X182,O182+P182-Q182,0),IF(AD182&lt;X182,AA182+AB182-AC182,0)))))</x:f>
        <x:v>0</x:v>
      </x:c>
      <x:c r="Z182" s="6" t="n">
        <x:f>ROUND(MAX(0,U182+V182-W182-Y182),2)</x:f>
        <x:v>0</x:v>
      </x:c>
      <x:c r="AA182" s="6" t="n">
        <x:f>AF181</x:f>
        <x:v>0</x:v>
      </x:c>
      <x:c r="AB182" s="6" t="n">
        <x:f>ROUND(AA182*'Debt strategy'!$D$13/12,2)</x:f>
        <x:v>0</x:v>
      </x:c>
      <x:c r="AC182" s="6" t="n">
        <x:f>MIN(AA182+AB182,'Debt strategy'!$E$13)</x:f>
        <x:v>0</x:v>
      </x:c>
      <x:c r="AD182" s="27" t="n">
        <x:f>IF(AA182+AB182-AC182&lt;=0,99,1+SUM(IF(AND(C182+D182-E182&gt;0,OR(C182+D182-E182&lt;AA182+AB182-AC182,AND(C182+D182-E182=AA182+AB182-AC182,0&lt;4))),1,0),IF(AND(I182+J182-K182&gt;0,OR(I182+J182-K182&lt;AA182+AB182-AC182,AND(I182+J182-K182=AA182+AB182-AC182,1&lt;4))),1,0),IF(AND(O182+P182-Q182&gt;0,OR(O182+P182-Q182&lt;AA182+AB182-AC182,AND(O182+P182-Q182=AA182+AB182-AC182,2&lt;4))),1,0),IF(AND(U182+V182-W182&gt;0,OR(U182+V182-W182&lt;AA182+AB182-AC182,AND(U182+V182-W182=AA182+AB182-AC182,3&lt;4))),1,0)))</x:f>
        <x:v>99</x:v>
      </x:c>
      <x:c r="AE182" s="6" t="n">
        <x:f>IF('Debt strategy'!$C$16&gt;0,0,MIN(AA182+AB182-AC182,MAX(0,'Debt strategy'!$C$5-SUM(E182,K182,Q182,W182,AC182)-SUM(IF(F182&lt;AD182,C182+D182-E182,0),IF(L182&lt;AD182,I182+J182-K182,0),IF(R182&lt;AD182,O182+P182-Q182,0),IF(X182&lt;AD182,U182+V182-W182,0)))))</x:f>
        <x:v>0</x:v>
      </x:c>
      <x:c r="AF182" s="6" t="n">
        <x:f>ROUND(MAX(0,AA182+AB182-AC182-AE182),2)</x:f>
        <x:v>0</x:v>
      </x:c>
      <x:c r="AG182" s="6" t="n">
        <x:f>SUM(H182,N182,T182,Z182,AF182)</x:f>
        <x:v>0</x:v>
      </x:c>
      <x:c r="AH182" s="6" t="n">
        <x:f>SUM(D182,J182,P182,V182,AB182)+AH181</x:f>
        <x:v>1353.9499999999996</x:v>
      </x:c>
      <x:c r="AI182" s="2"/>
    </x:row>
    <x:row r="183" ht="23" customHeight="1">
      <x:c r="B183" s="2" t="n">
        <x:f>175</x:f>
        <x:v>175</x:v>
      </x:c>
      <x:c r="C183" s="6" t="n">
        <x:f>H182</x:f>
        <x:v>0</x:v>
      </x:c>
      <x:c r="D183" s="6" t="n">
        <x:f>ROUND(C183*'Debt strategy'!$D$9/12,2)</x:f>
        <x:v>0</x:v>
      </x:c>
      <x:c r="E183" s="6" t="n">
        <x:f>MIN(C183+D183,'Debt strategy'!$E$9)</x:f>
        <x:v>0</x:v>
      </x:c>
      <x:c r="F183" s="27" t="n">
        <x:f>IF(C183+D183-E183&lt;=0,99,1+SUM(IF(AND(I183+J183-K183&gt;0,OR(I183+J183-K183&lt;C183+D183-E183,AND(I183+J183-K183=C183+D183-E183,1&lt;0))),1,0),IF(AND(O183+P183-Q183&gt;0,OR(O183+P183-Q183&lt;C183+D183-E183,AND(O183+P183-Q183=C183+D183-E183,2&lt;0))),1,0),IF(AND(U183+V183-W183&gt;0,OR(U183+V183-W183&lt;C183+D183-E183,AND(U183+V183-W183=C183+D183-E183,3&lt;0))),1,0),IF(AND(AA183+AB183-AC183&gt;0,OR(AA183+AB183-AC183&lt;C183+D183-E183,AND(AA183+AB183-AC183=C183+D183-E183,4&lt;0))),1,0)))</x:f>
        <x:v>99</x:v>
      </x:c>
      <x:c r="G183" s="6" t="n">
        <x:f>IF('Debt strategy'!$C$16&gt;0,0,MIN(C183+D183-E183,MAX(0,'Debt strategy'!$C$5-SUM(E183,K183,Q183,W183,AC183)-SUM(IF(L183&lt;F183,I183+J183-K183,0),IF(R183&lt;F183,O183+P183-Q183,0),IF(X183&lt;F183,U183+V183-W183,0),IF(AD183&lt;F183,AA183+AB183-AC183,0)))))</x:f>
        <x:v>0</x:v>
      </x:c>
      <x:c r="H183" s="6" t="n">
        <x:f>ROUND(MAX(0,C183+D183-E183-G183),2)</x:f>
        <x:v>0</x:v>
      </x:c>
      <x:c r="I183" s="6" t="n">
        <x:f>N182</x:f>
        <x:v>0</x:v>
      </x:c>
      <x:c r="J183" s="6" t="n">
        <x:f>ROUND(I183*'Debt strategy'!$D$10/12,2)</x:f>
        <x:v>0</x:v>
      </x:c>
      <x:c r="K183" s="6" t="n">
        <x:f>MIN(I183+J183,'Debt strategy'!$E$10)</x:f>
        <x:v>0</x:v>
      </x:c>
      <x:c r="L183" s="27" t="n">
        <x:f>IF(I183+J183-K183&lt;=0,99,1+SUM(IF(AND(C183+D183-E183&gt;0,OR(C183+D183-E183&lt;I183+J183-K183,AND(C183+D183-E183=I183+J183-K183,0&lt;1))),1,0),IF(AND(O183+P183-Q183&gt;0,OR(O183+P183-Q183&lt;I183+J183-K183,AND(O183+P183-Q183=I183+J183-K183,2&lt;1))),1,0),IF(AND(U183+V183-W183&gt;0,OR(U183+V183-W183&lt;I183+J183-K183,AND(U183+V183-W183=I183+J183-K183,3&lt;1))),1,0),IF(AND(AA183+AB183-AC183&gt;0,OR(AA183+AB183-AC183&lt;I183+J183-K183,AND(AA183+AB183-AC183=I183+J183-K183,4&lt;1))),1,0)))</x:f>
        <x:v>99</x:v>
      </x:c>
      <x:c r="M183" s="6" t="n">
        <x:f>IF('Debt strategy'!$C$16&gt;0,0,MIN(I183+J183-K183,MAX(0,'Debt strategy'!$C$5-SUM(E183,K183,Q183,W183,AC183)-SUM(IF(F183&lt;L183,C183+D183-E183,0),IF(R183&lt;L183,O183+P183-Q183,0),IF(X183&lt;L183,U183+V183-W183,0),IF(AD183&lt;L183,AA183+AB183-AC183,0)))))</x:f>
        <x:v>0</x:v>
      </x:c>
      <x:c r="N183" s="6" t="n">
        <x:f>ROUND(MAX(0,I183+J183-K183-M183),2)</x:f>
        <x:v>0</x:v>
      </x:c>
      <x:c r="O183" s="6" t="n">
        <x:f>T182</x:f>
        <x:v>0</x:v>
      </x:c>
      <x:c r="P183" s="6" t="n">
        <x:f>ROUND(O183*'Debt strategy'!$D$11/12,2)</x:f>
        <x:v>0</x:v>
      </x:c>
      <x:c r="Q183" s="6" t="n">
        <x:f>MIN(O183+P183,'Debt strategy'!$E$11)</x:f>
        <x:v>0</x:v>
      </x:c>
      <x:c r="R183" s="27" t="n">
        <x:f>IF(O183+P183-Q183&lt;=0,99,1+SUM(IF(AND(C183+D183-E183&gt;0,OR(C183+D183-E183&lt;O183+P183-Q183,AND(C183+D183-E183=O183+P183-Q183,0&lt;2))),1,0),IF(AND(I183+J183-K183&gt;0,OR(I183+J183-K183&lt;O183+P183-Q183,AND(I183+J183-K183=O183+P183-Q183,1&lt;2))),1,0),IF(AND(U183+V183-W183&gt;0,OR(U183+V183-W183&lt;O183+P183-Q183,AND(U183+V183-W183=O183+P183-Q183,3&lt;2))),1,0),IF(AND(AA183+AB183-AC183&gt;0,OR(AA183+AB183-AC183&lt;O183+P183-Q183,AND(AA183+AB183-AC183=O183+P183-Q183,4&lt;2))),1,0)))</x:f>
        <x:v>99</x:v>
      </x:c>
      <x:c r="S183" s="6" t="n">
        <x:f>IF('Debt strategy'!$C$16&gt;0,0,MIN(O183+P183-Q183,MAX(0,'Debt strategy'!$C$5-SUM(E183,K183,Q183,W183,AC183)-SUM(IF(F183&lt;R183,C183+D183-E183,0),IF(L183&lt;R183,I183+J183-K183,0),IF(X183&lt;R183,U183+V183-W183,0),IF(AD183&lt;R183,AA183+AB183-AC183,0)))))</x:f>
        <x:v>0</x:v>
      </x:c>
      <x:c r="T183" s="6" t="n">
        <x:f>ROUND(MAX(0,O183+P183-Q183-S183),2)</x:f>
        <x:v>0</x:v>
      </x:c>
      <x:c r="U183" s="6" t="n">
        <x:f>Z182</x:f>
        <x:v>0</x:v>
      </x:c>
      <x:c r="V183" s="6" t="n">
        <x:f>ROUND(U183*'Debt strategy'!$D$12/12,2)</x:f>
        <x:v>0</x:v>
      </x:c>
      <x:c r="W183" s="6" t="n">
        <x:f>MIN(U183+V183,'Debt strategy'!$E$12)</x:f>
        <x:v>0</x:v>
      </x:c>
      <x:c r="X183" s="27" t="n">
        <x:f>IF(U183+V183-W183&lt;=0,99,1+SUM(IF(AND(C183+D183-E183&gt;0,OR(C183+D183-E183&lt;U183+V183-W183,AND(C183+D183-E183=U183+V183-W183,0&lt;3))),1,0),IF(AND(I183+J183-K183&gt;0,OR(I183+J183-K183&lt;U183+V183-W183,AND(I183+J183-K183=U183+V183-W183,1&lt;3))),1,0),IF(AND(O183+P183-Q183&gt;0,OR(O183+P183-Q183&lt;U183+V183-W183,AND(O183+P183-Q183=U183+V183-W183,2&lt;3))),1,0),IF(AND(AA183+AB183-AC183&gt;0,OR(AA183+AB183-AC183&lt;U183+V183-W183,AND(AA183+AB183-AC183=U183+V183-W183,4&lt;3))),1,0)))</x:f>
        <x:v>99</x:v>
      </x:c>
      <x:c r="Y183" s="6" t="n">
        <x:f>IF('Debt strategy'!$C$16&gt;0,0,MIN(U183+V183-W183,MAX(0,'Debt strategy'!$C$5-SUM(E183,K183,Q183,W183,AC183)-SUM(IF(F183&lt;X183,C183+D183-E183,0),IF(L183&lt;X183,I183+J183-K183,0),IF(R183&lt;X183,O183+P183-Q183,0),IF(AD183&lt;X183,AA183+AB183-AC183,0)))))</x:f>
        <x:v>0</x:v>
      </x:c>
      <x:c r="Z183" s="6" t="n">
        <x:f>ROUND(MAX(0,U183+V183-W183-Y183),2)</x:f>
        <x:v>0</x:v>
      </x:c>
      <x:c r="AA183" s="6" t="n">
        <x:f>AF182</x:f>
        <x:v>0</x:v>
      </x:c>
      <x:c r="AB183" s="6" t="n">
        <x:f>ROUND(AA183*'Debt strategy'!$D$13/12,2)</x:f>
        <x:v>0</x:v>
      </x:c>
      <x:c r="AC183" s="6" t="n">
        <x:f>MIN(AA183+AB183,'Debt strategy'!$E$13)</x:f>
        <x:v>0</x:v>
      </x:c>
      <x:c r="AD183" s="27" t="n">
        <x:f>IF(AA183+AB183-AC183&lt;=0,99,1+SUM(IF(AND(C183+D183-E183&gt;0,OR(C183+D183-E183&lt;AA183+AB183-AC183,AND(C183+D183-E183=AA183+AB183-AC183,0&lt;4))),1,0),IF(AND(I183+J183-K183&gt;0,OR(I183+J183-K183&lt;AA183+AB183-AC183,AND(I183+J183-K183=AA183+AB183-AC183,1&lt;4))),1,0),IF(AND(O183+P183-Q183&gt;0,OR(O183+P183-Q183&lt;AA183+AB183-AC183,AND(O183+P183-Q183=AA183+AB183-AC183,2&lt;4))),1,0),IF(AND(U183+V183-W183&gt;0,OR(U183+V183-W183&lt;AA183+AB183-AC183,AND(U183+V183-W183=AA183+AB183-AC183,3&lt;4))),1,0)))</x:f>
        <x:v>99</x:v>
      </x:c>
      <x:c r="AE183" s="6" t="n">
        <x:f>IF('Debt strategy'!$C$16&gt;0,0,MIN(AA183+AB183-AC183,MAX(0,'Debt strategy'!$C$5-SUM(E183,K183,Q183,W183,AC183)-SUM(IF(F183&lt;AD183,C183+D183-E183,0),IF(L183&lt;AD183,I183+J183-K183,0),IF(R183&lt;AD183,O183+P183-Q183,0),IF(X183&lt;AD183,U183+V183-W183,0)))))</x:f>
        <x:v>0</x:v>
      </x:c>
      <x:c r="AF183" s="6" t="n">
        <x:f>ROUND(MAX(0,AA183+AB183-AC183-AE183),2)</x:f>
        <x:v>0</x:v>
      </x:c>
      <x:c r="AG183" s="6" t="n">
        <x:f>SUM(H183,N183,T183,Z183,AF183)</x:f>
        <x:v>0</x:v>
      </x:c>
      <x:c r="AH183" s="6" t="n">
        <x:f>SUM(D183,J183,P183,V183,AB183)+AH182</x:f>
        <x:v>1353.9499999999996</x:v>
      </x:c>
      <x:c r="AI183" s="2"/>
    </x:row>
    <x:row r="184" ht="23" customHeight="1">
      <x:c r="B184" s="2" t="n">
        <x:f>176</x:f>
        <x:v>176</x:v>
      </x:c>
      <x:c r="C184" s="6" t="n">
        <x:f>H183</x:f>
        <x:v>0</x:v>
      </x:c>
      <x:c r="D184" s="6" t="n">
        <x:f>ROUND(C184*'Debt strategy'!$D$9/12,2)</x:f>
        <x:v>0</x:v>
      </x:c>
      <x:c r="E184" s="6" t="n">
        <x:f>MIN(C184+D184,'Debt strategy'!$E$9)</x:f>
        <x:v>0</x:v>
      </x:c>
      <x:c r="F184" s="27" t="n">
        <x:f>IF(C184+D184-E184&lt;=0,99,1+SUM(IF(AND(I184+J184-K184&gt;0,OR(I184+J184-K184&lt;C184+D184-E184,AND(I184+J184-K184=C184+D184-E184,1&lt;0))),1,0),IF(AND(O184+P184-Q184&gt;0,OR(O184+P184-Q184&lt;C184+D184-E184,AND(O184+P184-Q184=C184+D184-E184,2&lt;0))),1,0),IF(AND(U184+V184-W184&gt;0,OR(U184+V184-W184&lt;C184+D184-E184,AND(U184+V184-W184=C184+D184-E184,3&lt;0))),1,0),IF(AND(AA184+AB184-AC184&gt;0,OR(AA184+AB184-AC184&lt;C184+D184-E184,AND(AA184+AB184-AC184=C184+D184-E184,4&lt;0))),1,0)))</x:f>
        <x:v>99</x:v>
      </x:c>
      <x:c r="G184" s="6" t="n">
        <x:f>IF('Debt strategy'!$C$16&gt;0,0,MIN(C184+D184-E184,MAX(0,'Debt strategy'!$C$5-SUM(E184,K184,Q184,W184,AC184)-SUM(IF(L184&lt;F184,I184+J184-K184,0),IF(R184&lt;F184,O184+P184-Q184,0),IF(X184&lt;F184,U184+V184-W184,0),IF(AD184&lt;F184,AA184+AB184-AC184,0)))))</x:f>
        <x:v>0</x:v>
      </x:c>
      <x:c r="H184" s="6" t="n">
        <x:f>ROUND(MAX(0,C184+D184-E184-G184),2)</x:f>
        <x:v>0</x:v>
      </x:c>
      <x:c r="I184" s="6" t="n">
        <x:f>N183</x:f>
        <x:v>0</x:v>
      </x:c>
      <x:c r="J184" s="6" t="n">
        <x:f>ROUND(I184*'Debt strategy'!$D$10/12,2)</x:f>
        <x:v>0</x:v>
      </x:c>
      <x:c r="K184" s="6" t="n">
        <x:f>MIN(I184+J184,'Debt strategy'!$E$10)</x:f>
        <x:v>0</x:v>
      </x:c>
      <x:c r="L184" s="27" t="n">
        <x:f>IF(I184+J184-K184&lt;=0,99,1+SUM(IF(AND(C184+D184-E184&gt;0,OR(C184+D184-E184&lt;I184+J184-K184,AND(C184+D184-E184=I184+J184-K184,0&lt;1))),1,0),IF(AND(O184+P184-Q184&gt;0,OR(O184+P184-Q184&lt;I184+J184-K184,AND(O184+P184-Q184=I184+J184-K184,2&lt;1))),1,0),IF(AND(U184+V184-W184&gt;0,OR(U184+V184-W184&lt;I184+J184-K184,AND(U184+V184-W184=I184+J184-K184,3&lt;1))),1,0),IF(AND(AA184+AB184-AC184&gt;0,OR(AA184+AB184-AC184&lt;I184+J184-K184,AND(AA184+AB184-AC184=I184+J184-K184,4&lt;1))),1,0)))</x:f>
        <x:v>99</x:v>
      </x:c>
      <x:c r="M184" s="6" t="n">
        <x:f>IF('Debt strategy'!$C$16&gt;0,0,MIN(I184+J184-K184,MAX(0,'Debt strategy'!$C$5-SUM(E184,K184,Q184,W184,AC184)-SUM(IF(F184&lt;L184,C184+D184-E184,0),IF(R184&lt;L184,O184+P184-Q184,0),IF(X184&lt;L184,U184+V184-W184,0),IF(AD184&lt;L184,AA184+AB184-AC184,0)))))</x:f>
        <x:v>0</x:v>
      </x:c>
      <x:c r="N184" s="6" t="n">
        <x:f>ROUND(MAX(0,I184+J184-K184-M184),2)</x:f>
        <x:v>0</x:v>
      </x:c>
      <x:c r="O184" s="6" t="n">
        <x:f>T183</x:f>
        <x:v>0</x:v>
      </x:c>
      <x:c r="P184" s="6" t="n">
        <x:f>ROUND(O184*'Debt strategy'!$D$11/12,2)</x:f>
        <x:v>0</x:v>
      </x:c>
      <x:c r="Q184" s="6" t="n">
        <x:f>MIN(O184+P184,'Debt strategy'!$E$11)</x:f>
        <x:v>0</x:v>
      </x:c>
      <x:c r="R184" s="27" t="n">
        <x:f>IF(O184+P184-Q184&lt;=0,99,1+SUM(IF(AND(C184+D184-E184&gt;0,OR(C184+D184-E184&lt;O184+P184-Q184,AND(C184+D184-E184=O184+P184-Q184,0&lt;2))),1,0),IF(AND(I184+J184-K184&gt;0,OR(I184+J184-K184&lt;O184+P184-Q184,AND(I184+J184-K184=O184+P184-Q184,1&lt;2))),1,0),IF(AND(U184+V184-W184&gt;0,OR(U184+V184-W184&lt;O184+P184-Q184,AND(U184+V184-W184=O184+P184-Q184,3&lt;2))),1,0),IF(AND(AA184+AB184-AC184&gt;0,OR(AA184+AB184-AC184&lt;O184+P184-Q184,AND(AA184+AB184-AC184=O184+P184-Q184,4&lt;2))),1,0)))</x:f>
        <x:v>99</x:v>
      </x:c>
      <x:c r="S184" s="6" t="n">
        <x:f>IF('Debt strategy'!$C$16&gt;0,0,MIN(O184+P184-Q184,MAX(0,'Debt strategy'!$C$5-SUM(E184,K184,Q184,W184,AC184)-SUM(IF(F184&lt;R184,C184+D184-E184,0),IF(L184&lt;R184,I184+J184-K184,0),IF(X184&lt;R184,U184+V184-W184,0),IF(AD184&lt;R184,AA184+AB184-AC184,0)))))</x:f>
        <x:v>0</x:v>
      </x:c>
      <x:c r="T184" s="6" t="n">
        <x:f>ROUND(MAX(0,O184+P184-Q184-S184),2)</x:f>
        <x:v>0</x:v>
      </x:c>
      <x:c r="U184" s="6" t="n">
        <x:f>Z183</x:f>
        <x:v>0</x:v>
      </x:c>
      <x:c r="V184" s="6" t="n">
        <x:f>ROUND(U184*'Debt strategy'!$D$12/12,2)</x:f>
        <x:v>0</x:v>
      </x:c>
      <x:c r="W184" s="6" t="n">
        <x:f>MIN(U184+V184,'Debt strategy'!$E$12)</x:f>
        <x:v>0</x:v>
      </x:c>
      <x:c r="X184" s="27" t="n">
        <x:f>IF(U184+V184-W184&lt;=0,99,1+SUM(IF(AND(C184+D184-E184&gt;0,OR(C184+D184-E184&lt;U184+V184-W184,AND(C184+D184-E184=U184+V184-W184,0&lt;3))),1,0),IF(AND(I184+J184-K184&gt;0,OR(I184+J184-K184&lt;U184+V184-W184,AND(I184+J184-K184=U184+V184-W184,1&lt;3))),1,0),IF(AND(O184+P184-Q184&gt;0,OR(O184+P184-Q184&lt;U184+V184-W184,AND(O184+P184-Q184=U184+V184-W184,2&lt;3))),1,0),IF(AND(AA184+AB184-AC184&gt;0,OR(AA184+AB184-AC184&lt;U184+V184-W184,AND(AA184+AB184-AC184=U184+V184-W184,4&lt;3))),1,0)))</x:f>
        <x:v>99</x:v>
      </x:c>
      <x:c r="Y184" s="6" t="n">
        <x:f>IF('Debt strategy'!$C$16&gt;0,0,MIN(U184+V184-W184,MAX(0,'Debt strategy'!$C$5-SUM(E184,K184,Q184,W184,AC184)-SUM(IF(F184&lt;X184,C184+D184-E184,0),IF(L184&lt;X184,I184+J184-K184,0),IF(R184&lt;X184,O184+P184-Q184,0),IF(AD184&lt;X184,AA184+AB184-AC184,0)))))</x:f>
        <x:v>0</x:v>
      </x:c>
      <x:c r="Z184" s="6" t="n">
        <x:f>ROUND(MAX(0,U184+V184-W184-Y184),2)</x:f>
        <x:v>0</x:v>
      </x:c>
      <x:c r="AA184" s="6" t="n">
        <x:f>AF183</x:f>
        <x:v>0</x:v>
      </x:c>
      <x:c r="AB184" s="6" t="n">
        <x:f>ROUND(AA184*'Debt strategy'!$D$13/12,2)</x:f>
        <x:v>0</x:v>
      </x:c>
      <x:c r="AC184" s="6" t="n">
        <x:f>MIN(AA184+AB184,'Debt strategy'!$E$13)</x:f>
        <x:v>0</x:v>
      </x:c>
      <x:c r="AD184" s="27" t="n">
        <x:f>IF(AA184+AB184-AC184&lt;=0,99,1+SUM(IF(AND(C184+D184-E184&gt;0,OR(C184+D184-E184&lt;AA184+AB184-AC184,AND(C184+D184-E184=AA184+AB184-AC184,0&lt;4))),1,0),IF(AND(I184+J184-K184&gt;0,OR(I184+J184-K184&lt;AA184+AB184-AC184,AND(I184+J184-K184=AA184+AB184-AC184,1&lt;4))),1,0),IF(AND(O184+P184-Q184&gt;0,OR(O184+P184-Q184&lt;AA184+AB184-AC184,AND(O184+P184-Q184=AA184+AB184-AC184,2&lt;4))),1,0),IF(AND(U184+V184-W184&gt;0,OR(U184+V184-W184&lt;AA184+AB184-AC184,AND(U184+V184-W184=AA184+AB184-AC184,3&lt;4))),1,0)))</x:f>
        <x:v>99</x:v>
      </x:c>
      <x:c r="AE184" s="6" t="n">
        <x:f>IF('Debt strategy'!$C$16&gt;0,0,MIN(AA184+AB184-AC184,MAX(0,'Debt strategy'!$C$5-SUM(E184,K184,Q184,W184,AC184)-SUM(IF(F184&lt;AD184,C184+D184-E184,0),IF(L184&lt;AD184,I184+J184-K184,0),IF(R184&lt;AD184,O184+P184-Q184,0),IF(X184&lt;AD184,U184+V184-W184,0)))))</x:f>
        <x:v>0</x:v>
      </x:c>
      <x:c r="AF184" s="6" t="n">
        <x:f>ROUND(MAX(0,AA184+AB184-AC184-AE184),2)</x:f>
        <x:v>0</x:v>
      </x:c>
      <x:c r="AG184" s="6" t="n">
        <x:f>SUM(H184,N184,T184,Z184,AF184)</x:f>
        <x:v>0</x:v>
      </x:c>
      <x:c r="AH184" s="6" t="n">
        <x:f>SUM(D184,J184,P184,V184,AB184)+AH183</x:f>
        <x:v>1353.9499999999996</x:v>
      </x:c>
      <x:c r="AI184" s="2"/>
    </x:row>
    <x:row r="185" ht="23" customHeight="1">
      <x:c r="B185" s="2" t="n">
        <x:f>177</x:f>
        <x:v>177</x:v>
      </x:c>
      <x:c r="C185" s="6" t="n">
        <x:f>H184</x:f>
        <x:v>0</x:v>
      </x:c>
      <x:c r="D185" s="6" t="n">
        <x:f>ROUND(C185*'Debt strategy'!$D$9/12,2)</x:f>
        <x:v>0</x:v>
      </x:c>
      <x:c r="E185" s="6" t="n">
        <x:f>MIN(C185+D185,'Debt strategy'!$E$9)</x:f>
        <x:v>0</x:v>
      </x:c>
      <x:c r="F185" s="27" t="n">
        <x:f>IF(C185+D185-E185&lt;=0,99,1+SUM(IF(AND(I185+J185-K185&gt;0,OR(I185+J185-K185&lt;C185+D185-E185,AND(I185+J185-K185=C185+D185-E185,1&lt;0))),1,0),IF(AND(O185+P185-Q185&gt;0,OR(O185+P185-Q185&lt;C185+D185-E185,AND(O185+P185-Q185=C185+D185-E185,2&lt;0))),1,0),IF(AND(U185+V185-W185&gt;0,OR(U185+V185-W185&lt;C185+D185-E185,AND(U185+V185-W185=C185+D185-E185,3&lt;0))),1,0),IF(AND(AA185+AB185-AC185&gt;0,OR(AA185+AB185-AC185&lt;C185+D185-E185,AND(AA185+AB185-AC185=C185+D185-E185,4&lt;0))),1,0)))</x:f>
        <x:v>99</x:v>
      </x:c>
      <x:c r="G185" s="6" t="n">
        <x:f>IF('Debt strategy'!$C$16&gt;0,0,MIN(C185+D185-E185,MAX(0,'Debt strategy'!$C$5-SUM(E185,K185,Q185,W185,AC185)-SUM(IF(L185&lt;F185,I185+J185-K185,0),IF(R185&lt;F185,O185+P185-Q185,0),IF(X185&lt;F185,U185+V185-W185,0),IF(AD185&lt;F185,AA185+AB185-AC185,0)))))</x:f>
        <x:v>0</x:v>
      </x:c>
      <x:c r="H185" s="6" t="n">
        <x:f>ROUND(MAX(0,C185+D185-E185-G185),2)</x:f>
        <x:v>0</x:v>
      </x:c>
      <x:c r="I185" s="6" t="n">
        <x:f>N184</x:f>
        <x:v>0</x:v>
      </x:c>
      <x:c r="J185" s="6" t="n">
        <x:f>ROUND(I185*'Debt strategy'!$D$10/12,2)</x:f>
        <x:v>0</x:v>
      </x:c>
      <x:c r="K185" s="6" t="n">
        <x:f>MIN(I185+J185,'Debt strategy'!$E$10)</x:f>
        <x:v>0</x:v>
      </x:c>
      <x:c r="L185" s="27" t="n">
        <x:f>IF(I185+J185-K185&lt;=0,99,1+SUM(IF(AND(C185+D185-E185&gt;0,OR(C185+D185-E185&lt;I185+J185-K185,AND(C185+D185-E185=I185+J185-K185,0&lt;1))),1,0),IF(AND(O185+P185-Q185&gt;0,OR(O185+P185-Q185&lt;I185+J185-K185,AND(O185+P185-Q185=I185+J185-K185,2&lt;1))),1,0),IF(AND(U185+V185-W185&gt;0,OR(U185+V185-W185&lt;I185+J185-K185,AND(U185+V185-W185=I185+J185-K185,3&lt;1))),1,0),IF(AND(AA185+AB185-AC185&gt;0,OR(AA185+AB185-AC185&lt;I185+J185-K185,AND(AA185+AB185-AC185=I185+J185-K185,4&lt;1))),1,0)))</x:f>
        <x:v>99</x:v>
      </x:c>
      <x:c r="M185" s="6" t="n">
        <x:f>IF('Debt strategy'!$C$16&gt;0,0,MIN(I185+J185-K185,MAX(0,'Debt strategy'!$C$5-SUM(E185,K185,Q185,W185,AC185)-SUM(IF(F185&lt;L185,C185+D185-E185,0),IF(R185&lt;L185,O185+P185-Q185,0),IF(X185&lt;L185,U185+V185-W185,0),IF(AD185&lt;L185,AA185+AB185-AC185,0)))))</x:f>
        <x:v>0</x:v>
      </x:c>
      <x:c r="N185" s="6" t="n">
        <x:f>ROUND(MAX(0,I185+J185-K185-M185),2)</x:f>
        <x:v>0</x:v>
      </x:c>
      <x:c r="O185" s="6" t="n">
        <x:f>T184</x:f>
        <x:v>0</x:v>
      </x:c>
      <x:c r="P185" s="6" t="n">
        <x:f>ROUND(O185*'Debt strategy'!$D$11/12,2)</x:f>
        <x:v>0</x:v>
      </x:c>
      <x:c r="Q185" s="6" t="n">
        <x:f>MIN(O185+P185,'Debt strategy'!$E$11)</x:f>
        <x:v>0</x:v>
      </x:c>
      <x:c r="R185" s="27" t="n">
        <x:f>IF(O185+P185-Q185&lt;=0,99,1+SUM(IF(AND(C185+D185-E185&gt;0,OR(C185+D185-E185&lt;O185+P185-Q185,AND(C185+D185-E185=O185+P185-Q185,0&lt;2))),1,0),IF(AND(I185+J185-K185&gt;0,OR(I185+J185-K185&lt;O185+P185-Q185,AND(I185+J185-K185=O185+P185-Q185,1&lt;2))),1,0),IF(AND(U185+V185-W185&gt;0,OR(U185+V185-W185&lt;O185+P185-Q185,AND(U185+V185-W185=O185+P185-Q185,3&lt;2))),1,0),IF(AND(AA185+AB185-AC185&gt;0,OR(AA185+AB185-AC185&lt;O185+P185-Q185,AND(AA185+AB185-AC185=O185+P185-Q185,4&lt;2))),1,0)))</x:f>
        <x:v>99</x:v>
      </x:c>
      <x:c r="S185" s="6" t="n">
        <x:f>IF('Debt strategy'!$C$16&gt;0,0,MIN(O185+P185-Q185,MAX(0,'Debt strategy'!$C$5-SUM(E185,K185,Q185,W185,AC185)-SUM(IF(F185&lt;R185,C185+D185-E185,0),IF(L185&lt;R185,I185+J185-K185,0),IF(X185&lt;R185,U185+V185-W185,0),IF(AD185&lt;R185,AA185+AB185-AC185,0)))))</x:f>
        <x:v>0</x:v>
      </x:c>
      <x:c r="T185" s="6" t="n">
        <x:f>ROUND(MAX(0,O185+P185-Q185-S185),2)</x:f>
        <x:v>0</x:v>
      </x:c>
      <x:c r="U185" s="6" t="n">
        <x:f>Z184</x:f>
        <x:v>0</x:v>
      </x:c>
      <x:c r="V185" s="6" t="n">
        <x:f>ROUND(U185*'Debt strategy'!$D$12/12,2)</x:f>
        <x:v>0</x:v>
      </x:c>
      <x:c r="W185" s="6" t="n">
        <x:f>MIN(U185+V185,'Debt strategy'!$E$12)</x:f>
        <x:v>0</x:v>
      </x:c>
      <x:c r="X185" s="27" t="n">
        <x:f>IF(U185+V185-W185&lt;=0,99,1+SUM(IF(AND(C185+D185-E185&gt;0,OR(C185+D185-E185&lt;U185+V185-W185,AND(C185+D185-E185=U185+V185-W185,0&lt;3))),1,0),IF(AND(I185+J185-K185&gt;0,OR(I185+J185-K185&lt;U185+V185-W185,AND(I185+J185-K185=U185+V185-W185,1&lt;3))),1,0),IF(AND(O185+P185-Q185&gt;0,OR(O185+P185-Q185&lt;U185+V185-W185,AND(O185+P185-Q185=U185+V185-W185,2&lt;3))),1,0),IF(AND(AA185+AB185-AC185&gt;0,OR(AA185+AB185-AC185&lt;U185+V185-W185,AND(AA185+AB185-AC185=U185+V185-W185,4&lt;3))),1,0)))</x:f>
        <x:v>99</x:v>
      </x:c>
      <x:c r="Y185" s="6" t="n">
        <x:f>IF('Debt strategy'!$C$16&gt;0,0,MIN(U185+V185-W185,MAX(0,'Debt strategy'!$C$5-SUM(E185,K185,Q185,W185,AC185)-SUM(IF(F185&lt;X185,C185+D185-E185,0),IF(L185&lt;X185,I185+J185-K185,0),IF(R185&lt;X185,O185+P185-Q185,0),IF(AD185&lt;X185,AA185+AB185-AC185,0)))))</x:f>
        <x:v>0</x:v>
      </x:c>
      <x:c r="Z185" s="6" t="n">
        <x:f>ROUND(MAX(0,U185+V185-W185-Y185),2)</x:f>
        <x:v>0</x:v>
      </x:c>
      <x:c r="AA185" s="6" t="n">
        <x:f>AF184</x:f>
        <x:v>0</x:v>
      </x:c>
      <x:c r="AB185" s="6" t="n">
        <x:f>ROUND(AA185*'Debt strategy'!$D$13/12,2)</x:f>
        <x:v>0</x:v>
      </x:c>
      <x:c r="AC185" s="6" t="n">
        <x:f>MIN(AA185+AB185,'Debt strategy'!$E$13)</x:f>
        <x:v>0</x:v>
      </x:c>
      <x:c r="AD185" s="27" t="n">
        <x:f>IF(AA185+AB185-AC185&lt;=0,99,1+SUM(IF(AND(C185+D185-E185&gt;0,OR(C185+D185-E185&lt;AA185+AB185-AC185,AND(C185+D185-E185=AA185+AB185-AC185,0&lt;4))),1,0),IF(AND(I185+J185-K185&gt;0,OR(I185+J185-K185&lt;AA185+AB185-AC185,AND(I185+J185-K185=AA185+AB185-AC185,1&lt;4))),1,0),IF(AND(O185+P185-Q185&gt;0,OR(O185+P185-Q185&lt;AA185+AB185-AC185,AND(O185+P185-Q185=AA185+AB185-AC185,2&lt;4))),1,0),IF(AND(U185+V185-W185&gt;0,OR(U185+V185-W185&lt;AA185+AB185-AC185,AND(U185+V185-W185=AA185+AB185-AC185,3&lt;4))),1,0)))</x:f>
        <x:v>99</x:v>
      </x:c>
      <x:c r="AE185" s="6" t="n">
        <x:f>IF('Debt strategy'!$C$16&gt;0,0,MIN(AA185+AB185-AC185,MAX(0,'Debt strategy'!$C$5-SUM(E185,K185,Q185,W185,AC185)-SUM(IF(F185&lt;AD185,C185+D185-E185,0),IF(L185&lt;AD185,I185+J185-K185,0),IF(R185&lt;AD185,O185+P185-Q185,0),IF(X185&lt;AD185,U185+V185-W185,0)))))</x:f>
        <x:v>0</x:v>
      </x:c>
      <x:c r="AF185" s="6" t="n">
        <x:f>ROUND(MAX(0,AA185+AB185-AC185-AE185),2)</x:f>
        <x:v>0</x:v>
      </x:c>
      <x:c r="AG185" s="6" t="n">
        <x:f>SUM(H185,N185,T185,Z185,AF185)</x:f>
        <x:v>0</x:v>
      </x:c>
      <x:c r="AH185" s="6" t="n">
        <x:f>SUM(D185,J185,P185,V185,AB185)+AH184</x:f>
        <x:v>1353.9499999999996</x:v>
      </x:c>
      <x:c r="AI185" s="2"/>
    </x:row>
    <x:row r="186" ht="23" customHeight="1">
      <x:c r="B186" s="2" t="n">
        <x:f>178</x:f>
        <x:v>178</x:v>
      </x:c>
      <x:c r="C186" s="6" t="n">
        <x:f>H185</x:f>
        <x:v>0</x:v>
      </x:c>
      <x:c r="D186" s="6" t="n">
        <x:f>ROUND(C186*'Debt strategy'!$D$9/12,2)</x:f>
        <x:v>0</x:v>
      </x:c>
      <x:c r="E186" s="6" t="n">
        <x:f>MIN(C186+D186,'Debt strategy'!$E$9)</x:f>
        <x:v>0</x:v>
      </x:c>
      <x:c r="F186" s="27" t="n">
        <x:f>IF(C186+D186-E186&lt;=0,99,1+SUM(IF(AND(I186+J186-K186&gt;0,OR(I186+J186-K186&lt;C186+D186-E186,AND(I186+J186-K186=C186+D186-E186,1&lt;0))),1,0),IF(AND(O186+P186-Q186&gt;0,OR(O186+P186-Q186&lt;C186+D186-E186,AND(O186+P186-Q186=C186+D186-E186,2&lt;0))),1,0),IF(AND(U186+V186-W186&gt;0,OR(U186+V186-W186&lt;C186+D186-E186,AND(U186+V186-W186=C186+D186-E186,3&lt;0))),1,0),IF(AND(AA186+AB186-AC186&gt;0,OR(AA186+AB186-AC186&lt;C186+D186-E186,AND(AA186+AB186-AC186=C186+D186-E186,4&lt;0))),1,0)))</x:f>
        <x:v>99</x:v>
      </x:c>
      <x:c r="G186" s="6" t="n">
        <x:f>IF('Debt strategy'!$C$16&gt;0,0,MIN(C186+D186-E186,MAX(0,'Debt strategy'!$C$5-SUM(E186,K186,Q186,W186,AC186)-SUM(IF(L186&lt;F186,I186+J186-K186,0),IF(R186&lt;F186,O186+P186-Q186,0),IF(X186&lt;F186,U186+V186-W186,0),IF(AD186&lt;F186,AA186+AB186-AC186,0)))))</x:f>
        <x:v>0</x:v>
      </x:c>
      <x:c r="H186" s="6" t="n">
        <x:f>ROUND(MAX(0,C186+D186-E186-G186),2)</x:f>
        <x:v>0</x:v>
      </x:c>
      <x:c r="I186" s="6" t="n">
        <x:f>N185</x:f>
        <x:v>0</x:v>
      </x:c>
      <x:c r="J186" s="6" t="n">
        <x:f>ROUND(I186*'Debt strategy'!$D$10/12,2)</x:f>
        <x:v>0</x:v>
      </x:c>
      <x:c r="K186" s="6" t="n">
        <x:f>MIN(I186+J186,'Debt strategy'!$E$10)</x:f>
        <x:v>0</x:v>
      </x:c>
      <x:c r="L186" s="27" t="n">
        <x:f>IF(I186+J186-K186&lt;=0,99,1+SUM(IF(AND(C186+D186-E186&gt;0,OR(C186+D186-E186&lt;I186+J186-K186,AND(C186+D186-E186=I186+J186-K186,0&lt;1))),1,0),IF(AND(O186+P186-Q186&gt;0,OR(O186+P186-Q186&lt;I186+J186-K186,AND(O186+P186-Q186=I186+J186-K186,2&lt;1))),1,0),IF(AND(U186+V186-W186&gt;0,OR(U186+V186-W186&lt;I186+J186-K186,AND(U186+V186-W186=I186+J186-K186,3&lt;1))),1,0),IF(AND(AA186+AB186-AC186&gt;0,OR(AA186+AB186-AC186&lt;I186+J186-K186,AND(AA186+AB186-AC186=I186+J186-K186,4&lt;1))),1,0)))</x:f>
        <x:v>99</x:v>
      </x:c>
      <x:c r="M186" s="6" t="n">
        <x:f>IF('Debt strategy'!$C$16&gt;0,0,MIN(I186+J186-K186,MAX(0,'Debt strategy'!$C$5-SUM(E186,K186,Q186,W186,AC186)-SUM(IF(F186&lt;L186,C186+D186-E186,0),IF(R186&lt;L186,O186+P186-Q186,0),IF(X186&lt;L186,U186+V186-W186,0),IF(AD186&lt;L186,AA186+AB186-AC186,0)))))</x:f>
        <x:v>0</x:v>
      </x:c>
      <x:c r="N186" s="6" t="n">
        <x:f>ROUND(MAX(0,I186+J186-K186-M186),2)</x:f>
        <x:v>0</x:v>
      </x:c>
      <x:c r="O186" s="6" t="n">
        <x:f>T185</x:f>
        <x:v>0</x:v>
      </x:c>
      <x:c r="P186" s="6" t="n">
        <x:f>ROUND(O186*'Debt strategy'!$D$11/12,2)</x:f>
        <x:v>0</x:v>
      </x:c>
      <x:c r="Q186" s="6" t="n">
        <x:f>MIN(O186+P186,'Debt strategy'!$E$11)</x:f>
        <x:v>0</x:v>
      </x:c>
      <x:c r="R186" s="27" t="n">
        <x:f>IF(O186+P186-Q186&lt;=0,99,1+SUM(IF(AND(C186+D186-E186&gt;0,OR(C186+D186-E186&lt;O186+P186-Q186,AND(C186+D186-E186=O186+P186-Q186,0&lt;2))),1,0),IF(AND(I186+J186-K186&gt;0,OR(I186+J186-K186&lt;O186+P186-Q186,AND(I186+J186-K186=O186+P186-Q186,1&lt;2))),1,0),IF(AND(U186+V186-W186&gt;0,OR(U186+V186-W186&lt;O186+P186-Q186,AND(U186+V186-W186=O186+P186-Q186,3&lt;2))),1,0),IF(AND(AA186+AB186-AC186&gt;0,OR(AA186+AB186-AC186&lt;O186+P186-Q186,AND(AA186+AB186-AC186=O186+P186-Q186,4&lt;2))),1,0)))</x:f>
        <x:v>99</x:v>
      </x:c>
      <x:c r="S186" s="6" t="n">
        <x:f>IF('Debt strategy'!$C$16&gt;0,0,MIN(O186+P186-Q186,MAX(0,'Debt strategy'!$C$5-SUM(E186,K186,Q186,W186,AC186)-SUM(IF(F186&lt;R186,C186+D186-E186,0),IF(L186&lt;R186,I186+J186-K186,0),IF(X186&lt;R186,U186+V186-W186,0),IF(AD186&lt;R186,AA186+AB186-AC186,0)))))</x:f>
        <x:v>0</x:v>
      </x:c>
      <x:c r="T186" s="6" t="n">
        <x:f>ROUND(MAX(0,O186+P186-Q186-S186),2)</x:f>
        <x:v>0</x:v>
      </x:c>
      <x:c r="U186" s="6" t="n">
        <x:f>Z185</x:f>
        <x:v>0</x:v>
      </x:c>
      <x:c r="V186" s="6" t="n">
        <x:f>ROUND(U186*'Debt strategy'!$D$12/12,2)</x:f>
        <x:v>0</x:v>
      </x:c>
      <x:c r="W186" s="6" t="n">
        <x:f>MIN(U186+V186,'Debt strategy'!$E$12)</x:f>
        <x:v>0</x:v>
      </x:c>
      <x:c r="X186" s="27" t="n">
        <x:f>IF(U186+V186-W186&lt;=0,99,1+SUM(IF(AND(C186+D186-E186&gt;0,OR(C186+D186-E186&lt;U186+V186-W186,AND(C186+D186-E186=U186+V186-W186,0&lt;3))),1,0),IF(AND(I186+J186-K186&gt;0,OR(I186+J186-K186&lt;U186+V186-W186,AND(I186+J186-K186=U186+V186-W186,1&lt;3))),1,0),IF(AND(O186+P186-Q186&gt;0,OR(O186+P186-Q186&lt;U186+V186-W186,AND(O186+P186-Q186=U186+V186-W186,2&lt;3))),1,0),IF(AND(AA186+AB186-AC186&gt;0,OR(AA186+AB186-AC186&lt;U186+V186-W186,AND(AA186+AB186-AC186=U186+V186-W186,4&lt;3))),1,0)))</x:f>
        <x:v>99</x:v>
      </x:c>
      <x:c r="Y186" s="6" t="n">
        <x:f>IF('Debt strategy'!$C$16&gt;0,0,MIN(U186+V186-W186,MAX(0,'Debt strategy'!$C$5-SUM(E186,K186,Q186,W186,AC186)-SUM(IF(F186&lt;X186,C186+D186-E186,0),IF(L186&lt;X186,I186+J186-K186,0),IF(R186&lt;X186,O186+P186-Q186,0),IF(AD186&lt;X186,AA186+AB186-AC186,0)))))</x:f>
        <x:v>0</x:v>
      </x:c>
      <x:c r="Z186" s="6" t="n">
        <x:f>ROUND(MAX(0,U186+V186-W186-Y186),2)</x:f>
        <x:v>0</x:v>
      </x:c>
      <x:c r="AA186" s="6" t="n">
        <x:f>AF185</x:f>
        <x:v>0</x:v>
      </x:c>
      <x:c r="AB186" s="6" t="n">
        <x:f>ROUND(AA186*'Debt strategy'!$D$13/12,2)</x:f>
        <x:v>0</x:v>
      </x:c>
      <x:c r="AC186" s="6" t="n">
        <x:f>MIN(AA186+AB186,'Debt strategy'!$E$13)</x:f>
        <x:v>0</x:v>
      </x:c>
      <x:c r="AD186" s="27" t="n">
        <x:f>IF(AA186+AB186-AC186&lt;=0,99,1+SUM(IF(AND(C186+D186-E186&gt;0,OR(C186+D186-E186&lt;AA186+AB186-AC186,AND(C186+D186-E186=AA186+AB186-AC186,0&lt;4))),1,0),IF(AND(I186+J186-K186&gt;0,OR(I186+J186-K186&lt;AA186+AB186-AC186,AND(I186+J186-K186=AA186+AB186-AC186,1&lt;4))),1,0),IF(AND(O186+P186-Q186&gt;0,OR(O186+P186-Q186&lt;AA186+AB186-AC186,AND(O186+P186-Q186=AA186+AB186-AC186,2&lt;4))),1,0),IF(AND(U186+V186-W186&gt;0,OR(U186+V186-W186&lt;AA186+AB186-AC186,AND(U186+V186-W186=AA186+AB186-AC186,3&lt;4))),1,0)))</x:f>
        <x:v>99</x:v>
      </x:c>
      <x:c r="AE186" s="6" t="n">
        <x:f>IF('Debt strategy'!$C$16&gt;0,0,MIN(AA186+AB186-AC186,MAX(0,'Debt strategy'!$C$5-SUM(E186,K186,Q186,W186,AC186)-SUM(IF(F186&lt;AD186,C186+D186-E186,0),IF(L186&lt;AD186,I186+J186-K186,0),IF(R186&lt;AD186,O186+P186-Q186,0),IF(X186&lt;AD186,U186+V186-W186,0)))))</x:f>
        <x:v>0</x:v>
      </x:c>
      <x:c r="AF186" s="6" t="n">
        <x:f>ROUND(MAX(0,AA186+AB186-AC186-AE186),2)</x:f>
        <x:v>0</x:v>
      </x:c>
      <x:c r="AG186" s="6" t="n">
        <x:f>SUM(H186,N186,T186,Z186,AF186)</x:f>
        <x:v>0</x:v>
      </x:c>
      <x:c r="AH186" s="6" t="n">
        <x:f>SUM(D186,J186,P186,V186,AB186)+AH185</x:f>
        <x:v>1353.9499999999996</x:v>
      </x:c>
      <x:c r="AI186" s="2"/>
    </x:row>
    <x:row r="187" ht="23" customHeight="1">
      <x:c r="B187" s="2" t="n">
        <x:f>179</x:f>
        <x:v>179</x:v>
      </x:c>
      <x:c r="C187" s="6" t="n">
        <x:f>H186</x:f>
        <x:v>0</x:v>
      </x:c>
      <x:c r="D187" s="6" t="n">
        <x:f>ROUND(C187*'Debt strategy'!$D$9/12,2)</x:f>
        <x:v>0</x:v>
      </x:c>
      <x:c r="E187" s="6" t="n">
        <x:f>MIN(C187+D187,'Debt strategy'!$E$9)</x:f>
        <x:v>0</x:v>
      </x:c>
      <x:c r="F187" s="27" t="n">
        <x:f>IF(C187+D187-E187&lt;=0,99,1+SUM(IF(AND(I187+J187-K187&gt;0,OR(I187+J187-K187&lt;C187+D187-E187,AND(I187+J187-K187=C187+D187-E187,1&lt;0))),1,0),IF(AND(O187+P187-Q187&gt;0,OR(O187+P187-Q187&lt;C187+D187-E187,AND(O187+P187-Q187=C187+D187-E187,2&lt;0))),1,0),IF(AND(U187+V187-W187&gt;0,OR(U187+V187-W187&lt;C187+D187-E187,AND(U187+V187-W187=C187+D187-E187,3&lt;0))),1,0),IF(AND(AA187+AB187-AC187&gt;0,OR(AA187+AB187-AC187&lt;C187+D187-E187,AND(AA187+AB187-AC187=C187+D187-E187,4&lt;0))),1,0)))</x:f>
        <x:v>99</x:v>
      </x:c>
      <x:c r="G187" s="6" t="n">
        <x:f>IF('Debt strategy'!$C$16&gt;0,0,MIN(C187+D187-E187,MAX(0,'Debt strategy'!$C$5-SUM(E187,K187,Q187,W187,AC187)-SUM(IF(L187&lt;F187,I187+J187-K187,0),IF(R187&lt;F187,O187+P187-Q187,0),IF(X187&lt;F187,U187+V187-W187,0),IF(AD187&lt;F187,AA187+AB187-AC187,0)))))</x:f>
        <x:v>0</x:v>
      </x:c>
      <x:c r="H187" s="6" t="n">
        <x:f>ROUND(MAX(0,C187+D187-E187-G187),2)</x:f>
        <x:v>0</x:v>
      </x:c>
      <x:c r="I187" s="6" t="n">
        <x:f>N186</x:f>
        <x:v>0</x:v>
      </x:c>
      <x:c r="J187" s="6" t="n">
        <x:f>ROUND(I187*'Debt strategy'!$D$10/12,2)</x:f>
        <x:v>0</x:v>
      </x:c>
      <x:c r="K187" s="6" t="n">
        <x:f>MIN(I187+J187,'Debt strategy'!$E$10)</x:f>
        <x:v>0</x:v>
      </x:c>
      <x:c r="L187" s="27" t="n">
        <x:f>IF(I187+J187-K187&lt;=0,99,1+SUM(IF(AND(C187+D187-E187&gt;0,OR(C187+D187-E187&lt;I187+J187-K187,AND(C187+D187-E187=I187+J187-K187,0&lt;1))),1,0),IF(AND(O187+P187-Q187&gt;0,OR(O187+P187-Q187&lt;I187+J187-K187,AND(O187+P187-Q187=I187+J187-K187,2&lt;1))),1,0),IF(AND(U187+V187-W187&gt;0,OR(U187+V187-W187&lt;I187+J187-K187,AND(U187+V187-W187=I187+J187-K187,3&lt;1))),1,0),IF(AND(AA187+AB187-AC187&gt;0,OR(AA187+AB187-AC187&lt;I187+J187-K187,AND(AA187+AB187-AC187=I187+J187-K187,4&lt;1))),1,0)))</x:f>
        <x:v>99</x:v>
      </x:c>
      <x:c r="M187" s="6" t="n">
        <x:f>IF('Debt strategy'!$C$16&gt;0,0,MIN(I187+J187-K187,MAX(0,'Debt strategy'!$C$5-SUM(E187,K187,Q187,W187,AC187)-SUM(IF(F187&lt;L187,C187+D187-E187,0),IF(R187&lt;L187,O187+P187-Q187,0),IF(X187&lt;L187,U187+V187-W187,0),IF(AD187&lt;L187,AA187+AB187-AC187,0)))))</x:f>
        <x:v>0</x:v>
      </x:c>
      <x:c r="N187" s="6" t="n">
        <x:f>ROUND(MAX(0,I187+J187-K187-M187),2)</x:f>
        <x:v>0</x:v>
      </x:c>
      <x:c r="O187" s="6" t="n">
        <x:f>T186</x:f>
        <x:v>0</x:v>
      </x:c>
      <x:c r="P187" s="6" t="n">
        <x:f>ROUND(O187*'Debt strategy'!$D$11/12,2)</x:f>
        <x:v>0</x:v>
      </x:c>
      <x:c r="Q187" s="6" t="n">
        <x:f>MIN(O187+P187,'Debt strategy'!$E$11)</x:f>
        <x:v>0</x:v>
      </x:c>
      <x:c r="R187" s="27" t="n">
        <x:f>IF(O187+P187-Q187&lt;=0,99,1+SUM(IF(AND(C187+D187-E187&gt;0,OR(C187+D187-E187&lt;O187+P187-Q187,AND(C187+D187-E187=O187+P187-Q187,0&lt;2))),1,0),IF(AND(I187+J187-K187&gt;0,OR(I187+J187-K187&lt;O187+P187-Q187,AND(I187+J187-K187=O187+P187-Q187,1&lt;2))),1,0),IF(AND(U187+V187-W187&gt;0,OR(U187+V187-W187&lt;O187+P187-Q187,AND(U187+V187-W187=O187+P187-Q187,3&lt;2))),1,0),IF(AND(AA187+AB187-AC187&gt;0,OR(AA187+AB187-AC187&lt;O187+P187-Q187,AND(AA187+AB187-AC187=O187+P187-Q187,4&lt;2))),1,0)))</x:f>
        <x:v>99</x:v>
      </x:c>
      <x:c r="S187" s="6" t="n">
        <x:f>IF('Debt strategy'!$C$16&gt;0,0,MIN(O187+P187-Q187,MAX(0,'Debt strategy'!$C$5-SUM(E187,K187,Q187,W187,AC187)-SUM(IF(F187&lt;R187,C187+D187-E187,0),IF(L187&lt;R187,I187+J187-K187,0),IF(X187&lt;R187,U187+V187-W187,0),IF(AD187&lt;R187,AA187+AB187-AC187,0)))))</x:f>
        <x:v>0</x:v>
      </x:c>
      <x:c r="T187" s="6" t="n">
        <x:f>ROUND(MAX(0,O187+P187-Q187-S187),2)</x:f>
        <x:v>0</x:v>
      </x:c>
      <x:c r="U187" s="6" t="n">
        <x:f>Z186</x:f>
        <x:v>0</x:v>
      </x:c>
      <x:c r="V187" s="6" t="n">
        <x:f>ROUND(U187*'Debt strategy'!$D$12/12,2)</x:f>
        <x:v>0</x:v>
      </x:c>
      <x:c r="W187" s="6" t="n">
        <x:f>MIN(U187+V187,'Debt strategy'!$E$12)</x:f>
        <x:v>0</x:v>
      </x:c>
      <x:c r="X187" s="27" t="n">
        <x:f>IF(U187+V187-W187&lt;=0,99,1+SUM(IF(AND(C187+D187-E187&gt;0,OR(C187+D187-E187&lt;U187+V187-W187,AND(C187+D187-E187=U187+V187-W187,0&lt;3))),1,0),IF(AND(I187+J187-K187&gt;0,OR(I187+J187-K187&lt;U187+V187-W187,AND(I187+J187-K187=U187+V187-W187,1&lt;3))),1,0),IF(AND(O187+P187-Q187&gt;0,OR(O187+P187-Q187&lt;U187+V187-W187,AND(O187+P187-Q187=U187+V187-W187,2&lt;3))),1,0),IF(AND(AA187+AB187-AC187&gt;0,OR(AA187+AB187-AC187&lt;U187+V187-W187,AND(AA187+AB187-AC187=U187+V187-W187,4&lt;3))),1,0)))</x:f>
        <x:v>99</x:v>
      </x:c>
      <x:c r="Y187" s="6" t="n">
        <x:f>IF('Debt strategy'!$C$16&gt;0,0,MIN(U187+V187-W187,MAX(0,'Debt strategy'!$C$5-SUM(E187,K187,Q187,W187,AC187)-SUM(IF(F187&lt;X187,C187+D187-E187,0),IF(L187&lt;X187,I187+J187-K187,0),IF(R187&lt;X187,O187+P187-Q187,0),IF(AD187&lt;X187,AA187+AB187-AC187,0)))))</x:f>
        <x:v>0</x:v>
      </x:c>
      <x:c r="Z187" s="6" t="n">
        <x:f>ROUND(MAX(0,U187+V187-W187-Y187),2)</x:f>
        <x:v>0</x:v>
      </x:c>
      <x:c r="AA187" s="6" t="n">
        <x:f>AF186</x:f>
        <x:v>0</x:v>
      </x:c>
      <x:c r="AB187" s="6" t="n">
        <x:f>ROUND(AA187*'Debt strategy'!$D$13/12,2)</x:f>
        <x:v>0</x:v>
      </x:c>
      <x:c r="AC187" s="6" t="n">
        <x:f>MIN(AA187+AB187,'Debt strategy'!$E$13)</x:f>
        <x:v>0</x:v>
      </x:c>
      <x:c r="AD187" s="27" t="n">
        <x:f>IF(AA187+AB187-AC187&lt;=0,99,1+SUM(IF(AND(C187+D187-E187&gt;0,OR(C187+D187-E187&lt;AA187+AB187-AC187,AND(C187+D187-E187=AA187+AB187-AC187,0&lt;4))),1,0),IF(AND(I187+J187-K187&gt;0,OR(I187+J187-K187&lt;AA187+AB187-AC187,AND(I187+J187-K187=AA187+AB187-AC187,1&lt;4))),1,0),IF(AND(O187+P187-Q187&gt;0,OR(O187+P187-Q187&lt;AA187+AB187-AC187,AND(O187+P187-Q187=AA187+AB187-AC187,2&lt;4))),1,0),IF(AND(U187+V187-W187&gt;0,OR(U187+V187-W187&lt;AA187+AB187-AC187,AND(U187+V187-W187=AA187+AB187-AC187,3&lt;4))),1,0)))</x:f>
        <x:v>99</x:v>
      </x:c>
      <x:c r="AE187" s="6" t="n">
        <x:f>IF('Debt strategy'!$C$16&gt;0,0,MIN(AA187+AB187-AC187,MAX(0,'Debt strategy'!$C$5-SUM(E187,K187,Q187,W187,AC187)-SUM(IF(F187&lt;AD187,C187+D187-E187,0),IF(L187&lt;AD187,I187+J187-K187,0),IF(R187&lt;AD187,O187+P187-Q187,0),IF(X187&lt;AD187,U187+V187-W187,0)))))</x:f>
        <x:v>0</x:v>
      </x:c>
      <x:c r="AF187" s="6" t="n">
        <x:f>ROUND(MAX(0,AA187+AB187-AC187-AE187),2)</x:f>
        <x:v>0</x:v>
      </x:c>
      <x:c r="AG187" s="6" t="n">
        <x:f>SUM(H187,N187,T187,Z187,AF187)</x:f>
        <x:v>0</x:v>
      </x:c>
      <x:c r="AH187" s="6" t="n">
        <x:f>SUM(D187,J187,P187,V187,AB187)+AH186</x:f>
        <x:v>1353.9499999999996</x:v>
      </x:c>
      <x:c r="AI187" s="2"/>
    </x:row>
    <x:row r="188" ht="23" customHeight="1">
      <x:c r="B188" s="2" t="n">
        <x:f>180</x:f>
        <x:v>180</x:v>
      </x:c>
      <x:c r="C188" s="6" t="n">
        <x:f>H187</x:f>
        <x:v>0</x:v>
      </x:c>
      <x:c r="D188" s="6" t="n">
        <x:f>ROUND(C188*'Debt strategy'!$D$9/12,2)</x:f>
        <x:v>0</x:v>
      </x:c>
      <x:c r="E188" s="6" t="n">
        <x:f>MIN(C188+D188,'Debt strategy'!$E$9)</x:f>
        <x:v>0</x:v>
      </x:c>
      <x:c r="F188" s="27" t="n">
        <x:f>IF(C188+D188-E188&lt;=0,99,1+SUM(IF(AND(I188+J188-K188&gt;0,OR(I188+J188-K188&lt;C188+D188-E188,AND(I188+J188-K188=C188+D188-E188,1&lt;0))),1,0),IF(AND(O188+P188-Q188&gt;0,OR(O188+P188-Q188&lt;C188+D188-E188,AND(O188+P188-Q188=C188+D188-E188,2&lt;0))),1,0),IF(AND(U188+V188-W188&gt;0,OR(U188+V188-W188&lt;C188+D188-E188,AND(U188+V188-W188=C188+D188-E188,3&lt;0))),1,0),IF(AND(AA188+AB188-AC188&gt;0,OR(AA188+AB188-AC188&lt;C188+D188-E188,AND(AA188+AB188-AC188=C188+D188-E188,4&lt;0))),1,0)))</x:f>
        <x:v>99</x:v>
      </x:c>
      <x:c r="G188" s="6" t="n">
        <x:f>IF('Debt strategy'!$C$16&gt;0,0,MIN(C188+D188-E188,MAX(0,'Debt strategy'!$C$5-SUM(E188,K188,Q188,W188,AC188)-SUM(IF(L188&lt;F188,I188+J188-K188,0),IF(R188&lt;F188,O188+P188-Q188,0),IF(X188&lt;F188,U188+V188-W188,0),IF(AD188&lt;F188,AA188+AB188-AC188,0)))))</x:f>
        <x:v>0</x:v>
      </x:c>
      <x:c r="H188" s="6" t="n">
        <x:f>ROUND(MAX(0,C188+D188-E188-G188),2)</x:f>
        <x:v>0</x:v>
      </x:c>
      <x:c r="I188" s="6" t="n">
        <x:f>N187</x:f>
        <x:v>0</x:v>
      </x:c>
      <x:c r="J188" s="6" t="n">
        <x:f>ROUND(I188*'Debt strategy'!$D$10/12,2)</x:f>
        <x:v>0</x:v>
      </x:c>
      <x:c r="K188" s="6" t="n">
        <x:f>MIN(I188+J188,'Debt strategy'!$E$10)</x:f>
        <x:v>0</x:v>
      </x:c>
      <x:c r="L188" s="27" t="n">
        <x:f>IF(I188+J188-K188&lt;=0,99,1+SUM(IF(AND(C188+D188-E188&gt;0,OR(C188+D188-E188&lt;I188+J188-K188,AND(C188+D188-E188=I188+J188-K188,0&lt;1))),1,0),IF(AND(O188+P188-Q188&gt;0,OR(O188+P188-Q188&lt;I188+J188-K188,AND(O188+P188-Q188=I188+J188-K188,2&lt;1))),1,0),IF(AND(U188+V188-W188&gt;0,OR(U188+V188-W188&lt;I188+J188-K188,AND(U188+V188-W188=I188+J188-K188,3&lt;1))),1,0),IF(AND(AA188+AB188-AC188&gt;0,OR(AA188+AB188-AC188&lt;I188+J188-K188,AND(AA188+AB188-AC188=I188+J188-K188,4&lt;1))),1,0)))</x:f>
        <x:v>99</x:v>
      </x:c>
      <x:c r="M188" s="6" t="n">
        <x:f>IF('Debt strategy'!$C$16&gt;0,0,MIN(I188+J188-K188,MAX(0,'Debt strategy'!$C$5-SUM(E188,K188,Q188,W188,AC188)-SUM(IF(F188&lt;L188,C188+D188-E188,0),IF(R188&lt;L188,O188+P188-Q188,0),IF(X188&lt;L188,U188+V188-W188,0),IF(AD188&lt;L188,AA188+AB188-AC188,0)))))</x:f>
        <x:v>0</x:v>
      </x:c>
      <x:c r="N188" s="6" t="n">
        <x:f>ROUND(MAX(0,I188+J188-K188-M188),2)</x:f>
        <x:v>0</x:v>
      </x:c>
      <x:c r="O188" s="6" t="n">
        <x:f>T187</x:f>
        <x:v>0</x:v>
      </x:c>
      <x:c r="P188" s="6" t="n">
        <x:f>ROUND(O188*'Debt strategy'!$D$11/12,2)</x:f>
        <x:v>0</x:v>
      </x:c>
      <x:c r="Q188" s="6" t="n">
        <x:f>MIN(O188+P188,'Debt strategy'!$E$11)</x:f>
        <x:v>0</x:v>
      </x:c>
      <x:c r="R188" s="27" t="n">
        <x:f>IF(O188+P188-Q188&lt;=0,99,1+SUM(IF(AND(C188+D188-E188&gt;0,OR(C188+D188-E188&lt;O188+P188-Q188,AND(C188+D188-E188=O188+P188-Q188,0&lt;2))),1,0),IF(AND(I188+J188-K188&gt;0,OR(I188+J188-K188&lt;O188+P188-Q188,AND(I188+J188-K188=O188+P188-Q188,1&lt;2))),1,0),IF(AND(U188+V188-W188&gt;0,OR(U188+V188-W188&lt;O188+P188-Q188,AND(U188+V188-W188=O188+P188-Q188,3&lt;2))),1,0),IF(AND(AA188+AB188-AC188&gt;0,OR(AA188+AB188-AC188&lt;O188+P188-Q188,AND(AA188+AB188-AC188=O188+P188-Q188,4&lt;2))),1,0)))</x:f>
        <x:v>99</x:v>
      </x:c>
      <x:c r="S188" s="6" t="n">
        <x:f>IF('Debt strategy'!$C$16&gt;0,0,MIN(O188+P188-Q188,MAX(0,'Debt strategy'!$C$5-SUM(E188,K188,Q188,W188,AC188)-SUM(IF(F188&lt;R188,C188+D188-E188,0),IF(L188&lt;R188,I188+J188-K188,0),IF(X188&lt;R188,U188+V188-W188,0),IF(AD188&lt;R188,AA188+AB188-AC188,0)))))</x:f>
        <x:v>0</x:v>
      </x:c>
      <x:c r="T188" s="6" t="n">
        <x:f>ROUND(MAX(0,O188+P188-Q188-S188),2)</x:f>
        <x:v>0</x:v>
      </x:c>
      <x:c r="U188" s="6" t="n">
        <x:f>Z187</x:f>
        <x:v>0</x:v>
      </x:c>
      <x:c r="V188" s="6" t="n">
        <x:f>ROUND(U188*'Debt strategy'!$D$12/12,2)</x:f>
        <x:v>0</x:v>
      </x:c>
      <x:c r="W188" s="6" t="n">
        <x:f>MIN(U188+V188,'Debt strategy'!$E$12)</x:f>
        <x:v>0</x:v>
      </x:c>
      <x:c r="X188" s="27" t="n">
        <x:f>IF(U188+V188-W188&lt;=0,99,1+SUM(IF(AND(C188+D188-E188&gt;0,OR(C188+D188-E188&lt;U188+V188-W188,AND(C188+D188-E188=U188+V188-W188,0&lt;3))),1,0),IF(AND(I188+J188-K188&gt;0,OR(I188+J188-K188&lt;U188+V188-W188,AND(I188+J188-K188=U188+V188-W188,1&lt;3))),1,0),IF(AND(O188+P188-Q188&gt;0,OR(O188+P188-Q188&lt;U188+V188-W188,AND(O188+P188-Q188=U188+V188-W188,2&lt;3))),1,0),IF(AND(AA188+AB188-AC188&gt;0,OR(AA188+AB188-AC188&lt;U188+V188-W188,AND(AA188+AB188-AC188=U188+V188-W188,4&lt;3))),1,0)))</x:f>
        <x:v>99</x:v>
      </x:c>
      <x:c r="Y188" s="6" t="n">
        <x:f>IF('Debt strategy'!$C$16&gt;0,0,MIN(U188+V188-W188,MAX(0,'Debt strategy'!$C$5-SUM(E188,K188,Q188,W188,AC188)-SUM(IF(F188&lt;X188,C188+D188-E188,0),IF(L188&lt;X188,I188+J188-K188,0),IF(R188&lt;X188,O188+P188-Q188,0),IF(AD188&lt;X188,AA188+AB188-AC188,0)))))</x:f>
        <x:v>0</x:v>
      </x:c>
      <x:c r="Z188" s="6" t="n">
        <x:f>ROUND(MAX(0,U188+V188-W188-Y188),2)</x:f>
        <x:v>0</x:v>
      </x:c>
      <x:c r="AA188" s="6" t="n">
        <x:f>AF187</x:f>
        <x:v>0</x:v>
      </x:c>
      <x:c r="AB188" s="6" t="n">
        <x:f>ROUND(AA188*'Debt strategy'!$D$13/12,2)</x:f>
        <x:v>0</x:v>
      </x:c>
      <x:c r="AC188" s="6" t="n">
        <x:f>MIN(AA188+AB188,'Debt strategy'!$E$13)</x:f>
        <x:v>0</x:v>
      </x:c>
      <x:c r="AD188" s="27" t="n">
        <x:f>IF(AA188+AB188-AC188&lt;=0,99,1+SUM(IF(AND(C188+D188-E188&gt;0,OR(C188+D188-E188&lt;AA188+AB188-AC188,AND(C188+D188-E188=AA188+AB188-AC188,0&lt;4))),1,0),IF(AND(I188+J188-K188&gt;0,OR(I188+J188-K188&lt;AA188+AB188-AC188,AND(I188+J188-K188=AA188+AB188-AC188,1&lt;4))),1,0),IF(AND(O188+P188-Q188&gt;0,OR(O188+P188-Q188&lt;AA188+AB188-AC188,AND(O188+P188-Q188=AA188+AB188-AC188,2&lt;4))),1,0),IF(AND(U188+V188-W188&gt;0,OR(U188+V188-W188&lt;AA188+AB188-AC188,AND(U188+V188-W188=AA188+AB188-AC188,3&lt;4))),1,0)))</x:f>
        <x:v>99</x:v>
      </x:c>
      <x:c r="AE188" s="6" t="n">
        <x:f>IF('Debt strategy'!$C$16&gt;0,0,MIN(AA188+AB188-AC188,MAX(0,'Debt strategy'!$C$5-SUM(E188,K188,Q188,W188,AC188)-SUM(IF(F188&lt;AD188,C188+D188-E188,0),IF(L188&lt;AD188,I188+J188-K188,0),IF(R188&lt;AD188,O188+P188-Q188,0),IF(X188&lt;AD188,U188+V188-W188,0)))))</x:f>
        <x:v>0</x:v>
      </x:c>
      <x:c r="AF188" s="6" t="n">
        <x:f>ROUND(MAX(0,AA188+AB188-AC188-AE188),2)</x:f>
        <x:v>0</x:v>
      </x:c>
      <x:c r="AG188" s="6" t="n">
        <x:f>SUM(H188,N188,T188,Z188,AF188)</x:f>
        <x:v>0</x:v>
      </x:c>
      <x:c r="AH188" s="6" t="n">
        <x:f>SUM(D188,J188,P188,V188,AB188)+AH187</x:f>
        <x:v>1353.9499999999996</x:v>
      </x:c>
      <x:c r="AI188" s="2"/>
    </x:row>
    <x:row r="189" ht="23" customHeight="1">
      <x:c r="B189" s="2" t="n">
        <x:f>181</x:f>
        <x:v>181</x:v>
      </x:c>
      <x:c r="C189" s="6" t="n">
        <x:f>H188</x:f>
        <x:v>0</x:v>
      </x:c>
      <x:c r="D189" s="6" t="n">
        <x:f>ROUND(C189*'Debt strategy'!$D$9/12,2)</x:f>
        <x:v>0</x:v>
      </x:c>
      <x:c r="E189" s="6" t="n">
        <x:f>MIN(C189+D189,'Debt strategy'!$E$9)</x:f>
        <x:v>0</x:v>
      </x:c>
      <x:c r="F189" s="27" t="n">
        <x:f>IF(C189+D189-E189&lt;=0,99,1+SUM(IF(AND(I189+J189-K189&gt;0,OR(I189+J189-K189&lt;C189+D189-E189,AND(I189+J189-K189=C189+D189-E189,1&lt;0))),1,0),IF(AND(O189+P189-Q189&gt;0,OR(O189+P189-Q189&lt;C189+D189-E189,AND(O189+P189-Q189=C189+D189-E189,2&lt;0))),1,0),IF(AND(U189+V189-W189&gt;0,OR(U189+V189-W189&lt;C189+D189-E189,AND(U189+V189-W189=C189+D189-E189,3&lt;0))),1,0),IF(AND(AA189+AB189-AC189&gt;0,OR(AA189+AB189-AC189&lt;C189+D189-E189,AND(AA189+AB189-AC189=C189+D189-E189,4&lt;0))),1,0)))</x:f>
        <x:v>99</x:v>
      </x:c>
      <x:c r="G189" s="6" t="n">
        <x:f>IF('Debt strategy'!$C$16&gt;0,0,MIN(C189+D189-E189,MAX(0,'Debt strategy'!$C$5-SUM(E189,K189,Q189,W189,AC189)-SUM(IF(L189&lt;F189,I189+J189-K189,0),IF(R189&lt;F189,O189+P189-Q189,0),IF(X189&lt;F189,U189+V189-W189,0),IF(AD189&lt;F189,AA189+AB189-AC189,0)))))</x:f>
        <x:v>0</x:v>
      </x:c>
      <x:c r="H189" s="6" t="n">
        <x:f>ROUND(MAX(0,C189+D189-E189-G189),2)</x:f>
        <x:v>0</x:v>
      </x:c>
      <x:c r="I189" s="6" t="n">
        <x:f>N188</x:f>
        <x:v>0</x:v>
      </x:c>
      <x:c r="J189" s="6" t="n">
        <x:f>ROUND(I189*'Debt strategy'!$D$10/12,2)</x:f>
        <x:v>0</x:v>
      </x:c>
      <x:c r="K189" s="6" t="n">
        <x:f>MIN(I189+J189,'Debt strategy'!$E$10)</x:f>
        <x:v>0</x:v>
      </x:c>
      <x:c r="L189" s="27" t="n">
        <x:f>IF(I189+J189-K189&lt;=0,99,1+SUM(IF(AND(C189+D189-E189&gt;0,OR(C189+D189-E189&lt;I189+J189-K189,AND(C189+D189-E189=I189+J189-K189,0&lt;1))),1,0),IF(AND(O189+P189-Q189&gt;0,OR(O189+P189-Q189&lt;I189+J189-K189,AND(O189+P189-Q189=I189+J189-K189,2&lt;1))),1,0),IF(AND(U189+V189-W189&gt;0,OR(U189+V189-W189&lt;I189+J189-K189,AND(U189+V189-W189=I189+J189-K189,3&lt;1))),1,0),IF(AND(AA189+AB189-AC189&gt;0,OR(AA189+AB189-AC189&lt;I189+J189-K189,AND(AA189+AB189-AC189=I189+J189-K189,4&lt;1))),1,0)))</x:f>
        <x:v>99</x:v>
      </x:c>
      <x:c r="M189" s="6" t="n">
        <x:f>IF('Debt strategy'!$C$16&gt;0,0,MIN(I189+J189-K189,MAX(0,'Debt strategy'!$C$5-SUM(E189,K189,Q189,W189,AC189)-SUM(IF(F189&lt;L189,C189+D189-E189,0),IF(R189&lt;L189,O189+P189-Q189,0),IF(X189&lt;L189,U189+V189-W189,0),IF(AD189&lt;L189,AA189+AB189-AC189,0)))))</x:f>
        <x:v>0</x:v>
      </x:c>
      <x:c r="N189" s="6" t="n">
        <x:f>ROUND(MAX(0,I189+J189-K189-M189),2)</x:f>
        <x:v>0</x:v>
      </x:c>
      <x:c r="O189" s="6" t="n">
        <x:f>T188</x:f>
        <x:v>0</x:v>
      </x:c>
      <x:c r="P189" s="6" t="n">
        <x:f>ROUND(O189*'Debt strategy'!$D$11/12,2)</x:f>
        <x:v>0</x:v>
      </x:c>
      <x:c r="Q189" s="6" t="n">
        <x:f>MIN(O189+P189,'Debt strategy'!$E$11)</x:f>
        <x:v>0</x:v>
      </x:c>
      <x:c r="R189" s="27" t="n">
        <x:f>IF(O189+P189-Q189&lt;=0,99,1+SUM(IF(AND(C189+D189-E189&gt;0,OR(C189+D189-E189&lt;O189+P189-Q189,AND(C189+D189-E189=O189+P189-Q189,0&lt;2))),1,0),IF(AND(I189+J189-K189&gt;0,OR(I189+J189-K189&lt;O189+P189-Q189,AND(I189+J189-K189=O189+P189-Q189,1&lt;2))),1,0),IF(AND(U189+V189-W189&gt;0,OR(U189+V189-W189&lt;O189+P189-Q189,AND(U189+V189-W189=O189+P189-Q189,3&lt;2))),1,0),IF(AND(AA189+AB189-AC189&gt;0,OR(AA189+AB189-AC189&lt;O189+P189-Q189,AND(AA189+AB189-AC189=O189+P189-Q189,4&lt;2))),1,0)))</x:f>
        <x:v>99</x:v>
      </x:c>
      <x:c r="S189" s="6" t="n">
        <x:f>IF('Debt strategy'!$C$16&gt;0,0,MIN(O189+P189-Q189,MAX(0,'Debt strategy'!$C$5-SUM(E189,K189,Q189,W189,AC189)-SUM(IF(F189&lt;R189,C189+D189-E189,0),IF(L189&lt;R189,I189+J189-K189,0),IF(X189&lt;R189,U189+V189-W189,0),IF(AD189&lt;R189,AA189+AB189-AC189,0)))))</x:f>
        <x:v>0</x:v>
      </x:c>
      <x:c r="T189" s="6" t="n">
        <x:f>ROUND(MAX(0,O189+P189-Q189-S189),2)</x:f>
        <x:v>0</x:v>
      </x:c>
      <x:c r="U189" s="6" t="n">
        <x:f>Z188</x:f>
        <x:v>0</x:v>
      </x:c>
      <x:c r="V189" s="6" t="n">
        <x:f>ROUND(U189*'Debt strategy'!$D$12/12,2)</x:f>
        <x:v>0</x:v>
      </x:c>
      <x:c r="W189" s="6" t="n">
        <x:f>MIN(U189+V189,'Debt strategy'!$E$12)</x:f>
        <x:v>0</x:v>
      </x:c>
      <x:c r="X189" s="27" t="n">
        <x:f>IF(U189+V189-W189&lt;=0,99,1+SUM(IF(AND(C189+D189-E189&gt;0,OR(C189+D189-E189&lt;U189+V189-W189,AND(C189+D189-E189=U189+V189-W189,0&lt;3))),1,0),IF(AND(I189+J189-K189&gt;0,OR(I189+J189-K189&lt;U189+V189-W189,AND(I189+J189-K189=U189+V189-W189,1&lt;3))),1,0),IF(AND(O189+P189-Q189&gt;0,OR(O189+P189-Q189&lt;U189+V189-W189,AND(O189+P189-Q189=U189+V189-W189,2&lt;3))),1,0),IF(AND(AA189+AB189-AC189&gt;0,OR(AA189+AB189-AC189&lt;U189+V189-W189,AND(AA189+AB189-AC189=U189+V189-W189,4&lt;3))),1,0)))</x:f>
        <x:v>99</x:v>
      </x:c>
      <x:c r="Y189" s="6" t="n">
        <x:f>IF('Debt strategy'!$C$16&gt;0,0,MIN(U189+V189-W189,MAX(0,'Debt strategy'!$C$5-SUM(E189,K189,Q189,W189,AC189)-SUM(IF(F189&lt;X189,C189+D189-E189,0),IF(L189&lt;X189,I189+J189-K189,0),IF(R189&lt;X189,O189+P189-Q189,0),IF(AD189&lt;X189,AA189+AB189-AC189,0)))))</x:f>
        <x:v>0</x:v>
      </x:c>
      <x:c r="Z189" s="6" t="n">
        <x:f>ROUND(MAX(0,U189+V189-W189-Y189),2)</x:f>
        <x:v>0</x:v>
      </x:c>
      <x:c r="AA189" s="6" t="n">
        <x:f>AF188</x:f>
        <x:v>0</x:v>
      </x:c>
      <x:c r="AB189" s="6" t="n">
        <x:f>ROUND(AA189*'Debt strategy'!$D$13/12,2)</x:f>
        <x:v>0</x:v>
      </x:c>
      <x:c r="AC189" s="6" t="n">
        <x:f>MIN(AA189+AB189,'Debt strategy'!$E$13)</x:f>
        <x:v>0</x:v>
      </x:c>
      <x:c r="AD189" s="27" t="n">
        <x:f>IF(AA189+AB189-AC189&lt;=0,99,1+SUM(IF(AND(C189+D189-E189&gt;0,OR(C189+D189-E189&lt;AA189+AB189-AC189,AND(C189+D189-E189=AA189+AB189-AC189,0&lt;4))),1,0),IF(AND(I189+J189-K189&gt;0,OR(I189+J189-K189&lt;AA189+AB189-AC189,AND(I189+J189-K189=AA189+AB189-AC189,1&lt;4))),1,0),IF(AND(O189+P189-Q189&gt;0,OR(O189+P189-Q189&lt;AA189+AB189-AC189,AND(O189+P189-Q189=AA189+AB189-AC189,2&lt;4))),1,0),IF(AND(U189+V189-W189&gt;0,OR(U189+V189-W189&lt;AA189+AB189-AC189,AND(U189+V189-W189=AA189+AB189-AC189,3&lt;4))),1,0)))</x:f>
        <x:v>99</x:v>
      </x:c>
      <x:c r="AE189" s="6" t="n">
        <x:f>IF('Debt strategy'!$C$16&gt;0,0,MIN(AA189+AB189-AC189,MAX(0,'Debt strategy'!$C$5-SUM(E189,K189,Q189,W189,AC189)-SUM(IF(F189&lt;AD189,C189+D189-E189,0),IF(L189&lt;AD189,I189+J189-K189,0),IF(R189&lt;AD189,O189+P189-Q189,0),IF(X189&lt;AD189,U189+V189-W189,0)))))</x:f>
        <x:v>0</x:v>
      </x:c>
      <x:c r="AF189" s="6" t="n">
        <x:f>ROUND(MAX(0,AA189+AB189-AC189-AE189),2)</x:f>
        <x:v>0</x:v>
      </x:c>
      <x:c r="AG189" s="6" t="n">
        <x:f>SUM(H189,N189,T189,Z189,AF189)</x:f>
        <x:v>0</x:v>
      </x:c>
      <x:c r="AH189" s="6" t="n">
        <x:f>SUM(D189,J189,P189,V189,AB189)+AH188</x:f>
        <x:v>1353.9499999999996</x:v>
      </x:c>
      <x:c r="AI189" s="2"/>
    </x:row>
    <x:row r="190" ht="23" customHeight="1">
      <x:c r="B190" s="2" t="n">
        <x:f>182</x:f>
        <x:v>182</x:v>
      </x:c>
      <x:c r="C190" s="6" t="n">
        <x:f>H189</x:f>
        <x:v>0</x:v>
      </x:c>
      <x:c r="D190" s="6" t="n">
        <x:f>ROUND(C190*'Debt strategy'!$D$9/12,2)</x:f>
        <x:v>0</x:v>
      </x:c>
      <x:c r="E190" s="6" t="n">
        <x:f>MIN(C190+D190,'Debt strategy'!$E$9)</x:f>
        <x:v>0</x:v>
      </x:c>
      <x:c r="F190" s="27" t="n">
        <x:f>IF(C190+D190-E190&lt;=0,99,1+SUM(IF(AND(I190+J190-K190&gt;0,OR(I190+J190-K190&lt;C190+D190-E190,AND(I190+J190-K190=C190+D190-E190,1&lt;0))),1,0),IF(AND(O190+P190-Q190&gt;0,OR(O190+P190-Q190&lt;C190+D190-E190,AND(O190+P190-Q190=C190+D190-E190,2&lt;0))),1,0),IF(AND(U190+V190-W190&gt;0,OR(U190+V190-W190&lt;C190+D190-E190,AND(U190+V190-W190=C190+D190-E190,3&lt;0))),1,0),IF(AND(AA190+AB190-AC190&gt;0,OR(AA190+AB190-AC190&lt;C190+D190-E190,AND(AA190+AB190-AC190=C190+D190-E190,4&lt;0))),1,0)))</x:f>
        <x:v>99</x:v>
      </x:c>
      <x:c r="G190" s="6" t="n">
        <x:f>IF('Debt strategy'!$C$16&gt;0,0,MIN(C190+D190-E190,MAX(0,'Debt strategy'!$C$5-SUM(E190,K190,Q190,W190,AC190)-SUM(IF(L190&lt;F190,I190+J190-K190,0),IF(R190&lt;F190,O190+P190-Q190,0),IF(X190&lt;F190,U190+V190-W190,0),IF(AD190&lt;F190,AA190+AB190-AC190,0)))))</x:f>
        <x:v>0</x:v>
      </x:c>
      <x:c r="H190" s="6" t="n">
        <x:f>ROUND(MAX(0,C190+D190-E190-G190),2)</x:f>
        <x:v>0</x:v>
      </x:c>
      <x:c r="I190" s="6" t="n">
        <x:f>N189</x:f>
        <x:v>0</x:v>
      </x:c>
      <x:c r="J190" s="6" t="n">
        <x:f>ROUND(I190*'Debt strategy'!$D$10/12,2)</x:f>
        <x:v>0</x:v>
      </x:c>
      <x:c r="K190" s="6" t="n">
        <x:f>MIN(I190+J190,'Debt strategy'!$E$10)</x:f>
        <x:v>0</x:v>
      </x:c>
      <x:c r="L190" s="27" t="n">
        <x:f>IF(I190+J190-K190&lt;=0,99,1+SUM(IF(AND(C190+D190-E190&gt;0,OR(C190+D190-E190&lt;I190+J190-K190,AND(C190+D190-E190=I190+J190-K190,0&lt;1))),1,0),IF(AND(O190+P190-Q190&gt;0,OR(O190+P190-Q190&lt;I190+J190-K190,AND(O190+P190-Q190=I190+J190-K190,2&lt;1))),1,0),IF(AND(U190+V190-W190&gt;0,OR(U190+V190-W190&lt;I190+J190-K190,AND(U190+V190-W190=I190+J190-K190,3&lt;1))),1,0),IF(AND(AA190+AB190-AC190&gt;0,OR(AA190+AB190-AC190&lt;I190+J190-K190,AND(AA190+AB190-AC190=I190+J190-K190,4&lt;1))),1,0)))</x:f>
        <x:v>99</x:v>
      </x:c>
      <x:c r="M190" s="6" t="n">
        <x:f>IF('Debt strategy'!$C$16&gt;0,0,MIN(I190+J190-K190,MAX(0,'Debt strategy'!$C$5-SUM(E190,K190,Q190,W190,AC190)-SUM(IF(F190&lt;L190,C190+D190-E190,0),IF(R190&lt;L190,O190+P190-Q190,0),IF(X190&lt;L190,U190+V190-W190,0),IF(AD190&lt;L190,AA190+AB190-AC190,0)))))</x:f>
        <x:v>0</x:v>
      </x:c>
      <x:c r="N190" s="6" t="n">
        <x:f>ROUND(MAX(0,I190+J190-K190-M190),2)</x:f>
        <x:v>0</x:v>
      </x:c>
      <x:c r="O190" s="6" t="n">
        <x:f>T189</x:f>
        <x:v>0</x:v>
      </x:c>
      <x:c r="P190" s="6" t="n">
        <x:f>ROUND(O190*'Debt strategy'!$D$11/12,2)</x:f>
        <x:v>0</x:v>
      </x:c>
      <x:c r="Q190" s="6" t="n">
        <x:f>MIN(O190+P190,'Debt strategy'!$E$11)</x:f>
        <x:v>0</x:v>
      </x:c>
      <x:c r="R190" s="27" t="n">
        <x:f>IF(O190+P190-Q190&lt;=0,99,1+SUM(IF(AND(C190+D190-E190&gt;0,OR(C190+D190-E190&lt;O190+P190-Q190,AND(C190+D190-E190=O190+P190-Q190,0&lt;2))),1,0),IF(AND(I190+J190-K190&gt;0,OR(I190+J190-K190&lt;O190+P190-Q190,AND(I190+J190-K190=O190+P190-Q190,1&lt;2))),1,0),IF(AND(U190+V190-W190&gt;0,OR(U190+V190-W190&lt;O190+P190-Q190,AND(U190+V190-W190=O190+P190-Q190,3&lt;2))),1,0),IF(AND(AA190+AB190-AC190&gt;0,OR(AA190+AB190-AC190&lt;O190+P190-Q190,AND(AA190+AB190-AC190=O190+P190-Q190,4&lt;2))),1,0)))</x:f>
        <x:v>99</x:v>
      </x:c>
      <x:c r="S190" s="6" t="n">
        <x:f>IF('Debt strategy'!$C$16&gt;0,0,MIN(O190+P190-Q190,MAX(0,'Debt strategy'!$C$5-SUM(E190,K190,Q190,W190,AC190)-SUM(IF(F190&lt;R190,C190+D190-E190,0),IF(L190&lt;R190,I190+J190-K190,0),IF(X190&lt;R190,U190+V190-W190,0),IF(AD190&lt;R190,AA190+AB190-AC190,0)))))</x:f>
        <x:v>0</x:v>
      </x:c>
      <x:c r="T190" s="6" t="n">
        <x:f>ROUND(MAX(0,O190+P190-Q190-S190),2)</x:f>
        <x:v>0</x:v>
      </x:c>
      <x:c r="U190" s="6" t="n">
        <x:f>Z189</x:f>
        <x:v>0</x:v>
      </x:c>
      <x:c r="V190" s="6" t="n">
        <x:f>ROUND(U190*'Debt strategy'!$D$12/12,2)</x:f>
        <x:v>0</x:v>
      </x:c>
      <x:c r="W190" s="6" t="n">
        <x:f>MIN(U190+V190,'Debt strategy'!$E$12)</x:f>
        <x:v>0</x:v>
      </x:c>
      <x:c r="X190" s="27" t="n">
        <x:f>IF(U190+V190-W190&lt;=0,99,1+SUM(IF(AND(C190+D190-E190&gt;0,OR(C190+D190-E190&lt;U190+V190-W190,AND(C190+D190-E190=U190+V190-W190,0&lt;3))),1,0),IF(AND(I190+J190-K190&gt;0,OR(I190+J190-K190&lt;U190+V190-W190,AND(I190+J190-K190=U190+V190-W190,1&lt;3))),1,0),IF(AND(O190+P190-Q190&gt;0,OR(O190+P190-Q190&lt;U190+V190-W190,AND(O190+P190-Q190=U190+V190-W190,2&lt;3))),1,0),IF(AND(AA190+AB190-AC190&gt;0,OR(AA190+AB190-AC190&lt;U190+V190-W190,AND(AA190+AB190-AC190=U190+V190-W190,4&lt;3))),1,0)))</x:f>
        <x:v>99</x:v>
      </x:c>
      <x:c r="Y190" s="6" t="n">
        <x:f>IF('Debt strategy'!$C$16&gt;0,0,MIN(U190+V190-W190,MAX(0,'Debt strategy'!$C$5-SUM(E190,K190,Q190,W190,AC190)-SUM(IF(F190&lt;X190,C190+D190-E190,0),IF(L190&lt;X190,I190+J190-K190,0),IF(R190&lt;X190,O190+P190-Q190,0),IF(AD190&lt;X190,AA190+AB190-AC190,0)))))</x:f>
        <x:v>0</x:v>
      </x:c>
      <x:c r="Z190" s="6" t="n">
        <x:f>ROUND(MAX(0,U190+V190-W190-Y190),2)</x:f>
        <x:v>0</x:v>
      </x:c>
      <x:c r="AA190" s="6" t="n">
        <x:f>AF189</x:f>
        <x:v>0</x:v>
      </x:c>
      <x:c r="AB190" s="6" t="n">
        <x:f>ROUND(AA190*'Debt strategy'!$D$13/12,2)</x:f>
        <x:v>0</x:v>
      </x:c>
      <x:c r="AC190" s="6" t="n">
        <x:f>MIN(AA190+AB190,'Debt strategy'!$E$13)</x:f>
        <x:v>0</x:v>
      </x:c>
      <x:c r="AD190" s="27" t="n">
        <x:f>IF(AA190+AB190-AC190&lt;=0,99,1+SUM(IF(AND(C190+D190-E190&gt;0,OR(C190+D190-E190&lt;AA190+AB190-AC190,AND(C190+D190-E190=AA190+AB190-AC190,0&lt;4))),1,0),IF(AND(I190+J190-K190&gt;0,OR(I190+J190-K190&lt;AA190+AB190-AC190,AND(I190+J190-K190=AA190+AB190-AC190,1&lt;4))),1,0),IF(AND(O190+P190-Q190&gt;0,OR(O190+P190-Q190&lt;AA190+AB190-AC190,AND(O190+P190-Q190=AA190+AB190-AC190,2&lt;4))),1,0),IF(AND(U190+V190-W190&gt;0,OR(U190+V190-W190&lt;AA190+AB190-AC190,AND(U190+V190-W190=AA190+AB190-AC190,3&lt;4))),1,0)))</x:f>
        <x:v>99</x:v>
      </x:c>
      <x:c r="AE190" s="6" t="n">
        <x:f>IF('Debt strategy'!$C$16&gt;0,0,MIN(AA190+AB190-AC190,MAX(0,'Debt strategy'!$C$5-SUM(E190,K190,Q190,W190,AC190)-SUM(IF(F190&lt;AD190,C190+D190-E190,0),IF(L190&lt;AD190,I190+J190-K190,0),IF(R190&lt;AD190,O190+P190-Q190,0),IF(X190&lt;AD190,U190+V190-W190,0)))))</x:f>
        <x:v>0</x:v>
      </x:c>
      <x:c r="AF190" s="6" t="n">
        <x:f>ROUND(MAX(0,AA190+AB190-AC190-AE190),2)</x:f>
        <x:v>0</x:v>
      </x:c>
      <x:c r="AG190" s="6" t="n">
        <x:f>SUM(H190,N190,T190,Z190,AF190)</x:f>
        <x:v>0</x:v>
      </x:c>
      <x:c r="AH190" s="6" t="n">
        <x:f>SUM(D190,J190,P190,V190,AB190)+AH189</x:f>
        <x:v>1353.9499999999996</x:v>
      </x:c>
      <x:c r="AI190" s="2"/>
    </x:row>
    <x:row r="191" ht="23" customHeight="1">
      <x:c r="B191" s="2" t="n">
        <x:f>183</x:f>
        <x:v>183</x:v>
      </x:c>
      <x:c r="C191" s="6" t="n">
        <x:f>H190</x:f>
        <x:v>0</x:v>
      </x:c>
      <x:c r="D191" s="6" t="n">
        <x:f>ROUND(C191*'Debt strategy'!$D$9/12,2)</x:f>
        <x:v>0</x:v>
      </x:c>
      <x:c r="E191" s="6" t="n">
        <x:f>MIN(C191+D191,'Debt strategy'!$E$9)</x:f>
        <x:v>0</x:v>
      </x:c>
      <x:c r="F191" s="27" t="n">
        <x:f>IF(C191+D191-E191&lt;=0,99,1+SUM(IF(AND(I191+J191-K191&gt;0,OR(I191+J191-K191&lt;C191+D191-E191,AND(I191+J191-K191=C191+D191-E191,1&lt;0))),1,0),IF(AND(O191+P191-Q191&gt;0,OR(O191+P191-Q191&lt;C191+D191-E191,AND(O191+P191-Q191=C191+D191-E191,2&lt;0))),1,0),IF(AND(U191+V191-W191&gt;0,OR(U191+V191-W191&lt;C191+D191-E191,AND(U191+V191-W191=C191+D191-E191,3&lt;0))),1,0),IF(AND(AA191+AB191-AC191&gt;0,OR(AA191+AB191-AC191&lt;C191+D191-E191,AND(AA191+AB191-AC191=C191+D191-E191,4&lt;0))),1,0)))</x:f>
        <x:v>99</x:v>
      </x:c>
      <x:c r="G191" s="6" t="n">
        <x:f>IF('Debt strategy'!$C$16&gt;0,0,MIN(C191+D191-E191,MAX(0,'Debt strategy'!$C$5-SUM(E191,K191,Q191,W191,AC191)-SUM(IF(L191&lt;F191,I191+J191-K191,0),IF(R191&lt;F191,O191+P191-Q191,0),IF(X191&lt;F191,U191+V191-W191,0),IF(AD191&lt;F191,AA191+AB191-AC191,0)))))</x:f>
        <x:v>0</x:v>
      </x:c>
      <x:c r="H191" s="6" t="n">
        <x:f>ROUND(MAX(0,C191+D191-E191-G191),2)</x:f>
        <x:v>0</x:v>
      </x:c>
      <x:c r="I191" s="6" t="n">
        <x:f>N190</x:f>
        <x:v>0</x:v>
      </x:c>
      <x:c r="J191" s="6" t="n">
        <x:f>ROUND(I191*'Debt strategy'!$D$10/12,2)</x:f>
        <x:v>0</x:v>
      </x:c>
      <x:c r="K191" s="6" t="n">
        <x:f>MIN(I191+J191,'Debt strategy'!$E$10)</x:f>
        <x:v>0</x:v>
      </x:c>
      <x:c r="L191" s="27" t="n">
        <x:f>IF(I191+J191-K191&lt;=0,99,1+SUM(IF(AND(C191+D191-E191&gt;0,OR(C191+D191-E191&lt;I191+J191-K191,AND(C191+D191-E191=I191+J191-K191,0&lt;1))),1,0),IF(AND(O191+P191-Q191&gt;0,OR(O191+P191-Q191&lt;I191+J191-K191,AND(O191+P191-Q191=I191+J191-K191,2&lt;1))),1,0),IF(AND(U191+V191-W191&gt;0,OR(U191+V191-W191&lt;I191+J191-K191,AND(U191+V191-W191=I191+J191-K191,3&lt;1))),1,0),IF(AND(AA191+AB191-AC191&gt;0,OR(AA191+AB191-AC191&lt;I191+J191-K191,AND(AA191+AB191-AC191=I191+J191-K191,4&lt;1))),1,0)))</x:f>
        <x:v>99</x:v>
      </x:c>
      <x:c r="M191" s="6" t="n">
        <x:f>IF('Debt strategy'!$C$16&gt;0,0,MIN(I191+J191-K191,MAX(0,'Debt strategy'!$C$5-SUM(E191,K191,Q191,W191,AC191)-SUM(IF(F191&lt;L191,C191+D191-E191,0),IF(R191&lt;L191,O191+P191-Q191,0),IF(X191&lt;L191,U191+V191-W191,0),IF(AD191&lt;L191,AA191+AB191-AC191,0)))))</x:f>
        <x:v>0</x:v>
      </x:c>
      <x:c r="N191" s="6" t="n">
        <x:f>ROUND(MAX(0,I191+J191-K191-M191),2)</x:f>
        <x:v>0</x:v>
      </x:c>
      <x:c r="O191" s="6" t="n">
        <x:f>T190</x:f>
        <x:v>0</x:v>
      </x:c>
      <x:c r="P191" s="6" t="n">
        <x:f>ROUND(O191*'Debt strategy'!$D$11/12,2)</x:f>
        <x:v>0</x:v>
      </x:c>
      <x:c r="Q191" s="6" t="n">
        <x:f>MIN(O191+P191,'Debt strategy'!$E$11)</x:f>
        <x:v>0</x:v>
      </x:c>
      <x:c r="R191" s="27" t="n">
        <x:f>IF(O191+P191-Q191&lt;=0,99,1+SUM(IF(AND(C191+D191-E191&gt;0,OR(C191+D191-E191&lt;O191+P191-Q191,AND(C191+D191-E191=O191+P191-Q191,0&lt;2))),1,0),IF(AND(I191+J191-K191&gt;0,OR(I191+J191-K191&lt;O191+P191-Q191,AND(I191+J191-K191=O191+P191-Q191,1&lt;2))),1,0),IF(AND(U191+V191-W191&gt;0,OR(U191+V191-W191&lt;O191+P191-Q191,AND(U191+V191-W191=O191+P191-Q191,3&lt;2))),1,0),IF(AND(AA191+AB191-AC191&gt;0,OR(AA191+AB191-AC191&lt;O191+P191-Q191,AND(AA191+AB191-AC191=O191+P191-Q191,4&lt;2))),1,0)))</x:f>
        <x:v>99</x:v>
      </x:c>
      <x:c r="S191" s="6" t="n">
        <x:f>IF('Debt strategy'!$C$16&gt;0,0,MIN(O191+P191-Q191,MAX(0,'Debt strategy'!$C$5-SUM(E191,K191,Q191,W191,AC191)-SUM(IF(F191&lt;R191,C191+D191-E191,0),IF(L191&lt;R191,I191+J191-K191,0),IF(X191&lt;R191,U191+V191-W191,0),IF(AD191&lt;R191,AA191+AB191-AC191,0)))))</x:f>
        <x:v>0</x:v>
      </x:c>
      <x:c r="T191" s="6" t="n">
        <x:f>ROUND(MAX(0,O191+P191-Q191-S191),2)</x:f>
        <x:v>0</x:v>
      </x:c>
      <x:c r="U191" s="6" t="n">
        <x:f>Z190</x:f>
        <x:v>0</x:v>
      </x:c>
      <x:c r="V191" s="6" t="n">
        <x:f>ROUND(U191*'Debt strategy'!$D$12/12,2)</x:f>
        <x:v>0</x:v>
      </x:c>
      <x:c r="W191" s="6" t="n">
        <x:f>MIN(U191+V191,'Debt strategy'!$E$12)</x:f>
        <x:v>0</x:v>
      </x:c>
      <x:c r="X191" s="27" t="n">
        <x:f>IF(U191+V191-W191&lt;=0,99,1+SUM(IF(AND(C191+D191-E191&gt;0,OR(C191+D191-E191&lt;U191+V191-W191,AND(C191+D191-E191=U191+V191-W191,0&lt;3))),1,0),IF(AND(I191+J191-K191&gt;0,OR(I191+J191-K191&lt;U191+V191-W191,AND(I191+J191-K191=U191+V191-W191,1&lt;3))),1,0),IF(AND(O191+P191-Q191&gt;0,OR(O191+P191-Q191&lt;U191+V191-W191,AND(O191+P191-Q191=U191+V191-W191,2&lt;3))),1,0),IF(AND(AA191+AB191-AC191&gt;0,OR(AA191+AB191-AC191&lt;U191+V191-W191,AND(AA191+AB191-AC191=U191+V191-W191,4&lt;3))),1,0)))</x:f>
        <x:v>99</x:v>
      </x:c>
      <x:c r="Y191" s="6" t="n">
        <x:f>IF('Debt strategy'!$C$16&gt;0,0,MIN(U191+V191-W191,MAX(0,'Debt strategy'!$C$5-SUM(E191,K191,Q191,W191,AC191)-SUM(IF(F191&lt;X191,C191+D191-E191,0),IF(L191&lt;X191,I191+J191-K191,0),IF(R191&lt;X191,O191+P191-Q191,0),IF(AD191&lt;X191,AA191+AB191-AC191,0)))))</x:f>
        <x:v>0</x:v>
      </x:c>
      <x:c r="Z191" s="6" t="n">
        <x:f>ROUND(MAX(0,U191+V191-W191-Y191),2)</x:f>
        <x:v>0</x:v>
      </x:c>
      <x:c r="AA191" s="6" t="n">
        <x:f>AF190</x:f>
        <x:v>0</x:v>
      </x:c>
      <x:c r="AB191" s="6" t="n">
        <x:f>ROUND(AA191*'Debt strategy'!$D$13/12,2)</x:f>
        <x:v>0</x:v>
      </x:c>
      <x:c r="AC191" s="6" t="n">
        <x:f>MIN(AA191+AB191,'Debt strategy'!$E$13)</x:f>
        <x:v>0</x:v>
      </x:c>
      <x:c r="AD191" s="27" t="n">
        <x:f>IF(AA191+AB191-AC191&lt;=0,99,1+SUM(IF(AND(C191+D191-E191&gt;0,OR(C191+D191-E191&lt;AA191+AB191-AC191,AND(C191+D191-E191=AA191+AB191-AC191,0&lt;4))),1,0),IF(AND(I191+J191-K191&gt;0,OR(I191+J191-K191&lt;AA191+AB191-AC191,AND(I191+J191-K191=AA191+AB191-AC191,1&lt;4))),1,0),IF(AND(O191+P191-Q191&gt;0,OR(O191+P191-Q191&lt;AA191+AB191-AC191,AND(O191+P191-Q191=AA191+AB191-AC191,2&lt;4))),1,0),IF(AND(U191+V191-W191&gt;0,OR(U191+V191-W191&lt;AA191+AB191-AC191,AND(U191+V191-W191=AA191+AB191-AC191,3&lt;4))),1,0)))</x:f>
        <x:v>99</x:v>
      </x:c>
      <x:c r="AE191" s="6" t="n">
        <x:f>IF('Debt strategy'!$C$16&gt;0,0,MIN(AA191+AB191-AC191,MAX(0,'Debt strategy'!$C$5-SUM(E191,K191,Q191,W191,AC191)-SUM(IF(F191&lt;AD191,C191+D191-E191,0),IF(L191&lt;AD191,I191+J191-K191,0),IF(R191&lt;AD191,O191+P191-Q191,0),IF(X191&lt;AD191,U191+V191-W191,0)))))</x:f>
        <x:v>0</x:v>
      </x:c>
      <x:c r="AF191" s="6" t="n">
        <x:f>ROUND(MAX(0,AA191+AB191-AC191-AE191),2)</x:f>
        <x:v>0</x:v>
      </x:c>
      <x:c r="AG191" s="6" t="n">
        <x:f>SUM(H191,N191,T191,Z191,AF191)</x:f>
        <x:v>0</x:v>
      </x:c>
      <x:c r="AH191" s="6" t="n">
        <x:f>SUM(D191,J191,P191,V191,AB191)+AH190</x:f>
        <x:v>1353.9499999999996</x:v>
      </x:c>
      <x:c r="AI191" s="2"/>
    </x:row>
    <x:row r="192" ht="23" customHeight="1">
      <x:c r="B192" s="2" t="n">
        <x:f>184</x:f>
        <x:v>184</x:v>
      </x:c>
      <x:c r="C192" s="6" t="n">
        <x:f>H191</x:f>
        <x:v>0</x:v>
      </x:c>
      <x:c r="D192" s="6" t="n">
        <x:f>ROUND(C192*'Debt strategy'!$D$9/12,2)</x:f>
        <x:v>0</x:v>
      </x:c>
      <x:c r="E192" s="6" t="n">
        <x:f>MIN(C192+D192,'Debt strategy'!$E$9)</x:f>
        <x:v>0</x:v>
      </x:c>
      <x:c r="F192" s="27" t="n">
        <x:f>IF(C192+D192-E192&lt;=0,99,1+SUM(IF(AND(I192+J192-K192&gt;0,OR(I192+J192-K192&lt;C192+D192-E192,AND(I192+J192-K192=C192+D192-E192,1&lt;0))),1,0),IF(AND(O192+P192-Q192&gt;0,OR(O192+P192-Q192&lt;C192+D192-E192,AND(O192+P192-Q192=C192+D192-E192,2&lt;0))),1,0),IF(AND(U192+V192-W192&gt;0,OR(U192+V192-W192&lt;C192+D192-E192,AND(U192+V192-W192=C192+D192-E192,3&lt;0))),1,0),IF(AND(AA192+AB192-AC192&gt;0,OR(AA192+AB192-AC192&lt;C192+D192-E192,AND(AA192+AB192-AC192=C192+D192-E192,4&lt;0))),1,0)))</x:f>
        <x:v>99</x:v>
      </x:c>
      <x:c r="G192" s="6" t="n">
        <x:f>IF('Debt strategy'!$C$16&gt;0,0,MIN(C192+D192-E192,MAX(0,'Debt strategy'!$C$5-SUM(E192,K192,Q192,W192,AC192)-SUM(IF(L192&lt;F192,I192+J192-K192,0),IF(R192&lt;F192,O192+P192-Q192,0),IF(X192&lt;F192,U192+V192-W192,0),IF(AD192&lt;F192,AA192+AB192-AC192,0)))))</x:f>
        <x:v>0</x:v>
      </x:c>
      <x:c r="H192" s="6" t="n">
        <x:f>ROUND(MAX(0,C192+D192-E192-G192),2)</x:f>
        <x:v>0</x:v>
      </x:c>
      <x:c r="I192" s="6" t="n">
        <x:f>N191</x:f>
        <x:v>0</x:v>
      </x:c>
      <x:c r="J192" s="6" t="n">
        <x:f>ROUND(I192*'Debt strategy'!$D$10/12,2)</x:f>
        <x:v>0</x:v>
      </x:c>
      <x:c r="K192" s="6" t="n">
        <x:f>MIN(I192+J192,'Debt strategy'!$E$10)</x:f>
        <x:v>0</x:v>
      </x:c>
      <x:c r="L192" s="27" t="n">
        <x:f>IF(I192+J192-K192&lt;=0,99,1+SUM(IF(AND(C192+D192-E192&gt;0,OR(C192+D192-E192&lt;I192+J192-K192,AND(C192+D192-E192=I192+J192-K192,0&lt;1))),1,0),IF(AND(O192+P192-Q192&gt;0,OR(O192+P192-Q192&lt;I192+J192-K192,AND(O192+P192-Q192=I192+J192-K192,2&lt;1))),1,0),IF(AND(U192+V192-W192&gt;0,OR(U192+V192-W192&lt;I192+J192-K192,AND(U192+V192-W192=I192+J192-K192,3&lt;1))),1,0),IF(AND(AA192+AB192-AC192&gt;0,OR(AA192+AB192-AC192&lt;I192+J192-K192,AND(AA192+AB192-AC192=I192+J192-K192,4&lt;1))),1,0)))</x:f>
        <x:v>99</x:v>
      </x:c>
      <x:c r="M192" s="6" t="n">
        <x:f>IF('Debt strategy'!$C$16&gt;0,0,MIN(I192+J192-K192,MAX(0,'Debt strategy'!$C$5-SUM(E192,K192,Q192,W192,AC192)-SUM(IF(F192&lt;L192,C192+D192-E192,0),IF(R192&lt;L192,O192+P192-Q192,0),IF(X192&lt;L192,U192+V192-W192,0),IF(AD192&lt;L192,AA192+AB192-AC192,0)))))</x:f>
        <x:v>0</x:v>
      </x:c>
      <x:c r="N192" s="6" t="n">
        <x:f>ROUND(MAX(0,I192+J192-K192-M192),2)</x:f>
        <x:v>0</x:v>
      </x:c>
      <x:c r="O192" s="6" t="n">
        <x:f>T191</x:f>
        <x:v>0</x:v>
      </x:c>
      <x:c r="P192" s="6" t="n">
        <x:f>ROUND(O192*'Debt strategy'!$D$11/12,2)</x:f>
        <x:v>0</x:v>
      </x:c>
      <x:c r="Q192" s="6" t="n">
        <x:f>MIN(O192+P192,'Debt strategy'!$E$11)</x:f>
        <x:v>0</x:v>
      </x:c>
      <x:c r="R192" s="27" t="n">
        <x:f>IF(O192+P192-Q192&lt;=0,99,1+SUM(IF(AND(C192+D192-E192&gt;0,OR(C192+D192-E192&lt;O192+P192-Q192,AND(C192+D192-E192=O192+P192-Q192,0&lt;2))),1,0),IF(AND(I192+J192-K192&gt;0,OR(I192+J192-K192&lt;O192+P192-Q192,AND(I192+J192-K192=O192+P192-Q192,1&lt;2))),1,0),IF(AND(U192+V192-W192&gt;0,OR(U192+V192-W192&lt;O192+P192-Q192,AND(U192+V192-W192=O192+P192-Q192,3&lt;2))),1,0),IF(AND(AA192+AB192-AC192&gt;0,OR(AA192+AB192-AC192&lt;O192+P192-Q192,AND(AA192+AB192-AC192=O192+P192-Q192,4&lt;2))),1,0)))</x:f>
        <x:v>99</x:v>
      </x:c>
      <x:c r="S192" s="6" t="n">
        <x:f>IF('Debt strategy'!$C$16&gt;0,0,MIN(O192+P192-Q192,MAX(0,'Debt strategy'!$C$5-SUM(E192,K192,Q192,W192,AC192)-SUM(IF(F192&lt;R192,C192+D192-E192,0),IF(L192&lt;R192,I192+J192-K192,0),IF(X192&lt;R192,U192+V192-W192,0),IF(AD192&lt;R192,AA192+AB192-AC192,0)))))</x:f>
        <x:v>0</x:v>
      </x:c>
      <x:c r="T192" s="6" t="n">
        <x:f>ROUND(MAX(0,O192+P192-Q192-S192),2)</x:f>
        <x:v>0</x:v>
      </x:c>
      <x:c r="U192" s="6" t="n">
        <x:f>Z191</x:f>
        <x:v>0</x:v>
      </x:c>
      <x:c r="V192" s="6" t="n">
        <x:f>ROUND(U192*'Debt strategy'!$D$12/12,2)</x:f>
        <x:v>0</x:v>
      </x:c>
      <x:c r="W192" s="6" t="n">
        <x:f>MIN(U192+V192,'Debt strategy'!$E$12)</x:f>
        <x:v>0</x:v>
      </x:c>
      <x:c r="X192" s="27" t="n">
        <x:f>IF(U192+V192-W192&lt;=0,99,1+SUM(IF(AND(C192+D192-E192&gt;0,OR(C192+D192-E192&lt;U192+V192-W192,AND(C192+D192-E192=U192+V192-W192,0&lt;3))),1,0),IF(AND(I192+J192-K192&gt;0,OR(I192+J192-K192&lt;U192+V192-W192,AND(I192+J192-K192=U192+V192-W192,1&lt;3))),1,0),IF(AND(O192+P192-Q192&gt;0,OR(O192+P192-Q192&lt;U192+V192-W192,AND(O192+P192-Q192=U192+V192-W192,2&lt;3))),1,0),IF(AND(AA192+AB192-AC192&gt;0,OR(AA192+AB192-AC192&lt;U192+V192-W192,AND(AA192+AB192-AC192=U192+V192-W192,4&lt;3))),1,0)))</x:f>
        <x:v>99</x:v>
      </x:c>
      <x:c r="Y192" s="6" t="n">
        <x:f>IF('Debt strategy'!$C$16&gt;0,0,MIN(U192+V192-W192,MAX(0,'Debt strategy'!$C$5-SUM(E192,K192,Q192,W192,AC192)-SUM(IF(F192&lt;X192,C192+D192-E192,0),IF(L192&lt;X192,I192+J192-K192,0),IF(R192&lt;X192,O192+P192-Q192,0),IF(AD192&lt;X192,AA192+AB192-AC192,0)))))</x:f>
        <x:v>0</x:v>
      </x:c>
      <x:c r="Z192" s="6" t="n">
        <x:f>ROUND(MAX(0,U192+V192-W192-Y192),2)</x:f>
        <x:v>0</x:v>
      </x:c>
      <x:c r="AA192" s="6" t="n">
        <x:f>AF191</x:f>
        <x:v>0</x:v>
      </x:c>
      <x:c r="AB192" s="6" t="n">
        <x:f>ROUND(AA192*'Debt strategy'!$D$13/12,2)</x:f>
        <x:v>0</x:v>
      </x:c>
      <x:c r="AC192" s="6" t="n">
        <x:f>MIN(AA192+AB192,'Debt strategy'!$E$13)</x:f>
        <x:v>0</x:v>
      </x:c>
      <x:c r="AD192" s="27" t="n">
        <x:f>IF(AA192+AB192-AC192&lt;=0,99,1+SUM(IF(AND(C192+D192-E192&gt;0,OR(C192+D192-E192&lt;AA192+AB192-AC192,AND(C192+D192-E192=AA192+AB192-AC192,0&lt;4))),1,0),IF(AND(I192+J192-K192&gt;0,OR(I192+J192-K192&lt;AA192+AB192-AC192,AND(I192+J192-K192=AA192+AB192-AC192,1&lt;4))),1,0),IF(AND(O192+P192-Q192&gt;0,OR(O192+P192-Q192&lt;AA192+AB192-AC192,AND(O192+P192-Q192=AA192+AB192-AC192,2&lt;4))),1,0),IF(AND(U192+V192-W192&gt;0,OR(U192+V192-W192&lt;AA192+AB192-AC192,AND(U192+V192-W192=AA192+AB192-AC192,3&lt;4))),1,0)))</x:f>
        <x:v>99</x:v>
      </x:c>
      <x:c r="AE192" s="6" t="n">
        <x:f>IF('Debt strategy'!$C$16&gt;0,0,MIN(AA192+AB192-AC192,MAX(0,'Debt strategy'!$C$5-SUM(E192,K192,Q192,W192,AC192)-SUM(IF(F192&lt;AD192,C192+D192-E192,0),IF(L192&lt;AD192,I192+J192-K192,0),IF(R192&lt;AD192,O192+P192-Q192,0),IF(X192&lt;AD192,U192+V192-W192,0)))))</x:f>
        <x:v>0</x:v>
      </x:c>
      <x:c r="AF192" s="6" t="n">
        <x:f>ROUND(MAX(0,AA192+AB192-AC192-AE192),2)</x:f>
        <x:v>0</x:v>
      </x:c>
      <x:c r="AG192" s="6" t="n">
        <x:f>SUM(H192,N192,T192,Z192,AF192)</x:f>
        <x:v>0</x:v>
      </x:c>
      <x:c r="AH192" s="6" t="n">
        <x:f>SUM(D192,J192,P192,V192,AB192)+AH191</x:f>
        <x:v>1353.9499999999996</x:v>
      </x:c>
      <x:c r="AI192" s="2"/>
    </x:row>
    <x:row r="193" ht="23" customHeight="1">
      <x:c r="B193" s="2" t="n">
        <x:f>185</x:f>
        <x:v>185</x:v>
      </x:c>
      <x:c r="C193" s="6" t="n">
        <x:f>H192</x:f>
        <x:v>0</x:v>
      </x:c>
      <x:c r="D193" s="6" t="n">
        <x:f>ROUND(C193*'Debt strategy'!$D$9/12,2)</x:f>
        <x:v>0</x:v>
      </x:c>
      <x:c r="E193" s="6" t="n">
        <x:f>MIN(C193+D193,'Debt strategy'!$E$9)</x:f>
        <x:v>0</x:v>
      </x:c>
      <x:c r="F193" s="27" t="n">
        <x:f>IF(C193+D193-E193&lt;=0,99,1+SUM(IF(AND(I193+J193-K193&gt;0,OR(I193+J193-K193&lt;C193+D193-E193,AND(I193+J193-K193=C193+D193-E193,1&lt;0))),1,0),IF(AND(O193+P193-Q193&gt;0,OR(O193+P193-Q193&lt;C193+D193-E193,AND(O193+P193-Q193=C193+D193-E193,2&lt;0))),1,0),IF(AND(U193+V193-W193&gt;0,OR(U193+V193-W193&lt;C193+D193-E193,AND(U193+V193-W193=C193+D193-E193,3&lt;0))),1,0),IF(AND(AA193+AB193-AC193&gt;0,OR(AA193+AB193-AC193&lt;C193+D193-E193,AND(AA193+AB193-AC193=C193+D193-E193,4&lt;0))),1,0)))</x:f>
        <x:v>99</x:v>
      </x:c>
      <x:c r="G193" s="6" t="n">
        <x:f>IF('Debt strategy'!$C$16&gt;0,0,MIN(C193+D193-E193,MAX(0,'Debt strategy'!$C$5-SUM(E193,K193,Q193,W193,AC193)-SUM(IF(L193&lt;F193,I193+J193-K193,0),IF(R193&lt;F193,O193+P193-Q193,0),IF(X193&lt;F193,U193+V193-W193,0),IF(AD193&lt;F193,AA193+AB193-AC193,0)))))</x:f>
        <x:v>0</x:v>
      </x:c>
      <x:c r="H193" s="6" t="n">
        <x:f>ROUND(MAX(0,C193+D193-E193-G193),2)</x:f>
        <x:v>0</x:v>
      </x:c>
      <x:c r="I193" s="6" t="n">
        <x:f>N192</x:f>
        <x:v>0</x:v>
      </x:c>
      <x:c r="J193" s="6" t="n">
        <x:f>ROUND(I193*'Debt strategy'!$D$10/12,2)</x:f>
        <x:v>0</x:v>
      </x:c>
      <x:c r="K193" s="6" t="n">
        <x:f>MIN(I193+J193,'Debt strategy'!$E$10)</x:f>
        <x:v>0</x:v>
      </x:c>
      <x:c r="L193" s="27" t="n">
        <x:f>IF(I193+J193-K193&lt;=0,99,1+SUM(IF(AND(C193+D193-E193&gt;0,OR(C193+D193-E193&lt;I193+J193-K193,AND(C193+D193-E193=I193+J193-K193,0&lt;1))),1,0),IF(AND(O193+P193-Q193&gt;0,OR(O193+P193-Q193&lt;I193+J193-K193,AND(O193+P193-Q193=I193+J193-K193,2&lt;1))),1,0),IF(AND(U193+V193-W193&gt;0,OR(U193+V193-W193&lt;I193+J193-K193,AND(U193+V193-W193=I193+J193-K193,3&lt;1))),1,0),IF(AND(AA193+AB193-AC193&gt;0,OR(AA193+AB193-AC193&lt;I193+J193-K193,AND(AA193+AB193-AC193=I193+J193-K193,4&lt;1))),1,0)))</x:f>
        <x:v>99</x:v>
      </x:c>
      <x:c r="M193" s="6" t="n">
        <x:f>IF('Debt strategy'!$C$16&gt;0,0,MIN(I193+J193-K193,MAX(0,'Debt strategy'!$C$5-SUM(E193,K193,Q193,W193,AC193)-SUM(IF(F193&lt;L193,C193+D193-E193,0),IF(R193&lt;L193,O193+P193-Q193,0),IF(X193&lt;L193,U193+V193-W193,0),IF(AD193&lt;L193,AA193+AB193-AC193,0)))))</x:f>
        <x:v>0</x:v>
      </x:c>
      <x:c r="N193" s="6" t="n">
        <x:f>ROUND(MAX(0,I193+J193-K193-M193),2)</x:f>
        <x:v>0</x:v>
      </x:c>
      <x:c r="O193" s="6" t="n">
        <x:f>T192</x:f>
        <x:v>0</x:v>
      </x:c>
      <x:c r="P193" s="6" t="n">
        <x:f>ROUND(O193*'Debt strategy'!$D$11/12,2)</x:f>
        <x:v>0</x:v>
      </x:c>
      <x:c r="Q193" s="6" t="n">
        <x:f>MIN(O193+P193,'Debt strategy'!$E$11)</x:f>
        <x:v>0</x:v>
      </x:c>
      <x:c r="R193" s="27" t="n">
        <x:f>IF(O193+P193-Q193&lt;=0,99,1+SUM(IF(AND(C193+D193-E193&gt;0,OR(C193+D193-E193&lt;O193+P193-Q193,AND(C193+D193-E193=O193+P193-Q193,0&lt;2))),1,0),IF(AND(I193+J193-K193&gt;0,OR(I193+J193-K193&lt;O193+P193-Q193,AND(I193+J193-K193=O193+P193-Q193,1&lt;2))),1,0),IF(AND(U193+V193-W193&gt;0,OR(U193+V193-W193&lt;O193+P193-Q193,AND(U193+V193-W193=O193+P193-Q193,3&lt;2))),1,0),IF(AND(AA193+AB193-AC193&gt;0,OR(AA193+AB193-AC193&lt;O193+P193-Q193,AND(AA193+AB193-AC193=O193+P193-Q193,4&lt;2))),1,0)))</x:f>
        <x:v>99</x:v>
      </x:c>
      <x:c r="S193" s="6" t="n">
        <x:f>IF('Debt strategy'!$C$16&gt;0,0,MIN(O193+P193-Q193,MAX(0,'Debt strategy'!$C$5-SUM(E193,K193,Q193,W193,AC193)-SUM(IF(F193&lt;R193,C193+D193-E193,0),IF(L193&lt;R193,I193+J193-K193,0),IF(X193&lt;R193,U193+V193-W193,0),IF(AD193&lt;R193,AA193+AB193-AC193,0)))))</x:f>
        <x:v>0</x:v>
      </x:c>
      <x:c r="T193" s="6" t="n">
        <x:f>ROUND(MAX(0,O193+P193-Q193-S193),2)</x:f>
        <x:v>0</x:v>
      </x:c>
      <x:c r="U193" s="6" t="n">
        <x:f>Z192</x:f>
        <x:v>0</x:v>
      </x:c>
      <x:c r="V193" s="6" t="n">
        <x:f>ROUND(U193*'Debt strategy'!$D$12/12,2)</x:f>
        <x:v>0</x:v>
      </x:c>
      <x:c r="W193" s="6" t="n">
        <x:f>MIN(U193+V193,'Debt strategy'!$E$12)</x:f>
        <x:v>0</x:v>
      </x:c>
      <x:c r="X193" s="27" t="n">
        <x:f>IF(U193+V193-W193&lt;=0,99,1+SUM(IF(AND(C193+D193-E193&gt;0,OR(C193+D193-E193&lt;U193+V193-W193,AND(C193+D193-E193=U193+V193-W193,0&lt;3))),1,0),IF(AND(I193+J193-K193&gt;0,OR(I193+J193-K193&lt;U193+V193-W193,AND(I193+J193-K193=U193+V193-W193,1&lt;3))),1,0),IF(AND(O193+P193-Q193&gt;0,OR(O193+P193-Q193&lt;U193+V193-W193,AND(O193+P193-Q193=U193+V193-W193,2&lt;3))),1,0),IF(AND(AA193+AB193-AC193&gt;0,OR(AA193+AB193-AC193&lt;U193+V193-W193,AND(AA193+AB193-AC193=U193+V193-W193,4&lt;3))),1,0)))</x:f>
        <x:v>99</x:v>
      </x:c>
      <x:c r="Y193" s="6" t="n">
        <x:f>IF('Debt strategy'!$C$16&gt;0,0,MIN(U193+V193-W193,MAX(0,'Debt strategy'!$C$5-SUM(E193,K193,Q193,W193,AC193)-SUM(IF(F193&lt;X193,C193+D193-E193,0),IF(L193&lt;X193,I193+J193-K193,0),IF(R193&lt;X193,O193+P193-Q193,0),IF(AD193&lt;X193,AA193+AB193-AC193,0)))))</x:f>
        <x:v>0</x:v>
      </x:c>
      <x:c r="Z193" s="6" t="n">
        <x:f>ROUND(MAX(0,U193+V193-W193-Y193),2)</x:f>
        <x:v>0</x:v>
      </x:c>
      <x:c r="AA193" s="6" t="n">
        <x:f>AF192</x:f>
        <x:v>0</x:v>
      </x:c>
      <x:c r="AB193" s="6" t="n">
        <x:f>ROUND(AA193*'Debt strategy'!$D$13/12,2)</x:f>
        <x:v>0</x:v>
      </x:c>
      <x:c r="AC193" s="6" t="n">
        <x:f>MIN(AA193+AB193,'Debt strategy'!$E$13)</x:f>
        <x:v>0</x:v>
      </x:c>
      <x:c r="AD193" s="27" t="n">
        <x:f>IF(AA193+AB193-AC193&lt;=0,99,1+SUM(IF(AND(C193+D193-E193&gt;0,OR(C193+D193-E193&lt;AA193+AB193-AC193,AND(C193+D193-E193=AA193+AB193-AC193,0&lt;4))),1,0),IF(AND(I193+J193-K193&gt;0,OR(I193+J193-K193&lt;AA193+AB193-AC193,AND(I193+J193-K193=AA193+AB193-AC193,1&lt;4))),1,0),IF(AND(O193+P193-Q193&gt;0,OR(O193+P193-Q193&lt;AA193+AB193-AC193,AND(O193+P193-Q193=AA193+AB193-AC193,2&lt;4))),1,0),IF(AND(U193+V193-W193&gt;0,OR(U193+V193-W193&lt;AA193+AB193-AC193,AND(U193+V193-W193=AA193+AB193-AC193,3&lt;4))),1,0)))</x:f>
        <x:v>99</x:v>
      </x:c>
      <x:c r="AE193" s="6" t="n">
        <x:f>IF('Debt strategy'!$C$16&gt;0,0,MIN(AA193+AB193-AC193,MAX(0,'Debt strategy'!$C$5-SUM(E193,K193,Q193,W193,AC193)-SUM(IF(F193&lt;AD193,C193+D193-E193,0),IF(L193&lt;AD193,I193+J193-K193,0),IF(R193&lt;AD193,O193+P193-Q193,0),IF(X193&lt;AD193,U193+V193-W193,0)))))</x:f>
        <x:v>0</x:v>
      </x:c>
      <x:c r="AF193" s="6" t="n">
        <x:f>ROUND(MAX(0,AA193+AB193-AC193-AE193),2)</x:f>
        <x:v>0</x:v>
      </x:c>
      <x:c r="AG193" s="6" t="n">
        <x:f>SUM(H193,N193,T193,Z193,AF193)</x:f>
        <x:v>0</x:v>
      </x:c>
      <x:c r="AH193" s="6" t="n">
        <x:f>SUM(D193,J193,P193,V193,AB193)+AH192</x:f>
        <x:v>1353.9499999999996</x:v>
      </x:c>
      <x:c r="AI193" s="2"/>
    </x:row>
    <x:row r="194" ht="23" customHeight="1">
      <x:c r="B194" s="2" t="n">
        <x:f>186</x:f>
        <x:v>186</x:v>
      </x:c>
      <x:c r="C194" s="6" t="n">
        <x:f>H193</x:f>
        <x:v>0</x:v>
      </x:c>
      <x:c r="D194" s="6" t="n">
        <x:f>ROUND(C194*'Debt strategy'!$D$9/12,2)</x:f>
        <x:v>0</x:v>
      </x:c>
      <x:c r="E194" s="6" t="n">
        <x:f>MIN(C194+D194,'Debt strategy'!$E$9)</x:f>
        <x:v>0</x:v>
      </x:c>
      <x:c r="F194" s="27" t="n">
        <x:f>IF(C194+D194-E194&lt;=0,99,1+SUM(IF(AND(I194+J194-K194&gt;0,OR(I194+J194-K194&lt;C194+D194-E194,AND(I194+J194-K194=C194+D194-E194,1&lt;0))),1,0),IF(AND(O194+P194-Q194&gt;0,OR(O194+P194-Q194&lt;C194+D194-E194,AND(O194+P194-Q194=C194+D194-E194,2&lt;0))),1,0),IF(AND(U194+V194-W194&gt;0,OR(U194+V194-W194&lt;C194+D194-E194,AND(U194+V194-W194=C194+D194-E194,3&lt;0))),1,0),IF(AND(AA194+AB194-AC194&gt;0,OR(AA194+AB194-AC194&lt;C194+D194-E194,AND(AA194+AB194-AC194=C194+D194-E194,4&lt;0))),1,0)))</x:f>
        <x:v>99</x:v>
      </x:c>
      <x:c r="G194" s="6" t="n">
        <x:f>IF('Debt strategy'!$C$16&gt;0,0,MIN(C194+D194-E194,MAX(0,'Debt strategy'!$C$5-SUM(E194,K194,Q194,W194,AC194)-SUM(IF(L194&lt;F194,I194+J194-K194,0),IF(R194&lt;F194,O194+P194-Q194,0),IF(X194&lt;F194,U194+V194-W194,0),IF(AD194&lt;F194,AA194+AB194-AC194,0)))))</x:f>
        <x:v>0</x:v>
      </x:c>
      <x:c r="H194" s="6" t="n">
        <x:f>ROUND(MAX(0,C194+D194-E194-G194),2)</x:f>
        <x:v>0</x:v>
      </x:c>
      <x:c r="I194" s="6" t="n">
        <x:f>N193</x:f>
        <x:v>0</x:v>
      </x:c>
      <x:c r="J194" s="6" t="n">
        <x:f>ROUND(I194*'Debt strategy'!$D$10/12,2)</x:f>
        <x:v>0</x:v>
      </x:c>
      <x:c r="K194" s="6" t="n">
        <x:f>MIN(I194+J194,'Debt strategy'!$E$10)</x:f>
        <x:v>0</x:v>
      </x:c>
      <x:c r="L194" s="27" t="n">
        <x:f>IF(I194+J194-K194&lt;=0,99,1+SUM(IF(AND(C194+D194-E194&gt;0,OR(C194+D194-E194&lt;I194+J194-K194,AND(C194+D194-E194=I194+J194-K194,0&lt;1))),1,0),IF(AND(O194+P194-Q194&gt;0,OR(O194+P194-Q194&lt;I194+J194-K194,AND(O194+P194-Q194=I194+J194-K194,2&lt;1))),1,0),IF(AND(U194+V194-W194&gt;0,OR(U194+V194-W194&lt;I194+J194-K194,AND(U194+V194-W194=I194+J194-K194,3&lt;1))),1,0),IF(AND(AA194+AB194-AC194&gt;0,OR(AA194+AB194-AC194&lt;I194+J194-K194,AND(AA194+AB194-AC194=I194+J194-K194,4&lt;1))),1,0)))</x:f>
        <x:v>99</x:v>
      </x:c>
      <x:c r="M194" s="6" t="n">
        <x:f>IF('Debt strategy'!$C$16&gt;0,0,MIN(I194+J194-K194,MAX(0,'Debt strategy'!$C$5-SUM(E194,K194,Q194,W194,AC194)-SUM(IF(F194&lt;L194,C194+D194-E194,0),IF(R194&lt;L194,O194+P194-Q194,0),IF(X194&lt;L194,U194+V194-W194,0),IF(AD194&lt;L194,AA194+AB194-AC194,0)))))</x:f>
        <x:v>0</x:v>
      </x:c>
      <x:c r="N194" s="6" t="n">
        <x:f>ROUND(MAX(0,I194+J194-K194-M194),2)</x:f>
        <x:v>0</x:v>
      </x:c>
      <x:c r="O194" s="6" t="n">
        <x:f>T193</x:f>
        <x:v>0</x:v>
      </x:c>
      <x:c r="P194" s="6" t="n">
        <x:f>ROUND(O194*'Debt strategy'!$D$11/12,2)</x:f>
        <x:v>0</x:v>
      </x:c>
      <x:c r="Q194" s="6" t="n">
        <x:f>MIN(O194+P194,'Debt strategy'!$E$11)</x:f>
        <x:v>0</x:v>
      </x:c>
      <x:c r="R194" s="27" t="n">
        <x:f>IF(O194+P194-Q194&lt;=0,99,1+SUM(IF(AND(C194+D194-E194&gt;0,OR(C194+D194-E194&lt;O194+P194-Q194,AND(C194+D194-E194=O194+P194-Q194,0&lt;2))),1,0),IF(AND(I194+J194-K194&gt;0,OR(I194+J194-K194&lt;O194+P194-Q194,AND(I194+J194-K194=O194+P194-Q194,1&lt;2))),1,0),IF(AND(U194+V194-W194&gt;0,OR(U194+V194-W194&lt;O194+P194-Q194,AND(U194+V194-W194=O194+P194-Q194,3&lt;2))),1,0),IF(AND(AA194+AB194-AC194&gt;0,OR(AA194+AB194-AC194&lt;O194+P194-Q194,AND(AA194+AB194-AC194=O194+P194-Q194,4&lt;2))),1,0)))</x:f>
        <x:v>99</x:v>
      </x:c>
      <x:c r="S194" s="6" t="n">
        <x:f>IF('Debt strategy'!$C$16&gt;0,0,MIN(O194+P194-Q194,MAX(0,'Debt strategy'!$C$5-SUM(E194,K194,Q194,W194,AC194)-SUM(IF(F194&lt;R194,C194+D194-E194,0),IF(L194&lt;R194,I194+J194-K194,0),IF(X194&lt;R194,U194+V194-W194,0),IF(AD194&lt;R194,AA194+AB194-AC194,0)))))</x:f>
        <x:v>0</x:v>
      </x:c>
      <x:c r="T194" s="6" t="n">
        <x:f>ROUND(MAX(0,O194+P194-Q194-S194),2)</x:f>
        <x:v>0</x:v>
      </x:c>
      <x:c r="U194" s="6" t="n">
        <x:f>Z193</x:f>
        <x:v>0</x:v>
      </x:c>
      <x:c r="V194" s="6" t="n">
        <x:f>ROUND(U194*'Debt strategy'!$D$12/12,2)</x:f>
        <x:v>0</x:v>
      </x:c>
      <x:c r="W194" s="6" t="n">
        <x:f>MIN(U194+V194,'Debt strategy'!$E$12)</x:f>
        <x:v>0</x:v>
      </x:c>
      <x:c r="X194" s="27" t="n">
        <x:f>IF(U194+V194-W194&lt;=0,99,1+SUM(IF(AND(C194+D194-E194&gt;0,OR(C194+D194-E194&lt;U194+V194-W194,AND(C194+D194-E194=U194+V194-W194,0&lt;3))),1,0),IF(AND(I194+J194-K194&gt;0,OR(I194+J194-K194&lt;U194+V194-W194,AND(I194+J194-K194=U194+V194-W194,1&lt;3))),1,0),IF(AND(O194+P194-Q194&gt;0,OR(O194+P194-Q194&lt;U194+V194-W194,AND(O194+P194-Q194=U194+V194-W194,2&lt;3))),1,0),IF(AND(AA194+AB194-AC194&gt;0,OR(AA194+AB194-AC194&lt;U194+V194-W194,AND(AA194+AB194-AC194=U194+V194-W194,4&lt;3))),1,0)))</x:f>
        <x:v>99</x:v>
      </x:c>
      <x:c r="Y194" s="6" t="n">
        <x:f>IF('Debt strategy'!$C$16&gt;0,0,MIN(U194+V194-W194,MAX(0,'Debt strategy'!$C$5-SUM(E194,K194,Q194,W194,AC194)-SUM(IF(F194&lt;X194,C194+D194-E194,0),IF(L194&lt;X194,I194+J194-K194,0),IF(R194&lt;X194,O194+P194-Q194,0),IF(AD194&lt;X194,AA194+AB194-AC194,0)))))</x:f>
        <x:v>0</x:v>
      </x:c>
      <x:c r="Z194" s="6" t="n">
        <x:f>ROUND(MAX(0,U194+V194-W194-Y194),2)</x:f>
        <x:v>0</x:v>
      </x:c>
      <x:c r="AA194" s="6" t="n">
        <x:f>AF193</x:f>
        <x:v>0</x:v>
      </x:c>
      <x:c r="AB194" s="6" t="n">
        <x:f>ROUND(AA194*'Debt strategy'!$D$13/12,2)</x:f>
        <x:v>0</x:v>
      </x:c>
      <x:c r="AC194" s="6" t="n">
        <x:f>MIN(AA194+AB194,'Debt strategy'!$E$13)</x:f>
        <x:v>0</x:v>
      </x:c>
      <x:c r="AD194" s="27" t="n">
        <x:f>IF(AA194+AB194-AC194&lt;=0,99,1+SUM(IF(AND(C194+D194-E194&gt;0,OR(C194+D194-E194&lt;AA194+AB194-AC194,AND(C194+D194-E194=AA194+AB194-AC194,0&lt;4))),1,0),IF(AND(I194+J194-K194&gt;0,OR(I194+J194-K194&lt;AA194+AB194-AC194,AND(I194+J194-K194=AA194+AB194-AC194,1&lt;4))),1,0),IF(AND(O194+P194-Q194&gt;0,OR(O194+P194-Q194&lt;AA194+AB194-AC194,AND(O194+P194-Q194=AA194+AB194-AC194,2&lt;4))),1,0),IF(AND(U194+V194-W194&gt;0,OR(U194+V194-W194&lt;AA194+AB194-AC194,AND(U194+V194-W194=AA194+AB194-AC194,3&lt;4))),1,0)))</x:f>
        <x:v>99</x:v>
      </x:c>
      <x:c r="AE194" s="6" t="n">
        <x:f>IF('Debt strategy'!$C$16&gt;0,0,MIN(AA194+AB194-AC194,MAX(0,'Debt strategy'!$C$5-SUM(E194,K194,Q194,W194,AC194)-SUM(IF(F194&lt;AD194,C194+D194-E194,0),IF(L194&lt;AD194,I194+J194-K194,0),IF(R194&lt;AD194,O194+P194-Q194,0),IF(X194&lt;AD194,U194+V194-W194,0)))))</x:f>
        <x:v>0</x:v>
      </x:c>
      <x:c r="AF194" s="6" t="n">
        <x:f>ROUND(MAX(0,AA194+AB194-AC194-AE194),2)</x:f>
        <x:v>0</x:v>
      </x:c>
      <x:c r="AG194" s="6" t="n">
        <x:f>SUM(H194,N194,T194,Z194,AF194)</x:f>
        <x:v>0</x:v>
      </x:c>
      <x:c r="AH194" s="6" t="n">
        <x:f>SUM(D194,J194,P194,V194,AB194)+AH193</x:f>
        <x:v>1353.9499999999996</x:v>
      </x:c>
      <x:c r="AI194" s="2"/>
    </x:row>
    <x:row r="195" ht="23" customHeight="1">
      <x:c r="B195" s="2" t="n">
        <x:f>187</x:f>
        <x:v>187</x:v>
      </x:c>
      <x:c r="C195" s="6" t="n">
        <x:f>H194</x:f>
        <x:v>0</x:v>
      </x:c>
      <x:c r="D195" s="6" t="n">
        <x:f>ROUND(C195*'Debt strategy'!$D$9/12,2)</x:f>
        <x:v>0</x:v>
      </x:c>
      <x:c r="E195" s="6" t="n">
        <x:f>MIN(C195+D195,'Debt strategy'!$E$9)</x:f>
        <x:v>0</x:v>
      </x:c>
      <x:c r="F195" s="27" t="n">
        <x:f>IF(C195+D195-E195&lt;=0,99,1+SUM(IF(AND(I195+J195-K195&gt;0,OR(I195+J195-K195&lt;C195+D195-E195,AND(I195+J195-K195=C195+D195-E195,1&lt;0))),1,0),IF(AND(O195+P195-Q195&gt;0,OR(O195+P195-Q195&lt;C195+D195-E195,AND(O195+P195-Q195=C195+D195-E195,2&lt;0))),1,0),IF(AND(U195+V195-W195&gt;0,OR(U195+V195-W195&lt;C195+D195-E195,AND(U195+V195-W195=C195+D195-E195,3&lt;0))),1,0),IF(AND(AA195+AB195-AC195&gt;0,OR(AA195+AB195-AC195&lt;C195+D195-E195,AND(AA195+AB195-AC195=C195+D195-E195,4&lt;0))),1,0)))</x:f>
        <x:v>99</x:v>
      </x:c>
      <x:c r="G195" s="6" t="n">
        <x:f>IF('Debt strategy'!$C$16&gt;0,0,MIN(C195+D195-E195,MAX(0,'Debt strategy'!$C$5-SUM(E195,K195,Q195,W195,AC195)-SUM(IF(L195&lt;F195,I195+J195-K195,0),IF(R195&lt;F195,O195+P195-Q195,0),IF(X195&lt;F195,U195+V195-W195,0),IF(AD195&lt;F195,AA195+AB195-AC195,0)))))</x:f>
        <x:v>0</x:v>
      </x:c>
      <x:c r="H195" s="6" t="n">
        <x:f>ROUND(MAX(0,C195+D195-E195-G195),2)</x:f>
        <x:v>0</x:v>
      </x:c>
      <x:c r="I195" s="6" t="n">
        <x:f>N194</x:f>
        <x:v>0</x:v>
      </x:c>
      <x:c r="J195" s="6" t="n">
        <x:f>ROUND(I195*'Debt strategy'!$D$10/12,2)</x:f>
        <x:v>0</x:v>
      </x:c>
      <x:c r="K195" s="6" t="n">
        <x:f>MIN(I195+J195,'Debt strategy'!$E$10)</x:f>
        <x:v>0</x:v>
      </x:c>
      <x:c r="L195" s="27" t="n">
        <x:f>IF(I195+J195-K195&lt;=0,99,1+SUM(IF(AND(C195+D195-E195&gt;0,OR(C195+D195-E195&lt;I195+J195-K195,AND(C195+D195-E195=I195+J195-K195,0&lt;1))),1,0),IF(AND(O195+P195-Q195&gt;0,OR(O195+P195-Q195&lt;I195+J195-K195,AND(O195+P195-Q195=I195+J195-K195,2&lt;1))),1,0),IF(AND(U195+V195-W195&gt;0,OR(U195+V195-W195&lt;I195+J195-K195,AND(U195+V195-W195=I195+J195-K195,3&lt;1))),1,0),IF(AND(AA195+AB195-AC195&gt;0,OR(AA195+AB195-AC195&lt;I195+J195-K195,AND(AA195+AB195-AC195=I195+J195-K195,4&lt;1))),1,0)))</x:f>
        <x:v>99</x:v>
      </x:c>
      <x:c r="M195" s="6" t="n">
        <x:f>IF('Debt strategy'!$C$16&gt;0,0,MIN(I195+J195-K195,MAX(0,'Debt strategy'!$C$5-SUM(E195,K195,Q195,W195,AC195)-SUM(IF(F195&lt;L195,C195+D195-E195,0),IF(R195&lt;L195,O195+P195-Q195,0),IF(X195&lt;L195,U195+V195-W195,0),IF(AD195&lt;L195,AA195+AB195-AC195,0)))))</x:f>
        <x:v>0</x:v>
      </x:c>
      <x:c r="N195" s="6" t="n">
        <x:f>ROUND(MAX(0,I195+J195-K195-M195),2)</x:f>
        <x:v>0</x:v>
      </x:c>
      <x:c r="O195" s="6" t="n">
        <x:f>T194</x:f>
        <x:v>0</x:v>
      </x:c>
      <x:c r="P195" s="6" t="n">
        <x:f>ROUND(O195*'Debt strategy'!$D$11/12,2)</x:f>
        <x:v>0</x:v>
      </x:c>
      <x:c r="Q195" s="6" t="n">
        <x:f>MIN(O195+P195,'Debt strategy'!$E$11)</x:f>
        <x:v>0</x:v>
      </x:c>
      <x:c r="R195" s="27" t="n">
        <x:f>IF(O195+P195-Q195&lt;=0,99,1+SUM(IF(AND(C195+D195-E195&gt;0,OR(C195+D195-E195&lt;O195+P195-Q195,AND(C195+D195-E195=O195+P195-Q195,0&lt;2))),1,0),IF(AND(I195+J195-K195&gt;0,OR(I195+J195-K195&lt;O195+P195-Q195,AND(I195+J195-K195=O195+P195-Q195,1&lt;2))),1,0),IF(AND(U195+V195-W195&gt;0,OR(U195+V195-W195&lt;O195+P195-Q195,AND(U195+V195-W195=O195+P195-Q195,3&lt;2))),1,0),IF(AND(AA195+AB195-AC195&gt;0,OR(AA195+AB195-AC195&lt;O195+P195-Q195,AND(AA195+AB195-AC195=O195+P195-Q195,4&lt;2))),1,0)))</x:f>
        <x:v>99</x:v>
      </x:c>
      <x:c r="S195" s="6" t="n">
        <x:f>IF('Debt strategy'!$C$16&gt;0,0,MIN(O195+P195-Q195,MAX(0,'Debt strategy'!$C$5-SUM(E195,K195,Q195,W195,AC195)-SUM(IF(F195&lt;R195,C195+D195-E195,0),IF(L195&lt;R195,I195+J195-K195,0),IF(X195&lt;R195,U195+V195-W195,0),IF(AD195&lt;R195,AA195+AB195-AC195,0)))))</x:f>
        <x:v>0</x:v>
      </x:c>
      <x:c r="T195" s="6" t="n">
        <x:f>ROUND(MAX(0,O195+P195-Q195-S195),2)</x:f>
        <x:v>0</x:v>
      </x:c>
      <x:c r="U195" s="6" t="n">
        <x:f>Z194</x:f>
        <x:v>0</x:v>
      </x:c>
      <x:c r="V195" s="6" t="n">
        <x:f>ROUND(U195*'Debt strategy'!$D$12/12,2)</x:f>
        <x:v>0</x:v>
      </x:c>
      <x:c r="W195" s="6" t="n">
        <x:f>MIN(U195+V195,'Debt strategy'!$E$12)</x:f>
        <x:v>0</x:v>
      </x:c>
      <x:c r="X195" s="27" t="n">
        <x:f>IF(U195+V195-W195&lt;=0,99,1+SUM(IF(AND(C195+D195-E195&gt;0,OR(C195+D195-E195&lt;U195+V195-W195,AND(C195+D195-E195=U195+V195-W195,0&lt;3))),1,0),IF(AND(I195+J195-K195&gt;0,OR(I195+J195-K195&lt;U195+V195-W195,AND(I195+J195-K195=U195+V195-W195,1&lt;3))),1,0),IF(AND(O195+P195-Q195&gt;0,OR(O195+P195-Q195&lt;U195+V195-W195,AND(O195+P195-Q195=U195+V195-W195,2&lt;3))),1,0),IF(AND(AA195+AB195-AC195&gt;0,OR(AA195+AB195-AC195&lt;U195+V195-W195,AND(AA195+AB195-AC195=U195+V195-W195,4&lt;3))),1,0)))</x:f>
        <x:v>99</x:v>
      </x:c>
      <x:c r="Y195" s="6" t="n">
        <x:f>IF('Debt strategy'!$C$16&gt;0,0,MIN(U195+V195-W195,MAX(0,'Debt strategy'!$C$5-SUM(E195,K195,Q195,W195,AC195)-SUM(IF(F195&lt;X195,C195+D195-E195,0),IF(L195&lt;X195,I195+J195-K195,0),IF(R195&lt;X195,O195+P195-Q195,0),IF(AD195&lt;X195,AA195+AB195-AC195,0)))))</x:f>
        <x:v>0</x:v>
      </x:c>
      <x:c r="Z195" s="6" t="n">
        <x:f>ROUND(MAX(0,U195+V195-W195-Y195),2)</x:f>
        <x:v>0</x:v>
      </x:c>
      <x:c r="AA195" s="6" t="n">
        <x:f>AF194</x:f>
        <x:v>0</x:v>
      </x:c>
      <x:c r="AB195" s="6" t="n">
        <x:f>ROUND(AA195*'Debt strategy'!$D$13/12,2)</x:f>
        <x:v>0</x:v>
      </x:c>
      <x:c r="AC195" s="6" t="n">
        <x:f>MIN(AA195+AB195,'Debt strategy'!$E$13)</x:f>
        <x:v>0</x:v>
      </x:c>
      <x:c r="AD195" s="27" t="n">
        <x:f>IF(AA195+AB195-AC195&lt;=0,99,1+SUM(IF(AND(C195+D195-E195&gt;0,OR(C195+D195-E195&lt;AA195+AB195-AC195,AND(C195+D195-E195=AA195+AB195-AC195,0&lt;4))),1,0),IF(AND(I195+J195-K195&gt;0,OR(I195+J195-K195&lt;AA195+AB195-AC195,AND(I195+J195-K195=AA195+AB195-AC195,1&lt;4))),1,0),IF(AND(O195+P195-Q195&gt;0,OR(O195+P195-Q195&lt;AA195+AB195-AC195,AND(O195+P195-Q195=AA195+AB195-AC195,2&lt;4))),1,0),IF(AND(U195+V195-W195&gt;0,OR(U195+V195-W195&lt;AA195+AB195-AC195,AND(U195+V195-W195=AA195+AB195-AC195,3&lt;4))),1,0)))</x:f>
        <x:v>99</x:v>
      </x:c>
      <x:c r="AE195" s="6" t="n">
        <x:f>IF('Debt strategy'!$C$16&gt;0,0,MIN(AA195+AB195-AC195,MAX(0,'Debt strategy'!$C$5-SUM(E195,K195,Q195,W195,AC195)-SUM(IF(F195&lt;AD195,C195+D195-E195,0),IF(L195&lt;AD195,I195+J195-K195,0),IF(R195&lt;AD195,O195+P195-Q195,0),IF(X195&lt;AD195,U195+V195-W195,0)))))</x:f>
        <x:v>0</x:v>
      </x:c>
      <x:c r="AF195" s="6" t="n">
        <x:f>ROUND(MAX(0,AA195+AB195-AC195-AE195),2)</x:f>
        <x:v>0</x:v>
      </x:c>
      <x:c r="AG195" s="6" t="n">
        <x:f>SUM(H195,N195,T195,Z195,AF195)</x:f>
        <x:v>0</x:v>
      </x:c>
      <x:c r="AH195" s="6" t="n">
        <x:f>SUM(D195,J195,P195,V195,AB195)+AH194</x:f>
        <x:v>1353.9499999999996</x:v>
      </x:c>
      <x:c r="AI195" s="2"/>
    </x:row>
    <x:row r="196" ht="23" customHeight="1">
      <x:c r="B196" s="2" t="n">
        <x:f>188</x:f>
        <x:v>188</x:v>
      </x:c>
      <x:c r="C196" s="6" t="n">
        <x:f>H195</x:f>
        <x:v>0</x:v>
      </x:c>
      <x:c r="D196" s="6" t="n">
        <x:f>ROUND(C196*'Debt strategy'!$D$9/12,2)</x:f>
        <x:v>0</x:v>
      </x:c>
      <x:c r="E196" s="6" t="n">
        <x:f>MIN(C196+D196,'Debt strategy'!$E$9)</x:f>
        <x:v>0</x:v>
      </x:c>
      <x:c r="F196" s="27" t="n">
        <x:f>IF(C196+D196-E196&lt;=0,99,1+SUM(IF(AND(I196+J196-K196&gt;0,OR(I196+J196-K196&lt;C196+D196-E196,AND(I196+J196-K196=C196+D196-E196,1&lt;0))),1,0),IF(AND(O196+P196-Q196&gt;0,OR(O196+P196-Q196&lt;C196+D196-E196,AND(O196+P196-Q196=C196+D196-E196,2&lt;0))),1,0),IF(AND(U196+V196-W196&gt;0,OR(U196+V196-W196&lt;C196+D196-E196,AND(U196+V196-W196=C196+D196-E196,3&lt;0))),1,0),IF(AND(AA196+AB196-AC196&gt;0,OR(AA196+AB196-AC196&lt;C196+D196-E196,AND(AA196+AB196-AC196=C196+D196-E196,4&lt;0))),1,0)))</x:f>
        <x:v>99</x:v>
      </x:c>
      <x:c r="G196" s="6" t="n">
        <x:f>IF('Debt strategy'!$C$16&gt;0,0,MIN(C196+D196-E196,MAX(0,'Debt strategy'!$C$5-SUM(E196,K196,Q196,W196,AC196)-SUM(IF(L196&lt;F196,I196+J196-K196,0),IF(R196&lt;F196,O196+P196-Q196,0),IF(X196&lt;F196,U196+V196-W196,0),IF(AD196&lt;F196,AA196+AB196-AC196,0)))))</x:f>
        <x:v>0</x:v>
      </x:c>
      <x:c r="H196" s="6" t="n">
        <x:f>ROUND(MAX(0,C196+D196-E196-G196),2)</x:f>
        <x:v>0</x:v>
      </x:c>
      <x:c r="I196" s="6" t="n">
        <x:f>N195</x:f>
        <x:v>0</x:v>
      </x:c>
      <x:c r="J196" s="6" t="n">
        <x:f>ROUND(I196*'Debt strategy'!$D$10/12,2)</x:f>
        <x:v>0</x:v>
      </x:c>
      <x:c r="K196" s="6" t="n">
        <x:f>MIN(I196+J196,'Debt strategy'!$E$10)</x:f>
        <x:v>0</x:v>
      </x:c>
      <x:c r="L196" s="27" t="n">
        <x:f>IF(I196+J196-K196&lt;=0,99,1+SUM(IF(AND(C196+D196-E196&gt;0,OR(C196+D196-E196&lt;I196+J196-K196,AND(C196+D196-E196=I196+J196-K196,0&lt;1))),1,0),IF(AND(O196+P196-Q196&gt;0,OR(O196+P196-Q196&lt;I196+J196-K196,AND(O196+P196-Q196=I196+J196-K196,2&lt;1))),1,0),IF(AND(U196+V196-W196&gt;0,OR(U196+V196-W196&lt;I196+J196-K196,AND(U196+V196-W196=I196+J196-K196,3&lt;1))),1,0),IF(AND(AA196+AB196-AC196&gt;0,OR(AA196+AB196-AC196&lt;I196+J196-K196,AND(AA196+AB196-AC196=I196+J196-K196,4&lt;1))),1,0)))</x:f>
        <x:v>99</x:v>
      </x:c>
      <x:c r="M196" s="6" t="n">
        <x:f>IF('Debt strategy'!$C$16&gt;0,0,MIN(I196+J196-K196,MAX(0,'Debt strategy'!$C$5-SUM(E196,K196,Q196,W196,AC196)-SUM(IF(F196&lt;L196,C196+D196-E196,0),IF(R196&lt;L196,O196+P196-Q196,0),IF(X196&lt;L196,U196+V196-W196,0),IF(AD196&lt;L196,AA196+AB196-AC196,0)))))</x:f>
        <x:v>0</x:v>
      </x:c>
      <x:c r="N196" s="6" t="n">
        <x:f>ROUND(MAX(0,I196+J196-K196-M196),2)</x:f>
        <x:v>0</x:v>
      </x:c>
      <x:c r="O196" s="6" t="n">
        <x:f>T195</x:f>
        <x:v>0</x:v>
      </x:c>
      <x:c r="P196" s="6" t="n">
        <x:f>ROUND(O196*'Debt strategy'!$D$11/12,2)</x:f>
        <x:v>0</x:v>
      </x:c>
      <x:c r="Q196" s="6" t="n">
        <x:f>MIN(O196+P196,'Debt strategy'!$E$11)</x:f>
        <x:v>0</x:v>
      </x:c>
      <x:c r="R196" s="27" t="n">
        <x:f>IF(O196+P196-Q196&lt;=0,99,1+SUM(IF(AND(C196+D196-E196&gt;0,OR(C196+D196-E196&lt;O196+P196-Q196,AND(C196+D196-E196=O196+P196-Q196,0&lt;2))),1,0),IF(AND(I196+J196-K196&gt;0,OR(I196+J196-K196&lt;O196+P196-Q196,AND(I196+J196-K196=O196+P196-Q196,1&lt;2))),1,0),IF(AND(U196+V196-W196&gt;0,OR(U196+V196-W196&lt;O196+P196-Q196,AND(U196+V196-W196=O196+P196-Q196,3&lt;2))),1,0),IF(AND(AA196+AB196-AC196&gt;0,OR(AA196+AB196-AC196&lt;O196+P196-Q196,AND(AA196+AB196-AC196=O196+P196-Q196,4&lt;2))),1,0)))</x:f>
        <x:v>99</x:v>
      </x:c>
      <x:c r="S196" s="6" t="n">
        <x:f>IF('Debt strategy'!$C$16&gt;0,0,MIN(O196+P196-Q196,MAX(0,'Debt strategy'!$C$5-SUM(E196,K196,Q196,W196,AC196)-SUM(IF(F196&lt;R196,C196+D196-E196,0),IF(L196&lt;R196,I196+J196-K196,0),IF(X196&lt;R196,U196+V196-W196,0),IF(AD196&lt;R196,AA196+AB196-AC196,0)))))</x:f>
        <x:v>0</x:v>
      </x:c>
      <x:c r="T196" s="6" t="n">
        <x:f>ROUND(MAX(0,O196+P196-Q196-S196),2)</x:f>
        <x:v>0</x:v>
      </x:c>
      <x:c r="U196" s="6" t="n">
        <x:f>Z195</x:f>
        <x:v>0</x:v>
      </x:c>
      <x:c r="V196" s="6" t="n">
        <x:f>ROUND(U196*'Debt strategy'!$D$12/12,2)</x:f>
        <x:v>0</x:v>
      </x:c>
      <x:c r="W196" s="6" t="n">
        <x:f>MIN(U196+V196,'Debt strategy'!$E$12)</x:f>
        <x:v>0</x:v>
      </x:c>
      <x:c r="X196" s="27" t="n">
        <x:f>IF(U196+V196-W196&lt;=0,99,1+SUM(IF(AND(C196+D196-E196&gt;0,OR(C196+D196-E196&lt;U196+V196-W196,AND(C196+D196-E196=U196+V196-W196,0&lt;3))),1,0),IF(AND(I196+J196-K196&gt;0,OR(I196+J196-K196&lt;U196+V196-W196,AND(I196+J196-K196=U196+V196-W196,1&lt;3))),1,0),IF(AND(O196+P196-Q196&gt;0,OR(O196+P196-Q196&lt;U196+V196-W196,AND(O196+P196-Q196=U196+V196-W196,2&lt;3))),1,0),IF(AND(AA196+AB196-AC196&gt;0,OR(AA196+AB196-AC196&lt;U196+V196-W196,AND(AA196+AB196-AC196=U196+V196-W196,4&lt;3))),1,0)))</x:f>
        <x:v>99</x:v>
      </x:c>
      <x:c r="Y196" s="6" t="n">
        <x:f>IF('Debt strategy'!$C$16&gt;0,0,MIN(U196+V196-W196,MAX(0,'Debt strategy'!$C$5-SUM(E196,K196,Q196,W196,AC196)-SUM(IF(F196&lt;X196,C196+D196-E196,0),IF(L196&lt;X196,I196+J196-K196,0),IF(R196&lt;X196,O196+P196-Q196,0),IF(AD196&lt;X196,AA196+AB196-AC196,0)))))</x:f>
        <x:v>0</x:v>
      </x:c>
      <x:c r="Z196" s="6" t="n">
        <x:f>ROUND(MAX(0,U196+V196-W196-Y196),2)</x:f>
        <x:v>0</x:v>
      </x:c>
      <x:c r="AA196" s="6" t="n">
        <x:f>AF195</x:f>
        <x:v>0</x:v>
      </x:c>
      <x:c r="AB196" s="6" t="n">
        <x:f>ROUND(AA196*'Debt strategy'!$D$13/12,2)</x:f>
        <x:v>0</x:v>
      </x:c>
      <x:c r="AC196" s="6" t="n">
        <x:f>MIN(AA196+AB196,'Debt strategy'!$E$13)</x:f>
        <x:v>0</x:v>
      </x:c>
      <x:c r="AD196" s="27" t="n">
        <x:f>IF(AA196+AB196-AC196&lt;=0,99,1+SUM(IF(AND(C196+D196-E196&gt;0,OR(C196+D196-E196&lt;AA196+AB196-AC196,AND(C196+D196-E196=AA196+AB196-AC196,0&lt;4))),1,0),IF(AND(I196+J196-K196&gt;0,OR(I196+J196-K196&lt;AA196+AB196-AC196,AND(I196+J196-K196=AA196+AB196-AC196,1&lt;4))),1,0),IF(AND(O196+P196-Q196&gt;0,OR(O196+P196-Q196&lt;AA196+AB196-AC196,AND(O196+P196-Q196=AA196+AB196-AC196,2&lt;4))),1,0),IF(AND(U196+V196-W196&gt;0,OR(U196+V196-W196&lt;AA196+AB196-AC196,AND(U196+V196-W196=AA196+AB196-AC196,3&lt;4))),1,0)))</x:f>
        <x:v>99</x:v>
      </x:c>
      <x:c r="AE196" s="6" t="n">
        <x:f>IF('Debt strategy'!$C$16&gt;0,0,MIN(AA196+AB196-AC196,MAX(0,'Debt strategy'!$C$5-SUM(E196,K196,Q196,W196,AC196)-SUM(IF(F196&lt;AD196,C196+D196-E196,0),IF(L196&lt;AD196,I196+J196-K196,0),IF(R196&lt;AD196,O196+P196-Q196,0),IF(X196&lt;AD196,U196+V196-W196,0)))))</x:f>
        <x:v>0</x:v>
      </x:c>
      <x:c r="AF196" s="6" t="n">
        <x:f>ROUND(MAX(0,AA196+AB196-AC196-AE196),2)</x:f>
        <x:v>0</x:v>
      </x:c>
      <x:c r="AG196" s="6" t="n">
        <x:f>SUM(H196,N196,T196,Z196,AF196)</x:f>
        <x:v>0</x:v>
      </x:c>
      <x:c r="AH196" s="6" t="n">
        <x:f>SUM(D196,J196,P196,V196,AB196)+AH195</x:f>
        <x:v>1353.9499999999996</x:v>
      </x:c>
      <x:c r="AI196" s="2"/>
    </x:row>
    <x:row r="197" ht="23" customHeight="1">
      <x:c r="B197" s="2" t="n">
        <x:f>189</x:f>
        <x:v>189</x:v>
      </x:c>
      <x:c r="C197" s="6" t="n">
        <x:f>H196</x:f>
        <x:v>0</x:v>
      </x:c>
      <x:c r="D197" s="6" t="n">
        <x:f>ROUND(C197*'Debt strategy'!$D$9/12,2)</x:f>
        <x:v>0</x:v>
      </x:c>
      <x:c r="E197" s="6" t="n">
        <x:f>MIN(C197+D197,'Debt strategy'!$E$9)</x:f>
        <x:v>0</x:v>
      </x:c>
      <x:c r="F197" s="27" t="n">
        <x:f>IF(C197+D197-E197&lt;=0,99,1+SUM(IF(AND(I197+J197-K197&gt;0,OR(I197+J197-K197&lt;C197+D197-E197,AND(I197+J197-K197=C197+D197-E197,1&lt;0))),1,0),IF(AND(O197+P197-Q197&gt;0,OR(O197+P197-Q197&lt;C197+D197-E197,AND(O197+P197-Q197=C197+D197-E197,2&lt;0))),1,0),IF(AND(U197+V197-W197&gt;0,OR(U197+V197-W197&lt;C197+D197-E197,AND(U197+V197-W197=C197+D197-E197,3&lt;0))),1,0),IF(AND(AA197+AB197-AC197&gt;0,OR(AA197+AB197-AC197&lt;C197+D197-E197,AND(AA197+AB197-AC197=C197+D197-E197,4&lt;0))),1,0)))</x:f>
        <x:v>99</x:v>
      </x:c>
      <x:c r="G197" s="6" t="n">
        <x:f>IF('Debt strategy'!$C$16&gt;0,0,MIN(C197+D197-E197,MAX(0,'Debt strategy'!$C$5-SUM(E197,K197,Q197,W197,AC197)-SUM(IF(L197&lt;F197,I197+J197-K197,0),IF(R197&lt;F197,O197+P197-Q197,0),IF(X197&lt;F197,U197+V197-W197,0),IF(AD197&lt;F197,AA197+AB197-AC197,0)))))</x:f>
        <x:v>0</x:v>
      </x:c>
      <x:c r="H197" s="6" t="n">
        <x:f>ROUND(MAX(0,C197+D197-E197-G197),2)</x:f>
        <x:v>0</x:v>
      </x:c>
      <x:c r="I197" s="6" t="n">
        <x:f>N196</x:f>
        <x:v>0</x:v>
      </x:c>
      <x:c r="J197" s="6" t="n">
        <x:f>ROUND(I197*'Debt strategy'!$D$10/12,2)</x:f>
        <x:v>0</x:v>
      </x:c>
      <x:c r="K197" s="6" t="n">
        <x:f>MIN(I197+J197,'Debt strategy'!$E$10)</x:f>
        <x:v>0</x:v>
      </x:c>
      <x:c r="L197" s="27" t="n">
        <x:f>IF(I197+J197-K197&lt;=0,99,1+SUM(IF(AND(C197+D197-E197&gt;0,OR(C197+D197-E197&lt;I197+J197-K197,AND(C197+D197-E197=I197+J197-K197,0&lt;1))),1,0),IF(AND(O197+P197-Q197&gt;0,OR(O197+P197-Q197&lt;I197+J197-K197,AND(O197+P197-Q197=I197+J197-K197,2&lt;1))),1,0),IF(AND(U197+V197-W197&gt;0,OR(U197+V197-W197&lt;I197+J197-K197,AND(U197+V197-W197=I197+J197-K197,3&lt;1))),1,0),IF(AND(AA197+AB197-AC197&gt;0,OR(AA197+AB197-AC197&lt;I197+J197-K197,AND(AA197+AB197-AC197=I197+J197-K197,4&lt;1))),1,0)))</x:f>
        <x:v>99</x:v>
      </x:c>
      <x:c r="M197" s="6" t="n">
        <x:f>IF('Debt strategy'!$C$16&gt;0,0,MIN(I197+J197-K197,MAX(0,'Debt strategy'!$C$5-SUM(E197,K197,Q197,W197,AC197)-SUM(IF(F197&lt;L197,C197+D197-E197,0),IF(R197&lt;L197,O197+P197-Q197,0),IF(X197&lt;L197,U197+V197-W197,0),IF(AD197&lt;L197,AA197+AB197-AC197,0)))))</x:f>
        <x:v>0</x:v>
      </x:c>
      <x:c r="N197" s="6" t="n">
        <x:f>ROUND(MAX(0,I197+J197-K197-M197),2)</x:f>
        <x:v>0</x:v>
      </x:c>
      <x:c r="O197" s="6" t="n">
        <x:f>T196</x:f>
        <x:v>0</x:v>
      </x:c>
      <x:c r="P197" s="6" t="n">
        <x:f>ROUND(O197*'Debt strategy'!$D$11/12,2)</x:f>
        <x:v>0</x:v>
      </x:c>
      <x:c r="Q197" s="6" t="n">
        <x:f>MIN(O197+P197,'Debt strategy'!$E$11)</x:f>
        <x:v>0</x:v>
      </x:c>
      <x:c r="R197" s="27" t="n">
        <x:f>IF(O197+P197-Q197&lt;=0,99,1+SUM(IF(AND(C197+D197-E197&gt;0,OR(C197+D197-E197&lt;O197+P197-Q197,AND(C197+D197-E197=O197+P197-Q197,0&lt;2))),1,0),IF(AND(I197+J197-K197&gt;0,OR(I197+J197-K197&lt;O197+P197-Q197,AND(I197+J197-K197=O197+P197-Q197,1&lt;2))),1,0),IF(AND(U197+V197-W197&gt;0,OR(U197+V197-W197&lt;O197+P197-Q197,AND(U197+V197-W197=O197+P197-Q197,3&lt;2))),1,0),IF(AND(AA197+AB197-AC197&gt;0,OR(AA197+AB197-AC197&lt;O197+P197-Q197,AND(AA197+AB197-AC197=O197+P197-Q197,4&lt;2))),1,0)))</x:f>
        <x:v>99</x:v>
      </x:c>
      <x:c r="S197" s="6" t="n">
        <x:f>IF('Debt strategy'!$C$16&gt;0,0,MIN(O197+P197-Q197,MAX(0,'Debt strategy'!$C$5-SUM(E197,K197,Q197,W197,AC197)-SUM(IF(F197&lt;R197,C197+D197-E197,0),IF(L197&lt;R197,I197+J197-K197,0),IF(X197&lt;R197,U197+V197-W197,0),IF(AD197&lt;R197,AA197+AB197-AC197,0)))))</x:f>
        <x:v>0</x:v>
      </x:c>
      <x:c r="T197" s="6" t="n">
        <x:f>ROUND(MAX(0,O197+P197-Q197-S197),2)</x:f>
        <x:v>0</x:v>
      </x:c>
      <x:c r="U197" s="6" t="n">
        <x:f>Z196</x:f>
        <x:v>0</x:v>
      </x:c>
      <x:c r="V197" s="6" t="n">
        <x:f>ROUND(U197*'Debt strategy'!$D$12/12,2)</x:f>
        <x:v>0</x:v>
      </x:c>
      <x:c r="W197" s="6" t="n">
        <x:f>MIN(U197+V197,'Debt strategy'!$E$12)</x:f>
        <x:v>0</x:v>
      </x:c>
      <x:c r="X197" s="27" t="n">
        <x:f>IF(U197+V197-W197&lt;=0,99,1+SUM(IF(AND(C197+D197-E197&gt;0,OR(C197+D197-E197&lt;U197+V197-W197,AND(C197+D197-E197=U197+V197-W197,0&lt;3))),1,0),IF(AND(I197+J197-K197&gt;0,OR(I197+J197-K197&lt;U197+V197-W197,AND(I197+J197-K197=U197+V197-W197,1&lt;3))),1,0),IF(AND(O197+P197-Q197&gt;0,OR(O197+P197-Q197&lt;U197+V197-W197,AND(O197+P197-Q197=U197+V197-W197,2&lt;3))),1,0),IF(AND(AA197+AB197-AC197&gt;0,OR(AA197+AB197-AC197&lt;U197+V197-W197,AND(AA197+AB197-AC197=U197+V197-W197,4&lt;3))),1,0)))</x:f>
        <x:v>99</x:v>
      </x:c>
      <x:c r="Y197" s="6" t="n">
        <x:f>IF('Debt strategy'!$C$16&gt;0,0,MIN(U197+V197-W197,MAX(0,'Debt strategy'!$C$5-SUM(E197,K197,Q197,W197,AC197)-SUM(IF(F197&lt;X197,C197+D197-E197,0),IF(L197&lt;X197,I197+J197-K197,0),IF(R197&lt;X197,O197+P197-Q197,0),IF(AD197&lt;X197,AA197+AB197-AC197,0)))))</x:f>
        <x:v>0</x:v>
      </x:c>
      <x:c r="Z197" s="6" t="n">
        <x:f>ROUND(MAX(0,U197+V197-W197-Y197),2)</x:f>
        <x:v>0</x:v>
      </x:c>
      <x:c r="AA197" s="6" t="n">
        <x:f>AF196</x:f>
        <x:v>0</x:v>
      </x:c>
      <x:c r="AB197" s="6" t="n">
        <x:f>ROUND(AA197*'Debt strategy'!$D$13/12,2)</x:f>
        <x:v>0</x:v>
      </x:c>
      <x:c r="AC197" s="6" t="n">
        <x:f>MIN(AA197+AB197,'Debt strategy'!$E$13)</x:f>
        <x:v>0</x:v>
      </x:c>
      <x:c r="AD197" s="27" t="n">
        <x:f>IF(AA197+AB197-AC197&lt;=0,99,1+SUM(IF(AND(C197+D197-E197&gt;0,OR(C197+D197-E197&lt;AA197+AB197-AC197,AND(C197+D197-E197=AA197+AB197-AC197,0&lt;4))),1,0),IF(AND(I197+J197-K197&gt;0,OR(I197+J197-K197&lt;AA197+AB197-AC197,AND(I197+J197-K197=AA197+AB197-AC197,1&lt;4))),1,0),IF(AND(O197+P197-Q197&gt;0,OR(O197+P197-Q197&lt;AA197+AB197-AC197,AND(O197+P197-Q197=AA197+AB197-AC197,2&lt;4))),1,0),IF(AND(U197+V197-W197&gt;0,OR(U197+V197-W197&lt;AA197+AB197-AC197,AND(U197+V197-W197=AA197+AB197-AC197,3&lt;4))),1,0)))</x:f>
        <x:v>99</x:v>
      </x:c>
      <x:c r="AE197" s="6" t="n">
        <x:f>IF('Debt strategy'!$C$16&gt;0,0,MIN(AA197+AB197-AC197,MAX(0,'Debt strategy'!$C$5-SUM(E197,K197,Q197,W197,AC197)-SUM(IF(F197&lt;AD197,C197+D197-E197,0),IF(L197&lt;AD197,I197+J197-K197,0),IF(R197&lt;AD197,O197+P197-Q197,0),IF(X197&lt;AD197,U197+V197-W197,0)))))</x:f>
        <x:v>0</x:v>
      </x:c>
      <x:c r="AF197" s="6" t="n">
        <x:f>ROUND(MAX(0,AA197+AB197-AC197-AE197),2)</x:f>
        <x:v>0</x:v>
      </x:c>
      <x:c r="AG197" s="6" t="n">
        <x:f>SUM(H197,N197,T197,Z197,AF197)</x:f>
        <x:v>0</x:v>
      </x:c>
      <x:c r="AH197" s="6" t="n">
        <x:f>SUM(D197,J197,P197,V197,AB197)+AH196</x:f>
        <x:v>1353.9499999999996</x:v>
      </x:c>
      <x:c r="AI197" s="2"/>
    </x:row>
    <x:row r="198" ht="23" customHeight="1">
      <x:c r="B198" s="2" t="n">
        <x:f>190</x:f>
        <x:v>190</x:v>
      </x:c>
      <x:c r="C198" s="6" t="n">
        <x:f>H197</x:f>
        <x:v>0</x:v>
      </x:c>
      <x:c r="D198" s="6" t="n">
        <x:f>ROUND(C198*'Debt strategy'!$D$9/12,2)</x:f>
        <x:v>0</x:v>
      </x:c>
      <x:c r="E198" s="6" t="n">
        <x:f>MIN(C198+D198,'Debt strategy'!$E$9)</x:f>
        <x:v>0</x:v>
      </x:c>
      <x:c r="F198" s="27" t="n">
        <x:f>IF(C198+D198-E198&lt;=0,99,1+SUM(IF(AND(I198+J198-K198&gt;0,OR(I198+J198-K198&lt;C198+D198-E198,AND(I198+J198-K198=C198+D198-E198,1&lt;0))),1,0),IF(AND(O198+P198-Q198&gt;0,OR(O198+P198-Q198&lt;C198+D198-E198,AND(O198+P198-Q198=C198+D198-E198,2&lt;0))),1,0),IF(AND(U198+V198-W198&gt;0,OR(U198+V198-W198&lt;C198+D198-E198,AND(U198+V198-W198=C198+D198-E198,3&lt;0))),1,0),IF(AND(AA198+AB198-AC198&gt;0,OR(AA198+AB198-AC198&lt;C198+D198-E198,AND(AA198+AB198-AC198=C198+D198-E198,4&lt;0))),1,0)))</x:f>
        <x:v>99</x:v>
      </x:c>
      <x:c r="G198" s="6" t="n">
        <x:f>IF('Debt strategy'!$C$16&gt;0,0,MIN(C198+D198-E198,MAX(0,'Debt strategy'!$C$5-SUM(E198,K198,Q198,W198,AC198)-SUM(IF(L198&lt;F198,I198+J198-K198,0),IF(R198&lt;F198,O198+P198-Q198,0),IF(X198&lt;F198,U198+V198-W198,0),IF(AD198&lt;F198,AA198+AB198-AC198,0)))))</x:f>
        <x:v>0</x:v>
      </x:c>
      <x:c r="H198" s="6" t="n">
        <x:f>ROUND(MAX(0,C198+D198-E198-G198),2)</x:f>
        <x:v>0</x:v>
      </x:c>
      <x:c r="I198" s="6" t="n">
        <x:f>N197</x:f>
        <x:v>0</x:v>
      </x:c>
      <x:c r="J198" s="6" t="n">
        <x:f>ROUND(I198*'Debt strategy'!$D$10/12,2)</x:f>
        <x:v>0</x:v>
      </x:c>
      <x:c r="K198" s="6" t="n">
        <x:f>MIN(I198+J198,'Debt strategy'!$E$10)</x:f>
        <x:v>0</x:v>
      </x:c>
      <x:c r="L198" s="27" t="n">
        <x:f>IF(I198+J198-K198&lt;=0,99,1+SUM(IF(AND(C198+D198-E198&gt;0,OR(C198+D198-E198&lt;I198+J198-K198,AND(C198+D198-E198=I198+J198-K198,0&lt;1))),1,0),IF(AND(O198+P198-Q198&gt;0,OR(O198+P198-Q198&lt;I198+J198-K198,AND(O198+P198-Q198=I198+J198-K198,2&lt;1))),1,0),IF(AND(U198+V198-W198&gt;0,OR(U198+V198-W198&lt;I198+J198-K198,AND(U198+V198-W198=I198+J198-K198,3&lt;1))),1,0),IF(AND(AA198+AB198-AC198&gt;0,OR(AA198+AB198-AC198&lt;I198+J198-K198,AND(AA198+AB198-AC198=I198+J198-K198,4&lt;1))),1,0)))</x:f>
        <x:v>99</x:v>
      </x:c>
      <x:c r="M198" s="6" t="n">
        <x:f>IF('Debt strategy'!$C$16&gt;0,0,MIN(I198+J198-K198,MAX(0,'Debt strategy'!$C$5-SUM(E198,K198,Q198,W198,AC198)-SUM(IF(F198&lt;L198,C198+D198-E198,0),IF(R198&lt;L198,O198+P198-Q198,0),IF(X198&lt;L198,U198+V198-W198,0),IF(AD198&lt;L198,AA198+AB198-AC198,0)))))</x:f>
        <x:v>0</x:v>
      </x:c>
      <x:c r="N198" s="6" t="n">
        <x:f>ROUND(MAX(0,I198+J198-K198-M198),2)</x:f>
        <x:v>0</x:v>
      </x:c>
      <x:c r="O198" s="6" t="n">
        <x:f>T197</x:f>
        <x:v>0</x:v>
      </x:c>
      <x:c r="P198" s="6" t="n">
        <x:f>ROUND(O198*'Debt strategy'!$D$11/12,2)</x:f>
        <x:v>0</x:v>
      </x:c>
      <x:c r="Q198" s="6" t="n">
        <x:f>MIN(O198+P198,'Debt strategy'!$E$11)</x:f>
        <x:v>0</x:v>
      </x:c>
      <x:c r="R198" s="27" t="n">
        <x:f>IF(O198+P198-Q198&lt;=0,99,1+SUM(IF(AND(C198+D198-E198&gt;0,OR(C198+D198-E198&lt;O198+P198-Q198,AND(C198+D198-E198=O198+P198-Q198,0&lt;2))),1,0),IF(AND(I198+J198-K198&gt;0,OR(I198+J198-K198&lt;O198+P198-Q198,AND(I198+J198-K198=O198+P198-Q198,1&lt;2))),1,0),IF(AND(U198+V198-W198&gt;0,OR(U198+V198-W198&lt;O198+P198-Q198,AND(U198+V198-W198=O198+P198-Q198,3&lt;2))),1,0),IF(AND(AA198+AB198-AC198&gt;0,OR(AA198+AB198-AC198&lt;O198+P198-Q198,AND(AA198+AB198-AC198=O198+P198-Q198,4&lt;2))),1,0)))</x:f>
        <x:v>99</x:v>
      </x:c>
      <x:c r="S198" s="6" t="n">
        <x:f>IF('Debt strategy'!$C$16&gt;0,0,MIN(O198+P198-Q198,MAX(0,'Debt strategy'!$C$5-SUM(E198,K198,Q198,W198,AC198)-SUM(IF(F198&lt;R198,C198+D198-E198,0),IF(L198&lt;R198,I198+J198-K198,0),IF(X198&lt;R198,U198+V198-W198,0),IF(AD198&lt;R198,AA198+AB198-AC198,0)))))</x:f>
        <x:v>0</x:v>
      </x:c>
      <x:c r="T198" s="6" t="n">
        <x:f>ROUND(MAX(0,O198+P198-Q198-S198),2)</x:f>
        <x:v>0</x:v>
      </x:c>
      <x:c r="U198" s="6" t="n">
        <x:f>Z197</x:f>
        <x:v>0</x:v>
      </x:c>
      <x:c r="V198" s="6" t="n">
        <x:f>ROUND(U198*'Debt strategy'!$D$12/12,2)</x:f>
        <x:v>0</x:v>
      </x:c>
      <x:c r="W198" s="6" t="n">
        <x:f>MIN(U198+V198,'Debt strategy'!$E$12)</x:f>
        <x:v>0</x:v>
      </x:c>
      <x:c r="X198" s="27" t="n">
        <x:f>IF(U198+V198-W198&lt;=0,99,1+SUM(IF(AND(C198+D198-E198&gt;0,OR(C198+D198-E198&lt;U198+V198-W198,AND(C198+D198-E198=U198+V198-W198,0&lt;3))),1,0),IF(AND(I198+J198-K198&gt;0,OR(I198+J198-K198&lt;U198+V198-W198,AND(I198+J198-K198=U198+V198-W198,1&lt;3))),1,0),IF(AND(O198+P198-Q198&gt;0,OR(O198+P198-Q198&lt;U198+V198-W198,AND(O198+P198-Q198=U198+V198-W198,2&lt;3))),1,0),IF(AND(AA198+AB198-AC198&gt;0,OR(AA198+AB198-AC198&lt;U198+V198-W198,AND(AA198+AB198-AC198=U198+V198-W198,4&lt;3))),1,0)))</x:f>
        <x:v>99</x:v>
      </x:c>
      <x:c r="Y198" s="6" t="n">
        <x:f>IF('Debt strategy'!$C$16&gt;0,0,MIN(U198+V198-W198,MAX(0,'Debt strategy'!$C$5-SUM(E198,K198,Q198,W198,AC198)-SUM(IF(F198&lt;X198,C198+D198-E198,0),IF(L198&lt;X198,I198+J198-K198,0),IF(R198&lt;X198,O198+P198-Q198,0),IF(AD198&lt;X198,AA198+AB198-AC198,0)))))</x:f>
        <x:v>0</x:v>
      </x:c>
      <x:c r="Z198" s="6" t="n">
        <x:f>ROUND(MAX(0,U198+V198-W198-Y198),2)</x:f>
        <x:v>0</x:v>
      </x:c>
      <x:c r="AA198" s="6" t="n">
        <x:f>AF197</x:f>
        <x:v>0</x:v>
      </x:c>
      <x:c r="AB198" s="6" t="n">
        <x:f>ROUND(AA198*'Debt strategy'!$D$13/12,2)</x:f>
        <x:v>0</x:v>
      </x:c>
      <x:c r="AC198" s="6" t="n">
        <x:f>MIN(AA198+AB198,'Debt strategy'!$E$13)</x:f>
        <x:v>0</x:v>
      </x:c>
      <x:c r="AD198" s="27" t="n">
        <x:f>IF(AA198+AB198-AC198&lt;=0,99,1+SUM(IF(AND(C198+D198-E198&gt;0,OR(C198+D198-E198&lt;AA198+AB198-AC198,AND(C198+D198-E198=AA198+AB198-AC198,0&lt;4))),1,0),IF(AND(I198+J198-K198&gt;0,OR(I198+J198-K198&lt;AA198+AB198-AC198,AND(I198+J198-K198=AA198+AB198-AC198,1&lt;4))),1,0),IF(AND(O198+P198-Q198&gt;0,OR(O198+P198-Q198&lt;AA198+AB198-AC198,AND(O198+P198-Q198=AA198+AB198-AC198,2&lt;4))),1,0),IF(AND(U198+V198-W198&gt;0,OR(U198+V198-W198&lt;AA198+AB198-AC198,AND(U198+V198-W198=AA198+AB198-AC198,3&lt;4))),1,0)))</x:f>
        <x:v>99</x:v>
      </x:c>
      <x:c r="AE198" s="6" t="n">
        <x:f>IF('Debt strategy'!$C$16&gt;0,0,MIN(AA198+AB198-AC198,MAX(0,'Debt strategy'!$C$5-SUM(E198,K198,Q198,W198,AC198)-SUM(IF(F198&lt;AD198,C198+D198-E198,0),IF(L198&lt;AD198,I198+J198-K198,0),IF(R198&lt;AD198,O198+P198-Q198,0),IF(X198&lt;AD198,U198+V198-W198,0)))))</x:f>
        <x:v>0</x:v>
      </x:c>
      <x:c r="AF198" s="6" t="n">
        <x:f>ROUND(MAX(0,AA198+AB198-AC198-AE198),2)</x:f>
        <x:v>0</x:v>
      </x:c>
      <x:c r="AG198" s="6" t="n">
        <x:f>SUM(H198,N198,T198,Z198,AF198)</x:f>
        <x:v>0</x:v>
      </x:c>
      <x:c r="AH198" s="6" t="n">
        <x:f>SUM(D198,J198,P198,V198,AB198)+AH197</x:f>
        <x:v>1353.9499999999996</x:v>
      </x:c>
      <x:c r="AI198" s="2"/>
    </x:row>
    <x:row r="199" ht="23" customHeight="1">
      <x:c r="B199" s="2" t="n">
        <x:f>191</x:f>
        <x:v>191</x:v>
      </x:c>
      <x:c r="C199" s="6" t="n">
        <x:f>H198</x:f>
        <x:v>0</x:v>
      </x:c>
      <x:c r="D199" s="6" t="n">
        <x:f>ROUND(C199*'Debt strategy'!$D$9/12,2)</x:f>
        <x:v>0</x:v>
      </x:c>
      <x:c r="E199" s="6" t="n">
        <x:f>MIN(C199+D199,'Debt strategy'!$E$9)</x:f>
        <x:v>0</x:v>
      </x:c>
      <x:c r="F199" s="27" t="n">
        <x:f>IF(C199+D199-E199&lt;=0,99,1+SUM(IF(AND(I199+J199-K199&gt;0,OR(I199+J199-K199&lt;C199+D199-E199,AND(I199+J199-K199=C199+D199-E199,1&lt;0))),1,0),IF(AND(O199+P199-Q199&gt;0,OR(O199+P199-Q199&lt;C199+D199-E199,AND(O199+P199-Q199=C199+D199-E199,2&lt;0))),1,0),IF(AND(U199+V199-W199&gt;0,OR(U199+V199-W199&lt;C199+D199-E199,AND(U199+V199-W199=C199+D199-E199,3&lt;0))),1,0),IF(AND(AA199+AB199-AC199&gt;0,OR(AA199+AB199-AC199&lt;C199+D199-E199,AND(AA199+AB199-AC199=C199+D199-E199,4&lt;0))),1,0)))</x:f>
        <x:v>99</x:v>
      </x:c>
      <x:c r="G199" s="6" t="n">
        <x:f>IF('Debt strategy'!$C$16&gt;0,0,MIN(C199+D199-E199,MAX(0,'Debt strategy'!$C$5-SUM(E199,K199,Q199,W199,AC199)-SUM(IF(L199&lt;F199,I199+J199-K199,0),IF(R199&lt;F199,O199+P199-Q199,0),IF(X199&lt;F199,U199+V199-W199,0),IF(AD199&lt;F199,AA199+AB199-AC199,0)))))</x:f>
        <x:v>0</x:v>
      </x:c>
      <x:c r="H199" s="6" t="n">
        <x:f>ROUND(MAX(0,C199+D199-E199-G199),2)</x:f>
        <x:v>0</x:v>
      </x:c>
      <x:c r="I199" s="6" t="n">
        <x:f>N198</x:f>
        <x:v>0</x:v>
      </x:c>
      <x:c r="J199" s="6" t="n">
        <x:f>ROUND(I199*'Debt strategy'!$D$10/12,2)</x:f>
        <x:v>0</x:v>
      </x:c>
      <x:c r="K199" s="6" t="n">
        <x:f>MIN(I199+J199,'Debt strategy'!$E$10)</x:f>
        <x:v>0</x:v>
      </x:c>
      <x:c r="L199" s="27" t="n">
        <x:f>IF(I199+J199-K199&lt;=0,99,1+SUM(IF(AND(C199+D199-E199&gt;0,OR(C199+D199-E199&lt;I199+J199-K199,AND(C199+D199-E199=I199+J199-K199,0&lt;1))),1,0),IF(AND(O199+P199-Q199&gt;0,OR(O199+P199-Q199&lt;I199+J199-K199,AND(O199+P199-Q199=I199+J199-K199,2&lt;1))),1,0),IF(AND(U199+V199-W199&gt;0,OR(U199+V199-W199&lt;I199+J199-K199,AND(U199+V199-W199=I199+J199-K199,3&lt;1))),1,0),IF(AND(AA199+AB199-AC199&gt;0,OR(AA199+AB199-AC199&lt;I199+J199-K199,AND(AA199+AB199-AC199=I199+J199-K199,4&lt;1))),1,0)))</x:f>
        <x:v>99</x:v>
      </x:c>
      <x:c r="M199" s="6" t="n">
        <x:f>IF('Debt strategy'!$C$16&gt;0,0,MIN(I199+J199-K199,MAX(0,'Debt strategy'!$C$5-SUM(E199,K199,Q199,W199,AC199)-SUM(IF(F199&lt;L199,C199+D199-E199,0),IF(R199&lt;L199,O199+P199-Q199,0),IF(X199&lt;L199,U199+V199-W199,0),IF(AD199&lt;L199,AA199+AB199-AC199,0)))))</x:f>
        <x:v>0</x:v>
      </x:c>
      <x:c r="N199" s="6" t="n">
        <x:f>ROUND(MAX(0,I199+J199-K199-M199),2)</x:f>
        <x:v>0</x:v>
      </x:c>
      <x:c r="O199" s="6" t="n">
        <x:f>T198</x:f>
        <x:v>0</x:v>
      </x:c>
      <x:c r="P199" s="6" t="n">
        <x:f>ROUND(O199*'Debt strategy'!$D$11/12,2)</x:f>
        <x:v>0</x:v>
      </x:c>
      <x:c r="Q199" s="6" t="n">
        <x:f>MIN(O199+P199,'Debt strategy'!$E$11)</x:f>
        <x:v>0</x:v>
      </x:c>
      <x:c r="R199" s="27" t="n">
        <x:f>IF(O199+P199-Q199&lt;=0,99,1+SUM(IF(AND(C199+D199-E199&gt;0,OR(C199+D199-E199&lt;O199+P199-Q199,AND(C199+D199-E199=O199+P199-Q199,0&lt;2))),1,0),IF(AND(I199+J199-K199&gt;0,OR(I199+J199-K199&lt;O199+P199-Q199,AND(I199+J199-K199=O199+P199-Q199,1&lt;2))),1,0),IF(AND(U199+V199-W199&gt;0,OR(U199+V199-W199&lt;O199+P199-Q199,AND(U199+V199-W199=O199+P199-Q199,3&lt;2))),1,0),IF(AND(AA199+AB199-AC199&gt;0,OR(AA199+AB199-AC199&lt;O199+P199-Q199,AND(AA199+AB199-AC199=O199+P199-Q199,4&lt;2))),1,0)))</x:f>
        <x:v>99</x:v>
      </x:c>
      <x:c r="S199" s="6" t="n">
        <x:f>IF('Debt strategy'!$C$16&gt;0,0,MIN(O199+P199-Q199,MAX(0,'Debt strategy'!$C$5-SUM(E199,K199,Q199,W199,AC199)-SUM(IF(F199&lt;R199,C199+D199-E199,0),IF(L199&lt;R199,I199+J199-K199,0),IF(X199&lt;R199,U199+V199-W199,0),IF(AD199&lt;R199,AA199+AB199-AC199,0)))))</x:f>
        <x:v>0</x:v>
      </x:c>
      <x:c r="T199" s="6" t="n">
        <x:f>ROUND(MAX(0,O199+P199-Q199-S199),2)</x:f>
        <x:v>0</x:v>
      </x:c>
      <x:c r="U199" s="6" t="n">
        <x:f>Z198</x:f>
        <x:v>0</x:v>
      </x:c>
      <x:c r="V199" s="6" t="n">
        <x:f>ROUND(U199*'Debt strategy'!$D$12/12,2)</x:f>
        <x:v>0</x:v>
      </x:c>
      <x:c r="W199" s="6" t="n">
        <x:f>MIN(U199+V199,'Debt strategy'!$E$12)</x:f>
        <x:v>0</x:v>
      </x:c>
      <x:c r="X199" s="27" t="n">
        <x:f>IF(U199+V199-W199&lt;=0,99,1+SUM(IF(AND(C199+D199-E199&gt;0,OR(C199+D199-E199&lt;U199+V199-W199,AND(C199+D199-E199=U199+V199-W199,0&lt;3))),1,0),IF(AND(I199+J199-K199&gt;0,OR(I199+J199-K199&lt;U199+V199-W199,AND(I199+J199-K199=U199+V199-W199,1&lt;3))),1,0),IF(AND(O199+P199-Q199&gt;0,OR(O199+P199-Q199&lt;U199+V199-W199,AND(O199+P199-Q199=U199+V199-W199,2&lt;3))),1,0),IF(AND(AA199+AB199-AC199&gt;0,OR(AA199+AB199-AC199&lt;U199+V199-W199,AND(AA199+AB199-AC199=U199+V199-W199,4&lt;3))),1,0)))</x:f>
        <x:v>99</x:v>
      </x:c>
      <x:c r="Y199" s="6" t="n">
        <x:f>IF('Debt strategy'!$C$16&gt;0,0,MIN(U199+V199-W199,MAX(0,'Debt strategy'!$C$5-SUM(E199,K199,Q199,W199,AC199)-SUM(IF(F199&lt;X199,C199+D199-E199,0),IF(L199&lt;X199,I199+J199-K199,0),IF(R199&lt;X199,O199+P199-Q199,0),IF(AD199&lt;X199,AA199+AB199-AC199,0)))))</x:f>
        <x:v>0</x:v>
      </x:c>
      <x:c r="Z199" s="6" t="n">
        <x:f>ROUND(MAX(0,U199+V199-W199-Y199),2)</x:f>
        <x:v>0</x:v>
      </x:c>
      <x:c r="AA199" s="6" t="n">
        <x:f>AF198</x:f>
        <x:v>0</x:v>
      </x:c>
      <x:c r="AB199" s="6" t="n">
        <x:f>ROUND(AA199*'Debt strategy'!$D$13/12,2)</x:f>
        <x:v>0</x:v>
      </x:c>
      <x:c r="AC199" s="6" t="n">
        <x:f>MIN(AA199+AB199,'Debt strategy'!$E$13)</x:f>
        <x:v>0</x:v>
      </x:c>
      <x:c r="AD199" s="27" t="n">
        <x:f>IF(AA199+AB199-AC199&lt;=0,99,1+SUM(IF(AND(C199+D199-E199&gt;0,OR(C199+D199-E199&lt;AA199+AB199-AC199,AND(C199+D199-E199=AA199+AB199-AC199,0&lt;4))),1,0),IF(AND(I199+J199-K199&gt;0,OR(I199+J199-K199&lt;AA199+AB199-AC199,AND(I199+J199-K199=AA199+AB199-AC199,1&lt;4))),1,0),IF(AND(O199+P199-Q199&gt;0,OR(O199+P199-Q199&lt;AA199+AB199-AC199,AND(O199+P199-Q199=AA199+AB199-AC199,2&lt;4))),1,0),IF(AND(U199+V199-W199&gt;0,OR(U199+V199-W199&lt;AA199+AB199-AC199,AND(U199+V199-W199=AA199+AB199-AC199,3&lt;4))),1,0)))</x:f>
        <x:v>99</x:v>
      </x:c>
      <x:c r="AE199" s="6" t="n">
        <x:f>IF('Debt strategy'!$C$16&gt;0,0,MIN(AA199+AB199-AC199,MAX(0,'Debt strategy'!$C$5-SUM(E199,K199,Q199,W199,AC199)-SUM(IF(F199&lt;AD199,C199+D199-E199,0),IF(L199&lt;AD199,I199+J199-K199,0),IF(R199&lt;AD199,O199+P199-Q199,0),IF(X199&lt;AD199,U199+V199-W199,0)))))</x:f>
        <x:v>0</x:v>
      </x:c>
      <x:c r="AF199" s="6" t="n">
        <x:f>ROUND(MAX(0,AA199+AB199-AC199-AE199),2)</x:f>
        <x:v>0</x:v>
      </x:c>
      <x:c r="AG199" s="6" t="n">
        <x:f>SUM(H199,N199,T199,Z199,AF199)</x:f>
        <x:v>0</x:v>
      </x:c>
      <x:c r="AH199" s="6" t="n">
        <x:f>SUM(D199,J199,P199,V199,AB199)+AH198</x:f>
        <x:v>1353.9499999999996</x:v>
      </x:c>
      <x:c r="AI199" s="2"/>
    </x:row>
    <x:row r="200" ht="23" customHeight="1">
      <x:c r="B200" s="2" t="n">
        <x:f>192</x:f>
        <x:v>192</x:v>
      </x:c>
      <x:c r="C200" s="6" t="n">
        <x:f>H199</x:f>
        <x:v>0</x:v>
      </x:c>
      <x:c r="D200" s="6" t="n">
        <x:f>ROUND(C200*'Debt strategy'!$D$9/12,2)</x:f>
        <x:v>0</x:v>
      </x:c>
      <x:c r="E200" s="6" t="n">
        <x:f>MIN(C200+D200,'Debt strategy'!$E$9)</x:f>
        <x:v>0</x:v>
      </x:c>
      <x:c r="F200" s="27" t="n">
        <x:f>IF(C200+D200-E200&lt;=0,99,1+SUM(IF(AND(I200+J200-K200&gt;0,OR(I200+J200-K200&lt;C200+D200-E200,AND(I200+J200-K200=C200+D200-E200,1&lt;0))),1,0),IF(AND(O200+P200-Q200&gt;0,OR(O200+P200-Q200&lt;C200+D200-E200,AND(O200+P200-Q200=C200+D200-E200,2&lt;0))),1,0),IF(AND(U200+V200-W200&gt;0,OR(U200+V200-W200&lt;C200+D200-E200,AND(U200+V200-W200=C200+D200-E200,3&lt;0))),1,0),IF(AND(AA200+AB200-AC200&gt;0,OR(AA200+AB200-AC200&lt;C200+D200-E200,AND(AA200+AB200-AC200=C200+D200-E200,4&lt;0))),1,0)))</x:f>
        <x:v>99</x:v>
      </x:c>
      <x:c r="G200" s="6" t="n">
        <x:f>IF('Debt strategy'!$C$16&gt;0,0,MIN(C200+D200-E200,MAX(0,'Debt strategy'!$C$5-SUM(E200,K200,Q200,W200,AC200)-SUM(IF(L200&lt;F200,I200+J200-K200,0),IF(R200&lt;F200,O200+P200-Q200,0),IF(X200&lt;F200,U200+V200-W200,0),IF(AD200&lt;F200,AA200+AB200-AC200,0)))))</x:f>
        <x:v>0</x:v>
      </x:c>
      <x:c r="H200" s="6" t="n">
        <x:f>ROUND(MAX(0,C200+D200-E200-G200),2)</x:f>
        <x:v>0</x:v>
      </x:c>
      <x:c r="I200" s="6" t="n">
        <x:f>N199</x:f>
        <x:v>0</x:v>
      </x:c>
      <x:c r="J200" s="6" t="n">
        <x:f>ROUND(I200*'Debt strategy'!$D$10/12,2)</x:f>
        <x:v>0</x:v>
      </x:c>
      <x:c r="K200" s="6" t="n">
        <x:f>MIN(I200+J200,'Debt strategy'!$E$10)</x:f>
        <x:v>0</x:v>
      </x:c>
      <x:c r="L200" s="27" t="n">
        <x:f>IF(I200+J200-K200&lt;=0,99,1+SUM(IF(AND(C200+D200-E200&gt;0,OR(C200+D200-E200&lt;I200+J200-K200,AND(C200+D200-E200=I200+J200-K200,0&lt;1))),1,0),IF(AND(O200+P200-Q200&gt;0,OR(O200+P200-Q200&lt;I200+J200-K200,AND(O200+P200-Q200=I200+J200-K200,2&lt;1))),1,0),IF(AND(U200+V200-W200&gt;0,OR(U200+V200-W200&lt;I200+J200-K200,AND(U200+V200-W200=I200+J200-K200,3&lt;1))),1,0),IF(AND(AA200+AB200-AC200&gt;0,OR(AA200+AB200-AC200&lt;I200+J200-K200,AND(AA200+AB200-AC200=I200+J200-K200,4&lt;1))),1,0)))</x:f>
        <x:v>99</x:v>
      </x:c>
      <x:c r="M200" s="6" t="n">
        <x:f>IF('Debt strategy'!$C$16&gt;0,0,MIN(I200+J200-K200,MAX(0,'Debt strategy'!$C$5-SUM(E200,K200,Q200,W200,AC200)-SUM(IF(F200&lt;L200,C200+D200-E200,0),IF(R200&lt;L200,O200+P200-Q200,0),IF(X200&lt;L200,U200+V200-W200,0),IF(AD200&lt;L200,AA200+AB200-AC200,0)))))</x:f>
        <x:v>0</x:v>
      </x:c>
      <x:c r="N200" s="6" t="n">
        <x:f>ROUND(MAX(0,I200+J200-K200-M200),2)</x:f>
        <x:v>0</x:v>
      </x:c>
      <x:c r="O200" s="6" t="n">
        <x:f>T199</x:f>
        <x:v>0</x:v>
      </x:c>
      <x:c r="P200" s="6" t="n">
        <x:f>ROUND(O200*'Debt strategy'!$D$11/12,2)</x:f>
        <x:v>0</x:v>
      </x:c>
      <x:c r="Q200" s="6" t="n">
        <x:f>MIN(O200+P200,'Debt strategy'!$E$11)</x:f>
        <x:v>0</x:v>
      </x:c>
      <x:c r="R200" s="27" t="n">
        <x:f>IF(O200+P200-Q200&lt;=0,99,1+SUM(IF(AND(C200+D200-E200&gt;0,OR(C200+D200-E200&lt;O200+P200-Q200,AND(C200+D200-E200=O200+P200-Q200,0&lt;2))),1,0),IF(AND(I200+J200-K200&gt;0,OR(I200+J200-K200&lt;O200+P200-Q200,AND(I200+J200-K200=O200+P200-Q200,1&lt;2))),1,0),IF(AND(U200+V200-W200&gt;0,OR(U200+V200-W200&lt;O200+P200-Q200,AND(U200+V200-W200=O200+P200-Q200,3&lt;2))),1,0),IF(AND(AA200+AB200-AC200&gt;0,OR(AA200+AB200-AC200&lt;O200+P200-Q200,AND(AA200+AB200-AC200=O200+P200-Q200,4&lt;2))),1,0)))</x:f>
        <x:v>99</x:v>
      </x:c>
      <x:c r="S200" s="6" t="n">
        <x:f>IF('Debt strategy'!$C$16&gt;0,0,MIN(O200+P200-Q200,MAX(0,'Debt strategy'!$C$5-SUM(E200,K200,Q200,W200,AC200)-SUM(IF(F200&lt;R200,C200+D200-E200,0),IF(L200&lt;R200,I200+J200-K200,0),IF(X200&lt;R200,U200+V200-W200,0),IF(AD200&lt;R200,AA200+AB200-AC200,0)))))</x:f>
        <x:v>0</x:v>
      </x:c>
      <x:c r="T200" s="6" t="n">
        <x:f>ROUND(MAX(0,O200+P200-Q200-S200),2)</x:f>
        <x:v>0</x:v>
      </x:c>
      <x:c r="U200" s="6" t="n">
        <x:f>Z199</x:f>
        <x:v>0</x:v>
      </x:c>
      <x:c r="V200" s="6" t="n">
        <x:f>ROUND(U200*'Debt strategy'!$D$12/12,2)</x:f>
        <x:v>0</x:v>
      </x:c>
      <x:c r="W200" s="6" t="n">
        <x:f>MIN(U200+V200,'Debt strategy'!$E$12)</x:f>
        <x:v>0</x:v>
      </x:c>
      <x:c r="X200" s="27" t="n">
        <x:f>IF(U200+V200-W200&lt;=0,99,1+SUM(IF(AND(C200+D200-E200&gt;0,OR(C200+D200-E200&lt;U200+V200-W200,AND(C200+D200-E200=U200+V200-W200,0&lt;3))),1,0),IF(AND(I200+J200-K200&gt;0,OR(I200+J200-K200&lt;U200+V200-W200,AND(I200+J200-K200=U200+V200-W200,1&lt;3))),1,0),IF(AND(O200+P200-Q200&gt;0,OR(O200+P200-Q200&lt;U200+V200-W200,AND(O200+P200-Q200=U200+V200-W200,2&lt;3))),1,0),IF(AND(AA200+AB200-AC200&gt;0,OR(AA200+AB200-AC200&lt;U200+V200-W200,AND(AA200+AB200-AC200=U200+V200-W200,4&lt;3))),1,0)))</x:f>
        <x:v>99</x:v>
      </x:c>
      <x:c r="Y200" s="6" t="n">
        <x:f>IF('Debt strategy'!$C$16&gt;0,0,MIN(U200+V200-W200,MAX(0,'Debt strategy'!$C$5-SUM(E200,K200,Q200,W200,AC200)-SUM(IF(F200&lt;X200,C200+D200-E200,0),IF(L200&lt;X200,I200+J200-K200,0),IF(R200&lt;X200,O200+P200-Q200,0),IF(AD200&lt;X200,AA200+AB200-AC200,0)))))</x:f>
        <x:v>0</x:v>
      </x:c>
      <x:c r="Z200" s="6" t="n">
        <x:f>ROUND(MAX(0,U200+V200-W200-Y200),2)</x:f>
        <x:v>0</x:v>
      </x:c>
      <x:c r="AA200" s="6" t="n">
        <x:f>AF199</x:f>
        <x:v>0</x:v>
      </x:c>
      <x:c r="AB200" s="6" t="n">
        <x:f>ROUND(AA200*'Debt strategy'!$D$13/12,2)</x:f>
        <x:v>0</x:v>
      </x:c>
      <x:c r="AC200" s="6" t="n">
        <x:f>MIN(AA200+AB200,'Debt strategy'!$E$13)</x:f>
        <x:v>0</x:v>
      </x:c>
      <x:c r="AD200" s="27" t="n">
        <x:f>IF(AA200+AB200-AC200&lt;=0,99,1+SUM(IF(AND(C200+D200-E200&gt;0,OR(C200+D200-E200&lt;AA200+AB200-AC200,AND(C200+D200-E200=AA200+AB200-AC200,0&lt;4))),1,0),IF(AND(I200+J200-K200&gt;0,OR(I200+J200-K200&lt;AA200+AB200-AC200,AND(I200+J200-K200=AA200+AB200-AC200,1&lt;4))),1,0),IF(AND(O200+P200-Q200&gt;0,OR(O200+P200-Q200&lt;AA200+AB200-AC200,AND(O200+P200-Q200=AA200+AB200-AC200,2&lt;4))),1,0),IF(AND(U200+V200-W200&gt;0,OR(U200+V200-W200&lt;AA200+AB200-AC200,AND(U200+V200-W200=AA200+AB200-AC200,3&lt;4))),1,0)))</x:f>
        <x:v>99</x:v>
      </x:c>
      <x:c r="AE200" s="6" t="n">
        <x:f>IF('Debt strategy'!$C$16&gt;0,0,MIN(AA200+AB200-AC200,MAX(0,'Debt strategy'!$C$5-SUM(E200,K200,Q200,W200,AC200)-SUM(IF(F200&lt;AD200,C200+D200-E200,0),IF(L200&lt;AD200,I200+J200-K200,0),IF(R200&lt;AD200,O200+P200-Q200,0),IF(X200&lt;AD200,U200+V200-W200,0)))))</x:f>
        <x:v>0</x:v>
      </x:c>
      <x:c r="AF200" s="6" t="n">
        <x:f>ROUND(MAX(0,AA200+AB200-AC200-AE200),2)</x:f>
        <x:v>0</x:v>
      </x:c>
      <x:c r="AG200" s="6" t="n">
        <x:f>SUM(H200,N200,T200,Z200,AF200)</x:f>
        <x:v>0</x:v>
      </x:c>
      <x:c r="AH200" s="6" t="n">
        <x:f>SUM(D200,J200,P200,V200,AB200)+AH199</x:f>
        <x:v>1353.9499999999996</x:v>
      </x:c>
      <x:c r="AI200" s="2"/>
    </x:row>
    <x:row r="201" ht="23" customHeight="1">
      <x:c r="B201" s="2" t="n">
        <x:f>193</x:f>
        <x:v>193</x:v>
      </x:c>
      <x:c r="C201" s="6" t="n">
        <x:f>H200</x:f>
        <x:v>0</x:v>
      </x:c>
      <x:c r="D201" s="6" t="n">
        <x:f>ROUND(C201*'Debt strategy'!$D$9/12,2)</x:f>
        <x:v>0</x:v>
      </x:c>
      <x:c r="E201" s="6" t="n">
        <x:f>MIN(C201+D201,'Debt strategy'!$E$9)</x:f>
        <x:v>0</x:v>
      </x:c>
      <x:c r="F201" s="27" t="n">
        <x:f>IF(C201+D201-E201&lt;=0,99,1+SUM(IF(AND(I201+J201-K201&gt;0,OR(I201+J201-K201&lt;C201+D201-E201,AND(I201+J201-K201=C201+D201-E201,1&lt;0))),1,0),IF(AND(O201+P201-Q201&gt;0,OR(O201+P201-Q201&lt;C201+D201-E201,AND(O201+P201-Q201=C201+D201-E201,2&lt;0))),1,0),IF(AND(U201+V201-W201&gt;0,OR(U201+V201-W201&lt;C201+D201-E201,AND(U201+V201-W201=C201+D201-E201,3&lt;0))),1,0),IF(AND(AA201+AB201-AC201&gt;0,OR(AA201+AB201-AC201&lt;C201+D201-E201,AND(AA201+AB201-AC201=C201+D201-E201,4&lt;0))),1,0)))</x:f>
        <x:v>99</x:v>
      </x:c>
      <x:c r="G201" s="6" t="n">
        <x:f>IF('Debt strategy'!$C$16&gt;0,0,MIN(C201+D201-E201,MAX(0,'Debt strategy'!$C$5-SUM(E201,K201,Q201,W201,AC201)-SUM(IF(L201&lt;F201,I201+J201-K201,0),IF(R201&lt;F201,O201+P201-Q201,0),IF(X201&lt;F201,U201+V201-W201,0),IF(AD201&lt;F201,AA201+AB201-AC201,0)))))</x:f>
        <x:v>0</x:v>
      </x:c>
      <x:c r="H201" s="6" t="n">
        <x:f>ROUND(MAX(0,C201+D201-E201-G201),2)</x:f>
        <x:v>0</x:v>
      </x:c>
      <x:c r="I201" s="6" t="n">
        <x:f>N200</x:f>
        <x:v>0</x:v>
      </x:c>
      <x:c r="J201" s="6" t="n">
        <x:f>ROUND(I201*'Debt strategy'!$D$10/12,2)</x:f>
        <x:v>0</x:v>
      </x:c>
      <x:c r="K201" s="6" t="n">
        <x:f>MIN(I201+J201,'Debt strategy'!$E$10)</x:f>
        <x:v>0</x:v>
      </x:c>
      <x:c r="L201" s="27" t="n">
        <x:f>IF(I201+J201-K201&lt;=0,99,1+SUM(IF(AND(C201+D201-E201&gt;0,OR(C201+D201-E201&lt;I201+J201-K201,AND(C201+D201-E201=I201+J201-K201,0&lt;1))),1,0),IF(AND(O201+P201-Q201&gt;0,OR(O201+P201-Q201&lt;I201+J201-K201,AND(O201+P201-Q201=I201+J201-K201,2&lt;1))),1,0),IF(AND(U201+V201-W201&gt;0,OR(U201+V201-W201&lt;I201+J201-K201,AND(U201+V201-W201=I201+J201-K201,3&lt;1))),1,0),IF(AND(AA201+AB201-AC201&gt;0,OR(AA201+AB201-AC201&lt;I201+J201-K201,AND(AA201+AB201-AC201=I201+J201-K201,4&lt;1))),1,0)))</x:f>
        <x:v>99</x:v>
      </x:c>
      <x:c r="M201" s="6" t="n">
        <x:f>IF('Debt strategy'!$C$16&gt;0,0,MIN(I201+J201-K201,MAX(0,'Debt strategy'!$C$5-SUM(E201,K201,Q201,W201,AC201)-SUM(IF(F201&lt;L201,C201+D201-E201,0),IF(R201&lt;L201,O201+P201-Q201,0),IF(X201&lt;L201,U201+V201-W201,0),IF(AD201&lt;L201,AA201+AB201-AC201,0)))))</x:f>
        <x:v>0</x:v>
      </x:c>
      <x:c r="N201" s="6" t="n">
        <x:f>ROUND(MAX(0,I201+J201-K201-M201),2)</x:f>
        <x:v>0</x:v>
      </x:c>
      <x:c r="O201" s="6" t="n">
        <x:f>T200</x:f>
        <x:v>0</x:v>
      </x:c>
      <x:c r="P201" s="6" t="n">
        <x:f>ROUND(O201*'Debt strategy'!$D$11/12,2)</x:f>
        <x:v>0</x:v>
      </x:c>
      <x:c r="Q201" s="6" t="n">
        <x:f>MIN(O201+P201,'Debt strategy'!$E$11)</x:f>
        <x:v>0</x:v>
      </x:c>
      <x:c r="R201" s="27" t="n">
        <x:f>IF(O201+P201-Q201&lt;=0,99,1+SUM(IF(AND(C201+D201-E201&gt;0,OR(C201+D201-E201&lt;O201+P201-Q201,AND(C201+D201-E201=O201+P201-Q201,0&lt;2))),1,0),IF(AND(I201+J201-K201&gt;0,OR(I201+J201-K201&lt;O201+P201-Q201,AND(I201+J201-K201=O201+P201-Q201,1&lt;2))),1,0),IF(AND(U201+V201-W201&gt;0,OR(U201+V201-W201&lt;O201+P201-Q201,AND(U201+V201-W201=O201+P201-Q201,3&lt;2))),1,0),IF(AND(AA201+AB201-AC201&gt;0,OR(AA201+AB201-AC201&lt;O201+P201-Q201,AND(AA201+AB201-AC201=O201+P201-Q201,4&lt;2))),1,0)))</x:f>
        <x:v>99</x:v>
      </x:c>
      <x:c r="S201" s="6" t="n">
        <x:f>IF('Debt strategy'!$C$16&gt;0,0,MIN(O201+P201-Q201,MAX(0,'Debt strategy'!$C$5-SUM(E201,K201,Q201,W201,AC201)-SUM(IF(F201&lt;R201,C201+D201-E201,0),IF(L201&lt;R201,I201+J201-K201,0),IF(X201&lt;R201,U201+V201-W201,0),IF(AD201&lt;R201,AA201+AB201-AC201,0)))))</x:f>
        <x:v>0</x:v>
      </x:c>
      <x:c r="T201" s="6" t="n">
        <x:f>ROUND(MAX(0,O201+P201-Q201-S201),2)</x:f>
        <x:v>0</x:v>
      </x:c>
      <x:c r="U201" s="6" t="n">
        <x:f>Z200</x:f>
        <x:v>0</x:v>
      </x:c>
      <x:c r="V201" s="6" t="n">
        <x:f>ROUND(U201*'Debt strategy'!$D$12/12,2)</x:f>
        <x:v>0</x:v>
      </x:c>
      <x:c r="W201" s="6" t="n">
        <x:f>MIN(U201+V201,'Debt strategy'!$E$12)</x:f>
        <x:v>0</x:v>
      </x:c>
      <x:c r="X201" s="27" t="n">
        <x:f>IF(U201+V201-W201&lt;=0,99,1+SUM(IF(AND(C201+D201-E201&gt;0,OR(C201+D201-E201&lt;U201+V201-W201,AND(C201+D201-E201=U201+V201-W201,0&lt;3))),1,0),IF(AND(I201+J201-K201&gt;0,OR(I201+J201-K201&lt;U201+V201-W201,AND(I201+J201-K201=U201+V201-W201,1&lt;3))),1,0),IF(AND(O201+P201-Q201&gt;0,OR(O201+P201-Q201&lt;U201+V201-W201,AND(O201+P201-Q201=U201+V201-W201,2&lt;3))),1,0),IF(AND(AA201+AB201-AC201&gt;0,OR(AA201+AB201-AC201&lt;U201+V201-W201,AND(AA201+AB201-AC201=U201+V201-W201,4&lt;3))),1,0)))</x:f>
        <x:v>99</x:v>
      </x:c>
      <x:c r="Y201" s="6" t="n">
        <x:f>IF('Debt strategy'!$C$16&gt;0,0,MIN(U201+V201-W201,MAX(0,'Debt strategy'!$C$5-SUM(E201,K201,Q201,W201,AC201)-SUM(IF(F201&lt;X201,C201+D201-E201,0),IF(L201&lt;X201,I201+J201-K201,0),IF(R201&lt;X201,O201+P201-Q201,0),IF(AD201&lt;X201,AA201+AB201-AC201,0)))))</x:f>
        <x:v>0</x:v>
      </x:c>
      <x:c r="Z201" s="6" t="n">
        <x:f>ROUND(MAX(0,U201+V201-W201-Y201),2)</x:f>
        <x:v>0</x:v>
      </x:c>
      <x:c r="AA201" s="6" t="n">
        <x:f>AF200</x:f>
        <x:v>0</x:v>
      </x:c>
      <x:c r="AB201" s="6" t="n">
        <x:f>ROUND(AA201*'Debt strategy'!$D$13/12,2)</x:f>
        <x:v>0</x:v>
      </x:c>
      <x:c r="AC201" s="6" t="n">
        <x:f>MIN(AA201+AB201,'Debt strategy'!$E$13)</x:f>
        <x:v>0</x:v>
      </x:c>
      <x:c r="AD201" s="27" t="n">
        <x:f>IF(AA201+AB201-AC201&lt;=0,99,1+SUM(IF(AND(C201+D201-E201&gt;0,OR(C201+D201-E201&lt;AA201+AB201-AC201,AND(C201+D201-E201=AA201+AB201-AC201,0&lt;4))),1,0),IF(AND(I201+J201-K201&gt;0,OR(I201+J201-K201&lt;AA201+AB201-AC201,AND(I201+J201-K201=AA201+AB201-AC201,1&lt;4))),1,0),IF(AND(O201+P201-Q201&gt;0,OR(O201+P201-Q201&lt;AA201+AB201-AC201,AND(O201+P201-Q201=AA201+AB201-AC201,2&lt;4))),1,0),IF(AND(U201+V201-W201&gt;0,OR(U201+V201-W201&lt;AA201+AB201-AC201,AND(U201+V201-W201=AA201+AB201-AC201,3&lt;4))),1,0)))</x:f>
        <x:v>99</x:v>
      </x:c>
      <x:c r="AE201" s="6" t="n">
        <x:f>IF('Debt strategy'!$C$16&gt;0,0,MIN(AA201+AB201-AC201,MAX(0,'Debt strategy'!$C$5-SUM(E201,K201,Q201,W201,AC201)-SUM(IF(F201&lt;AD201,C201+D201-E201,0),IF(L201&lt;AD201,I201+J201-K201,0),IF(R201&lt;AD201,O201+P201-Q201,0),IF(X201&lt;AD201,U201+V201-W201,0)))))</x:f>
        <x:v>0</x:v>
      </x:c>
      <x:c r="AF201" s="6" t="n">
        <x:f>ROUND(MAX(0,AA201+AB201-AC201-AE201),2)</x:f>
        <x:v>0</x:v>
      </x:c>
      <x:c r="AG201" s="6" t="n">
        <x:f>SUM(H201,N201,T201,Z201,AF201)</x:f>
        <x:v>0</x:v>
      </x:c>
      <x:c r="AH201" s="6" t="n">
        <x:f>SUM(D201,J201,P201,V201,AB201)+AH200</x:f>
        <x:v>1353.9499999999996</x:v>
      </x:c>
      <x:c r="AI201" s="2"/>
    </x:row>
    <x:row r="202" ht="23" customHeight="1">
      <x:c r="B202" s="2" t="n">
        <x:f>194</x:f>
        <x:v>194</x:v>
      </x:c>
      <x:c r="C202" s="6" t="n">
        <x:f>H201</x:f>
        <x:v>0</x:v>
      </x:c>
      <x:c r="D202" s="6" t="n">
        <x:f>ROUND(C202*'Debt strategy'!$D$9/12,2)</x:f>
        <x:v>0</x:v>
      </x:c>
      <x:c r="E202" s="6" t="n">
        <x:f>MIN(C202+D202,'Debt strategy'!$E$9)</x:f>
        <x:v>0</x:v>
      </x:c>
      <x:c r="F202" s="27" t="n">
        <x:f>IF(C202+D202-E202&lt;=0,99,1+SUM(IF(AND(I202+J202-K202&gt;0,OR(I202+J202-K202&lt;C202+D202-E202,AND(I202+J202-K202=C202+D202-E202,1&lt;0))),1,0),IF(AND(O202+P202-Q202&gt;0,OR(O202+P202-Q202&lt;C202+D202-E202,AND(O202+P202-Q202=C202+D202-E202,2&lt;0))),1,0),IF(AND(U202+V202-W202&gt;0,OR(U202+V202-W202&lt;C202+D202-E202,AND(U202+V202-W202=C202+D202-E202,3&lt;0))),1,0),IF(AND(AA202+AB202-AC202&gt;0,OR(AA202+AB202-AC202&lt;C202+D202-E202,AND(AA202+AB202-AC202=C202+D202-E202,4&lt;0))),1,0)))</x:f>
        <x:v>99</x:v>
      </x:c>
      <x:c r="G202" s="6" t="n">
        <x:f>IF('Debt strategy'!$C$16&gt;0,0,MIN(C202+D202-E202,MAX(0,'Debt strategy'!$C$5-SUM(E202,K202,Q202,W202,AC202)-SUM(IF(L202&lt;F202,I202+J202-K202,0),IF(R202&lt;F202,O202+P202-Q202,0),IF(X202&lt;F202,U202+V202-W202,0),IF(AD202&lt;F202,AA202+AB202-AC202,0)))))</x:f>
        <x:v>0</x:v>
      </x:c>
      <x:c r="H202" s="6" t="n">
        <x:f>ROUND(MAX(0,C202+D202-E202-G202),2)</x:f>
        <x:v>0</x:v>
      </x:c>
      <x:c r="I202" s="6" t="n">
        <x:f>N201</x:f>
        <x:v>0</x:v>
      </x:c>
      <x:c r="J202" s="6" t="n">
        <x:f>ROUND(I202*'Debt strategy'!$D$10/12,2)</x:f>
        <x:v>0</x:v>
      </x:c>
      <x:c r="K202" s="6" t="n">
        <x:f>MIN(I202+J202,'Debt strategy'!$E$10)</x:f>
        <x:v>0</x:v>
      </x:c>
      <x:c r="L202" s="27" t="n">
        <x:f>IF(I202+J202-K202&lt;=0,99,1+SUM(IF(AND(C202+D202-E202&gt;0,OR(C202+D202-E202&lt;I202+J202-K202,AND(C202+D202-E202=I202+J202-K202,0&lt;1))),1,0),IF(AND(O202+P202-Q202&gt;0,OR(O202+P202-Q202&lt;I202+J202-K202,AND(O202+P202-Q202=I202+J202-K202,2&lt;1))),1,0),IF(AND(U202+V202-W202&gt;0,OR(U202+V202-W202&lt;I202+J202-K202,AND(U202+V202-W202=I202+J202-K202,3&lt;1))),1,0),IF(AND(AA202+AB202-AC202&gt;0,OR(AA202+AB202-AC202&lt;I202+J202-K202,AND(AA202+AB202-AC202=I202+J202-K202,4&lt;1))),1,0)))</x:f>
        <x:v>99</x:v>
      </x:c>
      <x:c r="M202" s="6" t="n">
        <x:f>IF('Debt strategy'!$C$16&gt;0,0,MIN(I202+J202-K202,MAX(0,'Debt strategy'!$C$5-SUM(E202,K202,Q202,W202,AC202)-SUM(IF(F202&lt;L202,C202+D202-E202,0),IF(R202&lt;L202,O202+P202-Q202,0),IF(X202&lt;L202,U202+V202-W202,0),IF(AD202&lt;L202,AA202+AB202-AC202,0)))))</x:f>
        <x:v>0</x:v>
      </x:c>
      <x:c r="N202" s="6" t="n">
        <x:f>ROUND(MAX(0,I202+J202-K202-M202),2)</x:f>
        <x:v>0</x:v>
      </x:c>
      <x:c r="O202" s="6" t="n">
        <x:f>T201</x:f>
        <x:v>0</x:v>
      </x:c>
      <x:c r="P202" s="6" t="n">
        <x:f>ROUND(O202*'Debt strategy'!$D$11/12,2)</x:f>
        <x:v>0</x:v>
      </x:c>
      <x:c r="Q202" s="6" t="n">
        <x:f>MIN(O202+P202,'Debt strategy'!$E$11)</x:f>
        <x:v>0</x:v>
      </x:c>
      <x:c r="R202" s="27" t="n">
        <x:f>IF(O202+P202-Q202&lt;=0,99,1+SUM(IF(AND(C202+D202-E202&gt;0,OR(C202+D202-E202&lt;O202+P202-Q202,AND(C202+D202-E202=O202+P202-Q202,0&lt;2))),1,0),IF(AND(I202+J202-K202&gt;0,OR(I202+J202-K202&lt;O202+P202-Q202,AND(I202+J202-K202=O202+P202-Q202,1&lt;2))),1,0),IF(AND(U202+V202-W202&gt;0,OR(U202+V202-W202&lt;O202+P202-Q202,AND(U202+V202-W202=O202+P202-Q202,3&lt;2))),1,0),IF(AND(AA202+AB202-AC202&gt;0,OR(AA202+AB202-AC202&lt;O202+P202-Q202,AND(AA202+AB202-AC202=O202+P202-Q202,4&lt;2))),1,0)))</x:f>
        <x:v>99</x:v>
      </x:c>
      <x:c r="S202" s="6" t="n">
        <x:f>IF('Debt strategy'!$C$16&gt;0,0,MIN(O202+P202-Q202,MAX(0,'Debt strategy'!$C$5-SUM(E202,K202,Q202,W202,AC202)-SUM(IF(F202&lt;R202,C202+D202-E202,0),IF(L202&lt;R202,I202+J202-K202,0),IF(X202&lt;R202,U202+V202-W202,0),IF(AD202&lt;R202,AA202+AB202-AC202,0)))))</x:f>
        <x:v>0</x:v>
      </x:c>
      <x:c r="T202" s="6" t="n">
        <x:f>ROUND(MAX(0,O202+P202-Q202-S202),2)</x:f>
        <x:v>0</x:v>
      </x:c>
      <x:c r="U202" s="6" t="n">
        <x:f>Z201</x:f>
        <x:v>0</x:v>
      </x:c>
      <x:c r="V202" s="6" t="n">
        <x:f>ROUND(U202*'Debt strategy'!$D$12/12,2)</x:f>
        <x:v>0</x:v>
      </x:c>
      <x:c r="W202" s="6" t="n">
        <x:f>MIN(U202+V202,'Debt strategy'!$E$12)</x:f>
        <x:v>0</x:v>
      </x:c>
      <x:c r="X202" s="27" t="n">
        <x:f>IF(U202+V202-W202&lt;=0,99,1+SUM(IF(AND(C202+D202-E202&gt;0,OR(C202+D202-E202&lt;U202+V202-W202,AND(C202+D202-E202=U202+V202-W202,0&lt;3))),1,0),IF(AND(I202+J202-K202&gt;0,OR(I202+J202-K202&lt;U202+V202-W202,AND(I202+J202-K202=U202+V202-W202,1&lt;3))),1,0),IF(AND(O202+P202-Q202&gt;0,OR(O202+P202-Q202&lt;U202+V202-W202,AND(O202+P202-Q202=U202+V202-W202,2&lt;3))),1,0),IF(AND(AA202+AB202-AC202&gt;0,OR(AA202+AB202-AC202&lt;U202+V202-W202,AND(AA202+AB202-AC202=U202+V202-W202,4&lt;3))),1,0)))</x:f>
        <x:v>99</x:v>
      </x:c>
      <x:c r="Y202" s="6" t="n">
        <x:f>IF('Debt strategy'!$C$16&gt;0,0,MIN(U202+V202-W202,MAX(0,'Debt strategy'!$C$5-SUM(E202,K202,Q202,W202,AC202)-SUM(IF(F202&lt;X202,C202+D202-E202,0),IF(L202&lt;X202,I202+J202-K202,0),IF(R202&lt;X202,O202+P202-Q202,0),IF(AD202&lt;X202,AA202+AB202-AC202,0)))))</x:f>
        <x:v>0</x:v>
      </x:c>
      <x:c r="Z202" s="6" t="n">
        <x:f>ROUND(MAX(0,U202+V202-W202-Y202),2)</x:f>
        <x:v>0</x:v>
      </x:c>
      <x:c r="AA202" s="6" t="n">
        <x:f>AF201</x:f>
        <x:v>0</x:v>
      </x:c>
      <x:c r="AB202" s="6" t="n">
        <x:f>ROUND(AA202*'Debt strategy'!$D$13/12,2)</x:f>
        <x:v>0</x:v>
      </x:c>
      <x:c r="AC202" s="6" t="n">
        <x:f>MIN(AA202+AB202,'Debt strategy'!$E$13)</x:f>
        <x:v>0</x:v>
      </x:c>
      <x:c r="AD202" s="27" t="n">
        <x:f>IF(AA202+AB202-AC202&lt;=0,99,1+SUM(IF(AND(C202+D202-E202&gt;0,OR(C202+D202-E202&lt;AA202+AB202-AC202,AND(C202+D202-E202=AA202+AB202-AC202,0&lt;4))),1,0),IF(AND(I202+J202-K202&gt;0,OR(I202+J202-K202&lt;AA202+AB202-AC202,AND(I202+J202-K202=AA202+AB202-AC202,1&lt;4))),1,0),IF(AND(O202+P202-Q202&gt;0,OR(O202+P202-Q202&lt;AA202+AB202-AC202,AND(O202+P202-Q202=AA202+AB202-AC202,2&lt;4))),1,0),IF(AND(U202+V202-W202&gt;0,OR(U202+V202-W202&lt;AA202+AB202-AC202,AND(U202+V202-W202=AA202+AB202-AC202,3&lt;4))),1,0)))</x:f>
        <x:v>99</x:v>
      </x:c>
      <x:c r="AE202" s="6" t="n">
        <x:f>IF('Debt strategy'!$C$16&gt;0,0,MIN(AA202+AB202-AC202,MAX(0,'Debt strategy'!$C$5-SUM(E202,K202,Q202,W202,AC202)-SUM(IF(F202&lt;AD202,C202+D202-E202,0),IF(L202&lt;AD202,I202+J202-K202,0),IF(R202&lt;AD202,O202+P202-Q202,0),IF(X202&lt;AD202,U202+V202-W202,0)))))</x:f>
        <x:v>0</x:v>
      </x:c>
      <x:c r="AF202" s="6" t="n">
        <x:f>ROUND(MAX(0,AA202+AB202-AC202-AE202),2)</x:f>
        <x:v>0</x:v>
      </x:c>
      <x:c r="AG202" s="6" t="n">
        <x:f>SUM(H202,N202,T202,Z202,AF202)</x:f>
        <x:v>0</x:v>
      </x:c>
      <x:c r="AH202" s="6" t="n">
        <x:f>SUM(D202,J202,P202,V202,AB202)+AH201</x:f>
        <x:v>1353.9499999999996</x:v>
      </x:c>
      <x:c r="AI202" s="2"/>
    </x:row>
    <x:row r="203" ht="23" customHeight="1">
      <x:c r="B203" s="2" t="n">
        <x:f>195</x:f>
        <x:v>195</x:v>
      </x:c>
      <x:c r="C203" s="6" t="n">
        <x:f>H202</x:f>
        <x:v>0</x:v>
      </x:c>
      <x:c r="D203" s="6" t="n">
        <x:f>ROUND(C203*'Debt strategy'!$D$9/12,2)</x:f>
        <x:v>0</x:v>
      </x:c>
      <x:c r="E203" s="6" t="n">
        <x:f>MIN(C203+D203,'Debt strategy'!$E$9)</x:f>
        <x:v>0</x:v>
      </x:c>
      <x:c r="F203" s="27" t="n">
        <x:f>IF(C203+D203-E203&lt;=0,99,1+SUM(IF(AND(I203+J203-K203&gt;0,OR(I203+J203-K203&lt;C203+D203-E203,AND(I203+J203-K203=C203+D203-E203,1&lt;0))),1,0),IF(AND(O203+P203-Q203&gt;0,OR(O203+P203-Q203&lt;C203+D203-E203,AND(O203+P203-Q203=C203+D203-E203,2&lt;0))),1,0),IF(AND(U203+V203-W203&gt;0,OR(U203+V203-W203&lt;C203+D203-E203,AND(U203+V203-W203=C203+D203-E203,3&lt;0))),1,0),IF(AND(AA203+AB203-AC203&gt;0,OR(AA203+AB203-AC203&lt;C203+D203-E203,AND(AA203+AB203-AC203=C203+D203-E203,4&lt;0))),1,0)))</x:f>
        <x:v>99</x:v>
      </x:c>
      <x:c r="G203" s="6" t="n">
        <x:f>IF('Debt strategy'!$C$16&gt;0,0,MIN(C203+D203-E203,MAX(0,'Debt strategy'!$C$5-SUM(E203,K203,Q203,W203,AC203)-SUM(IF(L203&lt;F203,I203+J203-K203,0),IF(R203&lt;F203,O203+P203-Q203,0),IF(X203&lt;F203,U203+V203-W203,0),IF(AD203&lt;F203,AA203+AB203-AC203,0)))))</x:f>
        <x:v>0</x:v>
      </x:c>
      <x:c r="H203" s="6" t="n">
        <x:f>ROUND(MAX(0,C203+D203-E203-G203),2)</x:f>
        <x:v>0</x:v>
      </x:c>
      <x:c r="I203" s="6" t="n">
        <x:f>N202</x:f>
        <x:v>0</x:v>
      </x:c>
      <x:c r="J203" s="6" t="n">
        <x:f>ROUND(I203*'Debt strategy'!$D$10/12,2)</x:f>
        <x:v>0</x:v>
      </x:c>
      <x:c r="K203" s="6" t="n">
        <x:f>MIN(I203+J203,'Debt strategy'!$E$10)</x:f>
        <x:v>0</x:v>
      </x:c>
      <x:c r="L203" s="27" t="n">
        <x:f>IF(I203+J203-K203&lt;=0,99,1+SUM(IF(AND(C203+D203-E203&gt;0,OR(C203+D203-E203&lt;I203+J203-K203,AND(C203+D203-E203=I203+J203-K203,0&lt;1))),1,0),IF(AND(O203+P203-Q203&gt;0,OR(O203+P203-Q203&lt;I203+J203-K203,AND(O203+P203-Q203=I203+J203-K203,2&lt;1))),1,0),IF(AND(U203+V203-W203&gt;0,OR(U203+V203-W203&lt;I203+J203-K203,AND(U203+V203-W203=I203+J203-K203,3&lt;1))),1,0),IF(AND(AA203+AB203-AC203&gt;0,OR(AA203+AB203-AC203&lt;I203+J203-K203,AND(AA203+AB203-AC203=I203+J203-K203,4&lt;1))),1,0)))</x:f>
        <x:v>99</x:v>
      </x:c>
      <x:c r="M203" s="6" t="n">
        <x:f>IF('Debt strategy'!$C$16&gt;0,0,MIN(I203+J203-K203,MAX(0,'Debt strategy'!$C$5-SUM(E203,K203,Q203,W203,AC203)-SUM(IF(F203&lt;L203,C203+D203-E203,0),IF(R203&lt;L203,O203+P203-Q203,0),IF(X203&lt;L203,U203+V203-W203,0),IF(AD203&lt;L203,AA203+AB203-AC203,0)))))</x:f>
        <x:v>0</x:v>
      </x:c>
      <x:c r="N203" s="6" t="n">
        <x:f>ROUND(MAX(0,I203+J203-K203-M203),2)</x:f>
        <x:v>0</x:v>
      </x:c>
      <x:c r="O203" s="6" t="n">
        <x:f>T202</x:f>
        <x:v>0</x:v>
      </x:c>
      <x:c r="P203" s="6" t="n">
        <x:f>ROUND(O203*'Debt strategy'!$D$11/12,2)</x:f>
        <x:v>0</x:v>
      </x:c>
      <x:c r="Q203" s="6" t="n">
        <x:f>MIN(O203+P203,'Debt strategy'!$E$11)</x:f>
        <x:v>0</x:v>
      </x:c>
      <x:c r="R203" s="27" t="n">
        <x:f>IF(O203+P203-Q203&lt;=0,99,1+SUM(IF(AND(C203+D203-E203&gt;0,OR(C203+D203-E203&lt;O203+P203-Q203,AND(C203+D203-E203=O203+P203-Q203,0&lt;2))),1,0),IF(AND(I203+J203-K203&gt;0,OR(I203+J203-K203&lt;O203+P203-Q203,AND(I203+J203-K203=O203+P203-Q203,1&lt;2))),1,0),IF(AND(U203+V203-W203&gt;0,OR(U203+V203-W203&lt;O203+P203-Q203,AND(U203+V203-W203=O203+P203-Q203,3&lt;2))),1,0),IF(AND(AA203+AB203-AC203&gt;0,OR(AA203+AB203-AC203&lt;O203+P203-Q203,AND(AA203+AB203-AC203=O203+P203-Q203,4&lt;2))),1,0)))</x:f>
        <x:v>99</x:v>
      </x:c>
      <x:c r="S203" s="6" t="n">
        <x:f>IF('Debt strategy'!$C$16&gt;0,0,MIN(O203+P203-Q203,MAX(0,'Debt strategy'!$C$5-SUM(E203,K203,Q203,W203,AC203)-SUM(IF(F203&lt;R203,C203+D203-E203,0),IF(L203&lt;R203,I203+J203-K203,0),IF(X203&lt;R203,U203+V203-W203,0),IF(AD203&lt;R203,AA203+AB203-AC203,0)))))</x:f>
        <x:v>0</x:v>
      </x:c>
      <x:c r="T203" s="6" t="n">
        <x:f>ROUND(MAX(0,O203+P203-Q203-S203),2)</x:f>
        <x:v>0</x:v>
      </x:c>
      <x:c r="U203" s="6" t="n">
        <x:f>Z202</x:f>
        <x:v>0</x:v>
      </x:c>
      <x:c r="V203" s="6" t="n">
        <x:f>ROUND(U203*'Debt strategy'!$D$12/12,2)</x:f>
        <x:v>0</x:v>
      </x:c>
      <x:c r="W203" s="6" t="n">
        <x:f>MIN(U203+V203,'Debt strategy'!$E$12)</x:f>
        <x:v>0</x:v>
      </x:c>
      <x:c r="X203" s="27" t="n">
        <x:f>IF(U203+V203-W203&lt;=0,99,1+SUM(IF(AND(C203+D203-E203&gt;0,OR(C203+D203-E203&lt;U203+V203-W203,AND(C203+D203-E203=U203+V203-W203,0&lt;3))),1,0),IF(AND(I203+J203-K203&gt;0,OR(I203+J203-K203&lt;U203+V203-W203,AND(I203+J203-K203=U203+V203-W203,1&lt;3))),1,0),IF(AND(O203+P203-Q203&gt;0,OR(O203+P203-Q203&lt;U203+V203-W203,AND(O203+P203-Q203=U203+V203-W203,2&lt;3))),1,0),IF(AND(AA203+AB203-AC203&gt;0,OR(AA203+AB203-AC203&lt;U203+V203-W203,AND(AA203+AB203-AC203=U203+V203-W203,4&lt;3))),1,0)))</x:f>
        <x:v>99</x:v>
      </x:c>
      <x:c r="Y203" s="6" t="n">
        <x:f>IF('Debt strategy'!$C$16&gt;0,0,MIN(U203+V203-W203,MAX(0,'Debt strategy'!$C$5-SUM(E203,K203,Q203,W203,AC203)-SUM(IF(F203&lt;X203,C203+D203-E203,0),IF(L203&lt;X203,I203+J203-K203,0),IF(R203&lt;X203,O203+P203-Q203,0),IF(AD203&lt;X203,AA203+AB203-AC203,0)))))</x:f>
        <x:v>0</x:v>
      </x:c>
      <x:c r="Z203" s="6" t="n">
        <x:f>ROUND(MAX(0,U203+V203-W203-Y203),2)</x:f>
        <x:v>0</x:v>
      </x:c>
      <x:c r="AA203" s="6" t="n">
        <x:f>AF202</x:f>
        <x:v>0</x:v>
      </x:c>
      <x:c r="AB203" s="6" t="n">
        <x:f>ROUND(AA203*'Debt strategy'!$D$13/12,2)</x:f>
        <x:v>0</x:v>
      </x:c>
      <x:c r="AC203" s="6" t="n">
        <x:f>MIN(AA203+AB203,'Debt strategy'!$E$13)</x:f>
        <x:v>0</x:v>
      </x:c>
      <x:c r="AD203" s="27" t="n">
        <x:f>IF(AA203+AB203-AC203&lt;=0,99,1+SUM(IF(AND(C203+D203-E203&gt;0,OR(C203+D203-E203&lt;AA203+AB203-AC203,AND(C203+D203-E203=AA203+AB203-AC203,0&lt;4))),1,0),IF(AND(I203+J203-K203&gt;0,OR(I203+J203-K203&lt;AA203+AB203-AC203,AND(I203+J203-K203=AA203+AB203-AC203,1&lt;4))),1,0),IF(AND(O203+P203-Q203&gt;0,OR(O203+P203-Q203&lt;AA203+AB203-AC203,AND(O203+P203-Q203=AA203+AB203-AC203,2&lt;4))),1,0),IF(AND(U203+V203-W203&gt;0,OR(U203+V203-W203&lt;AA203+AB203-AC203,AND(U203+V203-W203=AA203+AB203-AC203,3&lt;4))),1,0)))</x:f>
        <x:v>99</x:v>
      </x:c>
      <x:c r="AE203" s="6" t="n">
        <x:f>IF('Debt strategy'!$C$16&gt;0,0,MIN(AA203+AB203-AC203,MAX(0,'Debt strategy'!$C$5-SUM(E203,K203,Q203,W203,AC203)-SUM(IF(F203&lt;AD203,C203+D203-E203,0),IF(L203&lt;AD203,I203+J203-K203,0),IF(R203&lt;AD203,O203+P203-Q203,0),IF(X203&lt;AD203,U203+V203-W203,0)))))</x:f>
        <x:v>0</x:v>
      </x:c>
      <x:c r="AF203" s="6" t="n">
        <x:f>ROUND(MAX(0,AA203+AB203-AC203-AE203),2)</x:f>
        <x:v>0</x:v>
      </x:c>
      <x:c r="AG203" s="6" t="n">
        <x:f>SUM(H203,N203,T203,Z203,AF203)</x:f>
        <x:v>0</x:v>
      </x:c>
      <x:c r="AH203" s="6" t="n">
        <x:f>SUM(D203,J203,P203,V203,AB203)+AH202</x:f>
        <x:v>1353.9499999999996</x:v>
      </x:c>
      <x:c r="AI203" s="2"/>
    </x:row>
    <x:row r="204" ht="23" customHeight="1">
      <x:c r="B204" s="2" t="n">
        <x:f>196</x:f>
        <x:v>196</x:v>
      </x:c>
      <x:c r="C204" s="6" t="n">
        <x:f>H203</x:f>
        <x:v>0</x:v>
      </x:c>
      <x:c r="D204" s="6" t="n">
        <x:f>ROUND(C204*'Debt strategy'!$D$9/12,2)</x:f>
        <x:v>0</x:v>
      </x:c>
      <x:c r="E204" s="6" t="n">
        <x:f>MIN(C204+D204,'Debt strategy'!$E$9)</x:f>
        <x:v>0</x:v>
      </x:c>
      <x:c r="F204" s="27" t="n">
        <x:f>IF(C204+D204-E204&lt;=0,99,1+SUM(IF(AND(I204+J204-K204&gt;0,OR(I204+J204-K204&lt;C204+D204-E204,AND(I204+J204-K204=C204+D204-E204,1&lt;0))),1,0),IF(AND(O204+P204-Q204&gt;0,OR(O204+P204-Q204&lt;C204+D204-E204,AND(O204+P204-Q204=C204+D204-E204,2&lt;0))),1,0),IF(AND(U204+V204-W204&gt;0,OR(U204+V204-W204&lt;C204+D204-E204,AND(U204+V204-W204=C204+D204-E204,3&lt;0))),1,0),IF(AND(AA204+AB204-AC204&gt;0,OR(AA204+AB204-AC204&lt;C204+D204-E204,AND(AA204+AB204-AC204=C204+D204-E204,4&lt;0))),1,0)))</x:f>
        <x:v>99</x:v>
      </x:c>
      <x:c r="G204" s="6" t="n">
        <x:f>IF('Debt strategy'!$C$16&gt;0,0,MIN(C204+D204-E204,MAX(0,'Debt strategy'!$C$5-SUM(E204,K204,Q204,W204,AC204)-SUM(IF(L204&lt;F204,I204+J204-K204,0),IF(R204&lt;F204,O204+P204-Q204,0),IF(X204&lt;F204,U204+V204-W204,0),IF(AD204&lt;F204,AA204+AB204-AC204,0)))))</x:f>
        <x:v>0</x:v>
      </x:c>
      <x:c r="H204" s="6" t="n">
        <x:f>ROUND(MAX(0,C204+D204-E204-G204),2)</x:f>
        <x:v>0</x:v>
      </x:c>
      <x:c r="I204" s="6" t="n">
        <x:f>N203</x:f>
        <x:v>0</x:v>
      </x:c>
      <x:c r="J204" s="6" t="n">
        <x:f>ROUND(I204*'Debt strategy'!$D$10/12,2)</x:f>
        <x:v>0</x:v>
      </x:c>
      <x:c r="K204" s="6" t="n">
        <x:f>MIN(I204+J204,'Debt strategy'!$E$10)</x:f>
        <x:v>0</x:v>
      </x:c>
      <x:c r="L204" s="27" t="n">
        <x:f>IF(I204+J204-K204&lt;=0,99,1+SUM(IF(AND(C204+D204-E204&gt;0,OR(C204+D204-E204&lt;I204+J204-K204,AND(C204+D204-E204=I204+J204-K204,0&lt;1))),1,0),IF(AND(O204+P204-Q204&gt;0,OR(O204+P204-Q204&lt;I204+J204-K204,AND(O204+P204-Q204=I204+J204-K204,2&lt;1))),1,0),IF(AND(U204+V204-W204&gt;0,OR(U204+V204-W204&lt;I204+J204-K204,AND(U204+V204-W204=I204+J204-K204,3&lt;1))),1,0),IF(AND(AA204+AB204-AC204&gt;0,OR(AA204+AB204-AC204&lt;I204+J204-K204,AND(AA204+AB204-AC204=I204+J204-K204,4&lt;1))),1,0)))</x:f>
        <x:v>99</x:v>
      </x:c>
      <x:c r="M204" s="6" t="n">
        <x:f>IF('Debt strategy'!$C$16&gt;0,0,MIN(I204+J204-K204,MAX(0,'Debt strategy'!$C$5-SUM(E204,K204,Q204,W204,AC204)-SUM(IF(F204&lt;L204,C204+D204-E204,0),IF(R204&lt;L204,O204+P204-Q204,0),IF(X204&lt;L204,U204+V204-W204,0),IF(AD204&lt;L204,AA204+AB204-AC204,0)))))</x:f>
        <x:v>0</x:v>
      </x:c>
      <x:c r="N204" s="6" t="n">
        <x:f>ROUND(MAX(0,I204+J204-K204-M204),2)</x:f>
        <x:v>0</x:v>
      </x:c>
      <x:c r="O204" s="6" t="n">
        <x:f>T203</x:f>
        <x:v>0</x:v>
      </x:c>
      <x:c r="P204" s="6" t="n">
        <x:f>ROUND(O204*'Debt strategy'!$D$11/12,2)</x:f>
        <x:v>0</x:v>
      </x:c>
      <x:c r="Q204" s="6" t="n">
        <x:f>MIN(O204+P204,'Debt strategy'!$E$11)</x:f>
        <x:v>0</x:v>
      </x:c>
      <x:c r="R204" s="27" t="n">
        <x:f>IF(O204+P204-Q204&lt;=0,99,1+SUM(IF(AND(C204+D204-E204&gt;0,OR(C204+D204-E204&lt;O204+P204-Q204,AND(C204+D204-E204=O204+P204-Q204,0&lt;2))),1,0),IF(AND(I204+J204-K204&gt;0,OR(I204+J204-K204&lt;O204+P204-Q204,AND(I204+J204-K204=O204+P204-Q204,1&lt;2))),1,0),IF(AND(U204+V204-W204&gt;0,OR(U204+V204-W204&lt;O204+P204-Q204,AND(U204+V204-W204=O204+P204-Q204,3&lt;2))),1,0),IF(AND(AA204+AB204-AC204&gt;0,OR(AA204+AB204-AC204&lt;O204+P204-Q204,AND(AA204+AB204-AC204=O204+P204-Q204,4&lt;2))),1,0)))</x:f>
        <x:v>99</x:v>
      </x:c>
      <x:c r="S204" s="6" t="n">
        <x:f>IF('Debt strategy'!$C$16&gt;0,0,MIN(O204+P204-Q204,MAX(0,'Debt strategy'!$C$5-SUM(E204,K204,Q204,W204,AC204)-SUM(IF(F204&lt;R204,C204+D204-E204,0),IF(L204&lt;R204,I204+J204-K204,0),IF(X204&lt;R204,U204+V204-W204,0),IF(AD204&lt;R204,AA204+AB204-AC204,0)))))</x:f>
        <x:v>0</x:v>
      </x:c>
      <x:c r="T204" s="6" t="n">
        <x:f>ROUND(MAX(0,O204+P204-Q204-S204),2)</x:f>
        <x:v>0</x:v>
      </x:c>
      <x:c r="U204" s="6" t="n">
        <x:f>Z203</x:f>
        <x:v>0</x:v>
      </x:c>
      <x:c r="V204" s="6" t="n">
        <x:f>ROUND(U204*'Debt strategy'!$D$12/12,2)</x:f>
        <x:v>0</x:v>
      </x:c>
      <x:c r="W204" s="6" t="n">
        <x:f>MIN(U204+V204,'Debt strategy'!$E$12)</x:f>
        <x:v>0</x:v>
      </x:c>
      <x:c r="X204" s="27" t="n">
        <x:f>IF(U204+V204-W204&lt;=0,99,1+SUM(IF(AND(C204+D204-E204&gt;0,OR(C204+D204-E204&lt;U204+V204-W204,AND(C204+D204-E204=U204+V204-W204,0&lt;3))),1,0),IF(AND(I204+J204-K204&gt;0,OR(I204+J204-K204&lt;U204+V204-W204,AND(I204+J204-K204=U204+V204-W204,1&lt;3))),1,0),IF(AND(O204+P204-Q204&gt;0,OR(O204+P204-Q204&lt;U204+V204-W204,AND(O204+P204-Q204=U204+V204-W204,2&lt;3))),1,0),IF(AND(AA204+AB204-AC204&gt;0,OR(AA204+AB204-AC204&lt;U204+V204-W204,AND(AA204+AB204-AC204=U204+V204-W204,4&lt;3))),1,0)))</x:f>
        <x:v>99</x:v>
      </x:c>
      <x:c r="Y204" s="6" t="n">
        <x:f>IF('Debt strategy'!$C$16&gt;0,0,MIN(U204+V204-W204,MAX(0,'Debt strategy'!$C$5-SUM(E204,K204,Q204,W204,AC204)-SUM(IF(F204&lt;X204,C204+D204-E204,0),IF(L204&lt;X204,I204+J204-K204,0),IF(R204&lt;X204,O204+P204-Q204,0),IF(AD204&lt;X204,AA204+AB204-AC204,0)))))</x:f>
        <x:v>0</x:v>
      </x:c>
      <x:c r="Z204" s="6" t="n">
        <x:f>ROUND(MAX(0,U204+V204-W204-Y204),2)</x:f>
        <x:v>0</x:v>
      </x:c>
      <x:c r="AA204" s="6" t="n">
        <x:f>AF203</x:f>
        <x:v>0</x:v>
      </x:c>
      <x:c r="AB204" s="6" t="n">
        <x:f>ROUND(AA204*'Debt strategy'!$D$13/12,2)</x:f>
        <x:v>0</x:v>
      </x:c>
      <x:c r="AC204" s="6" t="n">
        <x:f>MIN(AA204+AB204,'Debt strategy'!$E$13)</x:f>
        <x:v>0</x:v>
      </x:c>
      <x:c r="AD204" s="27" t="n">
        <x:f>IF(AA204+AB204-AC204&lt;=0,99,1+SUM(IF(AND(C204+D204-E204&gt;0,OR(C204+D204-E204&lt;AA204+AB204-AC204,AND(C204+D204-E204=AA204+AB204-AC204,0&lt;4))),1,0),IF(AND(I204+J204-K204&gt;0,OR(I204+J204-K204&lt;AA204+AB204-AC204,AND(I204+J204-K204=AA204+AB204-AC204,1&lt;4))),1,0),IF(AND(O204+P204-Q204&gt;0,OR(O204+P204-Q204&lt;AA204+AB204-AC204,AND(O204+P204-Q204=AA204+AB204-AC204,2&lt;4))),1,0),IF(AND(U204+V204-W204&gt;0,OR(U204+V204-W204&lt;AA204+AB204-AC204,AND(U204+V204-W204=AA204+AB204-AC204,3&lt;4))),1,0)))</x:f>
        <x:v>99</x:v>
      </x:c>
      <x:c r="AE204" s="6" t="n">
        <x:f>IF('Debt strategy'!$C$16&gt;0,0,MIN(AA204+AB204-AC204,MAX(0,'Debt strategy'!$C$5-SUM(E204,K204,Q204,W204,AC204)-SUM(IF(F204&lt;AD204,C204+D204-E204,0),IF(L204&lt;AD204,I204+J204-K204,0),IF(R204&lt;AD204,O204+P204-Q204,0),IF(X204&lt;AD204,U204+V204-W204,0)))))</x:f>
        <x:v>0</x:v>
      </x:c>
      <x:c r="AF204" s="6" t="n">
        <x:f>ROUND(MAX(0,AA204+AB204-AC204-AE204),2)</x:f>
        <x:v>0</x:v>
      </x:c>
      <x:c r="AG204" s="6" t="n">
        <x:f>SUM(H204,N204,T204,Z204,AF204)</x:f>
        <x:v>0</x:v>
      </x:c>
      <x:c r="AH204" s="6" t="n">
        <x:f>SUM(D204,J204,P204,V204,AB204)+AH203</x:f>
        <x:v>1353.9499999999996</x:v>
      </x:c>
      <x:c r="AI204" s="2"/>
    </x:row>
    <x:row r="205" ht="23" customHeight="1">
      <x:c r="B205" s="2" t="n">
        <x:f>197</x:f>
        <x:v>197</x:v>
      </x:c>
      <x:c r="C205" s="6" t="n">
        <x:f>H204</x:f>
        <x:v>0</x:v>
      </x:c>
      <x:c r="D205" s="6" t="n">
        <x:f>ROUND(C205*'Debt strategy'!$D$9/12,2)</x:f>
        <x:v>0</x:v>
      </x:c>
      <x:c r="E205" s="6" t="n">
        <x:f>MIN(C205+D205,'Debt strategy'!$E$9)</x:f>
        <x:v>0</x:v>
      </x:c>
      <x:c r="F205" s="27" t="n">
        <x:f>IF(C205+D205-E205&lt;=0,99,1+SUM(IF(AND(I205+J205-K205&gt;0,OR(I205+J205-K205&lt;C205+D205-E205,AND(I205+J205-K205=C205+D205-E205,1&lt;0))),1,0),IF(AND(O205+P205-Q205&gt;0,OR(O205+P205-Q205&lt;C205+D205-E205,AND(O205+P205-Q205=C205+D205-E205,2&lt;0))),1,0),IF(AND(U205+V205-W205&gt;0,OR(U205+V205-W205&lt;C205+D205-E205,AND(U205+V205-W205=C205+D205-E205,3&lt;0))),1,0),IF(AND(AA205+AB205-AC205&gt;0,OR(AA205+AB205-AC205&lt;C205+D205-E205,AND(AA205+AB205-AC205=C205+D205-E205,4&lt;0))),1,0)))</x:f>
        <x:v>99</x:v>
      </x:c>
      <x:c r="G205" s="6" t="n">
        <x:f>IF('Debt strategy'!$C$16&gt;0,0,MIN(C205+D205-E205,MAX(0,'Debt strategy'!$C$5-SUM(E205,K205,Q205,W205,AC205)-SUM(IF(L205&lt;F205,I205+J205-K205,0),IF(R205&lt;F205,O205+P205-Q205,0),IF(X205&lt;F205,U205+V205-W205,0),IF(AD205&lt;F205,AA205+AB205-AC205,0)))))</x:f>
        <x:v>0</x:v>
      </x:c>
      <x:c r="H205" s="6" t="n">
        <x:f>ROUND(MAX(0,C205+D205-E205-G205),2)</x:f>
        <x:v>0</x:v>
      </x:c>
      <x:c r="I205" s="6" t="n">
        <x:f>N204</x:f>
        <x:v>0</x:v>
      </x:c>
      <x:c r="J205" s="6" t="n">
        <x:f>ROUND(I205*'Debt strategy'!$D$10/12,2)</x:f>
        <x:v>0</x:v>
      </x:c>
      <x:c r="K205" s="6" t="n">
        <x:f>MIN(I205+J205,'Debt strategy'!$E$10)</x:f>
        <x:v>0</x:v>
      </x:c>
      <x:c r="L205" s="27" t="n">
        <x:f>IF(I205+J205-K205&lt;=0,99,1+SUM(IF(AND(C205+D205-E205&gt;0,OR(C205+D205-E205&lt;I205+J205-K205,AND(C205+D205-E205=I205+J205-K205,0&lt;1))),1,0),IF(AND(O205+P205-Q205&gt;0,OR(O205+P205-Q205&lt;I205+J205-K205,AND(O205+P205-Q205=I205+J205-K205,2&lt;1))),1,0),IF(AND(U205+V205-W205&gt;0,OR(U205+V205-W205&lt;I205+J205-K205,AND(U205+V205-W205=I205+J205-K205,3&lt;1))),1,0),IF(AND(AA205+AB205-AC205&gt;0,OR(AA205+AB205-AC205&lt;I205+J205-K205,AND(AA205+AB205-AC205=I205+J205-K205,4&lt;1))),1,0)))</x:f>
        <x:v>99</x:v>
      </x:c>
      <x:c r="M205" s="6" t="n">
        <x:f>IF('Debt strategy'!$C$16&gt;0,0,MIN(I205+J205-K205,MAX(0,'Debt strategy'!$C$5-SUM(E205,K205,Q205,W205,AC205)-SUM(IF(F205&lt;L205,C205+D205-E205,0),IF(R205&lt;L205,O205+P205-Q205,0),IF(X205&lt;L205,U205+V205-W205,0),IF(AD205&lt;L205,AA205+AB205-AC205,0)))))</x:f>
        <x:v>0</x:v>
      </x:c>
      <x:c r="N205" s="6" t="n">
        <x:f>ROUND(MAX(0,I205+J205-K205-M205),2)</x:f>
        <x:v>0</x:v>
      </x:c>
      <x:c r="O205" s="6" t="n">
        <x:f>T204</x:f>
        <x:v>0</x:v>
      </x:c>
      <x:c r="P205" s="6" t="n">
        <x:f>ROUND(O205*'Debt strategy'!$D$11/12,2)</x:f>
        <x:v>0</x:v>
      </x:c>
      <x:c r="Q205" s="6" t="n">
        <x:f>MIN(O205+P205,'Debt strategy'!$E$11)</x:f>
        <x:v>0</x:v>
      </x:c>
      <x:c r="R205" s="27" t="n">
        <x:f>IF(O205+P205-Q205&lt;=0,99,1+SUM(IF(AND(C205+D205-E205&gt;0,OR(C205+D205-E205&lt;O205+P205-Q205,AND(C205+D205-E205=O205+P205-Q205,0&lt;2))),1,0),IF(AND(I205+J205-K205&gt;0,OR(I205+J205-K205&lt;O205+P205-Q205,AND(I205+J205-K205=O205+P205-Q205,1&lt;2))),1,0),IF(AND(U205+V205-W205&gt;0,OR(U205+V205-W205&lt;O205+P205-Q205,AND(U205+V205-W205=O205+P205-Q205,3&lt;2))),1,0),IF(AND(AA205+AB205-AC205&gt;0,OR(AA205+AB205-AC205&lt;O205+P205-Q205,AND(AA205+AB205-AC205=O205+P205-Q205,4&lt;2))),1,0)))</x:f>
        <x:v>99</x:v>
      </x:c>
      <x:c r="S205" s="6" t="n">
        <x:f>IF('Debt strategy'!$C$16&gt;0,0,MIN(O205+P205-Q205,MAX(0,'Debt strategy'!$C$5-SUM(E205,K205,Q205,W205,AC205)-SUM(IF(F205&lt;R205,C205+D205-E205,0),IF(L205&lt;R205,I205+J205-K205,0),IF(X205&lt;R205,U205+V205-W205,0),IF(AD205&lt;R205,AA205+AB205-AC205,0)))))</x:f>
        <x:v>0</x:v>
      </x:c>
      <x:c r="T205" s="6" t="n">
        <x:f>ROUND(MAX(0,O205+P205-Q205-S205),2)</x:f>
        <x:v>0</x:v>
      </x:c>
      <x:c r="U205" s="6" t="n">
        <x:f>Z204</x:f>
        <x:v>0</x:v>
      </x:c>
      <x:c r="V205" s="6" t="n">
        <x:f>ROUND(U205*'Debt strategy'!$D$12/12,2)</x:f>
        <x:v>0</x:v>
      </x:c>
      <x:c r="W205" s="6" t="n">
        <x:f>MIN(U205+V205,'Debt strategy'!$E$12)</x:f>
        <x:v>0</x:v>
      </x:c>
      <x:c r="X205" s="27" t="n">
        <x:f>IF(U205+V205-W205&lt;=0,99,1+SUM(IF(AND(C205+D205-E205&gt;0,OR(C205+D205-E205&lt;U205+V205-W205,AND(C205+D205-E205=U205+V205-W205,0&lt;3))),1,0),IF(AND(I205+J205-K205&gt;0,OR(I205+J205-K205&lt;U205+V205-W205,AND(I205+J205-K205=U205+V205-W205,1&lt;3))),1,0),IF(AND(O205+P205-Q205&gt;0,OR(O205+P205-Q205&lt;U205+V205-W205,AND(O205+P205-Q205=U205+V205-W205,2&lt;3))),1,0),IF(AND(AA205+AB205-AC205&gt;0,OR(AA205+AB205-AC205&lt;U205+V205-W205,AND(AA205+AB205-AC205=U205+V205-W205,4&lt;3))),1,0)))</x:f>
        <x:v>99</x:v>
      </x:c>
      <x:c r="Y205" s="6" t="n">
        <x:f>IF('Debt strategy'!$C$16&gt;0,0,MIN(U205+V205-W205,MAX(0,'Debt strategy'!$C$5-SUM(E205,K205,Q205,W205,AC205)-SUM(IF(F205&lt;X205,C205+D205-E205,0),IF(L205&lt;X205,I205+J205-K205,0),IF(R205&lt;X205,O205+P205-Q205,0),IF(AD205&lt;X205,AA205+AB205-AC205,0)))))</x:f>
        <x:v>0</x:v>
      </x:c>
      <x:c r="Z205" s="6" t="n">
        <x:f>ROUND(MAX(0,U205+V205-W205-Y205),2)</x:f>
        <x:v>0</x:v>
      </x:c>
      <x:c r="AA205" s="6" t="n">
        <x:f>AF204</x:f>
        <x:v>0</x:v>
      </x:c>
      <x:c r="AB205" s="6" t="n">
        <x:f>ROUND(AA205*'Debt strategy'!$D$13/12,2)</x:f>
        <x:v>0</x:v>
      </x:c>
      <x:c r="AC205" s="6" t="n">
        <x:f>MIN(AA205+AB205,'Debt strategy'!$E$13)</x:f>
        <x:v>0</x:v>
      </x:c>
      <x:c r="AD205" s="27" t="n">
        <x:f>IF(AA205+AB205-AC205&lt;=0,99,1+SUM(IF(AND(C205+D205-E205&gt;0,OR(C205+D205-E205&lt;AA205+AB205-AC205,AND(C205+D205-E205=AA205+AB205-AC205,0&lt;4))),1,0),IF(AND(I205+J205-K205&gt;0,OR(I205+J205-K205&lt;AA205+AB205-AC205,AND(I205+J205-K205=AA205+AB205-AC205,1&lt;4))),1,0),IF(AND(O205+P205-Q205&gt;0,OR(O205+P205-Q205&lt;AA205+AB205-AC205,AND(O205+P205-Q205=AA205+AB205-AC205,2&lt;4))),1,0),IF(AND(U205+V205-W205&gt;0,OR(U205+V205-W205&lt;AA205+AB205-AC205,AND(U205+V205-W205=AA205+AB205-AC205,3&lt;4))),1,0)))</x:f>
        <x:v>99</x:v>
      </x:c>
      <x:c r="AE205" s="6" t="n">
        <x:f>IF('Debt strategy'!$C$16&gt;0,0,MIN(AA205+AB205-AC205,MAX(0,'Debt strategy'!$C$5-SUM(E205,K205,Q205,W205,AC205)-SUM(IF(F205&lt;AD205,C205+D205-E205,0),IF(L205&lt;AD205,I205+J205-K205,0),IF(R205&lt;AD205,O205+P205-Q205,0),IF(X205&lt;AD205,U205+V205-W205,0)))))</x:f>
        <x:v>0</x:v>
      </x:c>
      <x:c r="AF205" s="6" t="n">
        <x:f>ROUND(MAX(0,AA205+AB205-AC205-AE205),2)</x:f>
        <x:v>0</x:v>
      </x:c>
      <x:c r="AG205" s="6" t="n">
        <x:f>SUM(H205,N205,T205,Z205,AF205)</x:f>
        <x:v>0</x:v>
      </x:c>
      <x:c r="AH205" s="6" t="n">
        <x:f>SUM(D205,J205,P205,V205,AB205)+AH204</x:f>
        <x:v>1353.9499999999996</x:v>
      </x:c>
      <x:c r="AI205" s="2"/>
    </x:row>
    <x:row r="206" ht="23" customHeight="1">
      <x:c r="B206" s="2" t="n">
        <x:f>198</x:f>
        <x:v>198</x:v>
      </x:c>
      <x:c r="C206" s="6" t="n">
        <x:f>H205</x:f>
        <x:v>0</x:v>
      </x:c>
      <x:c r="D206" s="6" t="n">
        <x:f>ROUND(C206*'Debt strategy'!$D$9/12,2)</x:f>
        <x:v>0</x:v>
      </x:c>
      <x:c r="E206" s="6" t="n">
        <x:f>MIN(C206+D206,'Debt strategy'!$E$9)</x:f>
        <x:v>0</x:v>
      </x:c>
      <x:c r="F206" s="27" t="n">
        <x:f>IF(C206+D206-E206&lt;=0,99,1+SUM(IF(AND(I206+J206-K206&gt;0,OR(I206+J206-K206&lt;C206+D206-E206,AND(I206+J206-K206=C206+D206-E206,1&lt;0))),1,0),IF(AND(O206+P206-Q206&gt;0,OR(O206+P206-Q206&lt;C206+D206-E206,AND(O206+P206-Q206=C206+D206-E206,2&lt;0))),1,0),IF(AND(U206+V206-W206&gt;0,OR(U206+V206-W206&lt;C206+D206-E206,AND(U206+V206-W206=C206+D206-E206,3&lt;0))),1,0),IF(AND(AA206+AB206-AC206&gt;0,OR(AA206+AB206-AC206&lt;C206+D206-E206,AND(AA206+AB206-AC206=C206+D206-E206,4&lt;0))),1,0)))</x:f>
        <x:v>99</x:v>
      </x:c>
      <x:c r="G206" s="6" t="n">
        <x:f>IF('Debt strategy'!$C$16&gt;0,0,MIN(C206+D206-E206,MAX(0,'Debt strategy'!$C$5-SUM(E206,K206,Q206,W206,AC206)-SUM(IF(L206&lt;F206,I206+J206-K206,0),IF(R206&lt;F206,O206+P206-Q206,0),IF(X206&lt;F206,U206+V206-W206,0),IF(AD206&lt;F206,AA206+AB206-AC206,0)))))</x:f>
        <x:v>0</x:v>
      </x:c>
      <x:c r="H206" s="6" t="n">
        <x:f>ROUND(MAX(0,C206+D206-E206-G206),2)</x:f>
        <x:v>0</x:v>
      </x:c>
      <x:c r="I206" s="6" t="n">
        <x:f>N205</x:f>
        <x:v>0</x:v>
      </x:c>
      <x:c r="J206" s="6" t="n">
        <x:f>ROUND(I206*'Debt strategy'!$D$10/12,2)</x:f>
        <x:v>0</x:v>
      </x:c>
      <x:c r="K206" s="6" t="n">
        <x:f>MIN(I206+J206,'Debt strategy'!$E$10)</x:f>
        <x:v>0</x:v>
      </x:c>
      <x:c r="L206" s="27" t="n">
        <x:f>IF(I206+J206-K206&lt;=0,99,1+SUM(IF(AND(C206+D206-E206&gt;0,OR(C206+D206-E206&lt;I206+J206-K206,AND(C206+D206-E206=I206+J206-K206,0&lt;1))),1,0),IF(AND(O206+P206-Q206&gt;0,OR(O206+P206-Q206&lt;I206+J206-K206,AND(O206+P206-Q206=I206+J206-K206,2&lt;1))),1,0),IF(AND(U206+V206-W206&gt;0,OR(U206+V206-W206&lt;I206+J206-K206,AND(U206+V206-W206=I206+J206-K206,3&lt;1))),1,0),IF(AND(AA206+AB206-AC206&gt;0,OR(AA206+AB206-AC206&lt;I206+J206-K206,AND(AA206+AB206-AC206=I206+J206-K206,4&lt;1))),1,0)))</x:f>
        <x:v>99</x:v>
      </x:c>
      <x:c r="M206" s="6" t="n">
        <x:f>IF('Debt strategy'!$C$16&gt;0,0,MIN(I206+J206-K206,MAX(0,'Debt strategy'!$C$5-SUM(E206,K206,Q206,W206,AC206)-SUM(IF(F206&lt;L206,C206+D206-E206,0),IF(R206&lt;L206,O206+P206-Q206,0),IF(X206&lt;L206,U206+V206-W206,0),IF(AD206&lt;L206,AA206+AB206-AC206,0)))))</x:f>
        <x:v>0</x:v>
      </x:c>
      <x:c r="N206" s="6" t="n">
        <x:f>ROUND(MAX(0,I206+J206-K206-M206),2)</x:f>
        <x:v>0</x:v>
      </x:c>
      <x:c r="O206" s="6" t="n">
        <x:f>T205</x:f>
        <x:v>0</x:v>
      </x:c>
      <x:c r="P206" s="6" t="n">
        <x:f>ROUND(O206*'Debt strategy'!$D$11/12,2)</x:f>
        <x:v>0</x:v>
      </x:c>
      <x:c r="Q206" s="6" t="n">
        <x:f>MIN(O206+P206,'Debt strategy'!$E$11)</x:f>
        <x:v>0</x:v>
      </x:c>
      <x:c r="R206" s="27" t="n">
        <x:f>IF(O206+P206-Q206&lt;=0,99,1+SUM(IF(AND(C206+D206-E206&gt;0,OR(C206+D206-E206&lt;O206+P206-Q206,AND(C206+D206-E206=O206+P206-Q206,0&lt;2))),1,0),IF(AND(I206+J206-K206&gt;0,OR(I206+J206-K206&lt;O206+P206-Q206,AND(I206+J206-K206=O206+P206-Q206,1&lt;2))),1,0),IF(AND(U206+V206-W206&gt;0,OR(U206+V206-W206&lt;O206+P206-Q206,AND(U206+V206-W206=O206+P206-Q206,3&lt;2))),1,0),IF(AND(AA206+AB206-AC206&gt;0,OR(AA206+AB206-AC206&lt;O206+P206-Q206,AND(AA206+AB206-AC206=O206+P206-Q206,4&lt;2))),1,0)))</x:f>
        <x:v>99</x:v>
      </x:c>
      <x:c r="S206" s="6" t="n">
        <x:f>IF('Debt strategy'!$C$16&gt;0,0,MIN(O206+P206-Q206,MAX(0,'Debt strategy'!$C$5-SUM(E206,K206,Q206,W206,AC206)-SUM(IF(F206&lt;R206,C206+D206-E206,0),IF(L206&lt;R206,I206+J206-K206,0),IF(X206&lt;R206,U206+V206-W206,0),IF(AD206&lt;R206,AA206+AB206-AC206,0)))))</x:f>
        <x:v>0</x:v>
      </x:c>
      <x:c r="T206" s="6" t="n">
        <x:f>ROUND(MAX(0,O206+P206-Q206-S206),2)</x:f>
        <x:v>0</x:v>
      </x:c>
      <x:c r="U206" s="6" t="n">
        <x:f>Z205</x:f>
        <x:v>0</x:v>
      </x:c>
      <x:c r="V206" s="6" t="n">
        <x:f>ROUND(U206*'Debt strategy'!$D$12/12,2)</x:f>
        <x:v>0</x:v>
      </x:c>
      <x:c r="W206" s="6" t="n">
        <x:f>MIN(U206+V206,'Debt strategy'!$E$12)</x:f>
        <x:v>0</x:v>
      </x:c>
      <x:c r="X206" s="27" t="n">
        <x:f>IF(U206+V206-W206&lt;=0,99,1+SUM(IF(AND(C206+D206-E206&gt;0,OR(C206+D206-E206&lt;U206+V206-W206,AND(C206+D206-E206=U206+V206-W206,0&lt;3))),1,0),IF(AND(I206+J206-K206&gt;0,OR(I206+J206-K206&lt;U206+V206-W206,AND(I206+J206-K206=U206+V206-W206,1&lt;3))),1,0),IF(AND(O206+P206-Q206&gt;0,OR(O206+P206-Q206&lt;U206+V206-W206,AND(O206+P206-Q206=U206+V206-W206,2&lt;3))),1,0),IF(AND(AA206+AB206-AC206&gt;0,OR(AA206+AB206-AC206&lt;U206+V206-W206,AND(AA206+AB206-AC206=U206+V206-W206,4&lt;3))),1,0)))</x:f>
        <x:v>99</x:v>
      </x:c>
      <x:c r="Y206" s="6" t="n">
        <x:f>IF('Debt strategy'!$C$16&gt;0,0,MIN(U206+V206-W206,MAX(0,'Debt strategy'!$C$5-SUM(E206,K206,Q206,W206,AC206)-SUM(IF(F206&lt;X206,C206+D206-E206,0),IF(L206&lt;X206,I206+J206-K206,0),IF(R206&lt;X206,O206+P206-Q206,0),IF(AD206&lt;X206,AA206+AB206-AC206,0)))))</x:f>
        <x:v>0</x:v>
      </x:c>
      <x:c r="Z206" s="6" t="n">
        <x:f>ROUND(MAX(0,U206+V206-W206-Y206),2)</x:f>
        <x:v>0</x:v>
      </x:c>
      <x:c r="AA206" s="6" t="n">
        <x:f>AF205</x:f>
        <x:v>0</x:v>
      </x:c>
      <x:c r="AB206" s="6" t="n">
        <x:f>ROUND(AA206*'Debt strategy'!$D$13/12,2)</x:f>
        <x:v>0</x:v>
      </x:c>
      <x:c r="AC206" s="6" t="n">
        <x:f>MIN(AA206+AB206,'Debt strategy'!$E$13)</x:f>
        <x:v>0</x:v>
      </x:c>
      <x:c r="AD206" s="27" t="n">
        <x:f>IF(AA206+AB206-AC206&lt;=0,99,1+SUM(IF(AND(C206+D206-E206&gt;0,OR(C206+D206-E206&lt;AA206+AB206-AC206,AND(C206+D206-E206=AA206+AB206-AC206,0&lt;4))),1,0),IF(AND(I206+J206-K206&gt;0,OR(I206+J206-K206&lt;AA206+AB206-AC206,AND(I206+J206-K206=AA206+AB206-AC206,1&lt;4))),1,0),IF(AND(O206+P206-Q206&gt;0,OR(O206+P206-Q206&lt;AA206+AB206-AC206,AND(O206+P206-Q206=AA206+AB206-AC206,2&lt;4))),1,0),IF(AND(U206+V206-W206&gt;0,OR(U206+V206-W206&lt;AA206+AB206-AC206,AND(U206+V206-W206=AA206+AB206-AC206,3&lt;4))),1,0)))</x:f>
        <x:v>99</x:v>
      </x:c>
      <x:c r="AE206" s="6" t="n">
        <x:f>IF('Debt strategy'!$C$16&gt;0,0,MIN(AA206+AB206-AC206,MAX(0,'Debt strategy'!$C$5-SUM(E206,K206,Q206,W206,AC206)-SUM(IF(F206&lt;AD206,C206+D206-E206,0),IF(L206&lt;AD206,I206+J206-K206,0),IF(R206&lt;AD206,O206+P206-Q206,0),IF(X206&lt;AD206,U206+V206-W206,0)))))</x:f>
        <x:v>0</x:v>
      </x:c>
      <x:c r="AF206" s="6" t="n">
        <x:f>ROUND(MAX(0,AA206+AB206-AC206-AE206),2)</x:f>
        <x:v>0</x:v>
      </x:c>
      <x:c r="AG206" s="6" t="n">
        <x:f>SUM(H206,N206,T206,Z206,AF206)</x:f>
        <x:v>0</x:v>
      </x:c>
      <x:c r="AH206" s="6" t="n">
        <x:f>SUM(D206,J206,P206,V206,AB206)+AH205</x:f>
        <x:v>1353.9499999999996</x:v>
      </x:c>
      <x:c r="AI206" s="2"/>
    </x:row>
    <x:row r="207" ht="23" customHeight="1">
      <x:c r="B207" s="2" t="n">
        <x:f>199</x:f>
        <x:v>199</x:v>
      </x:c>
      <x:c r="C207" s="6" t="n">
        <x:f>H206</x:f>
        <x:v>0</x:v>
      </x:c>
      <x:c r="D207" s="6" t="n">
        <x:f>ROUND(C207*'Debt strategy'!$D$9/12,2)</x:f>
        <x:v>0</x:v>
      </x:c>
      <x:c r="E207" s="6" t="n">
        <x:f>MIN(C207+D207,'Debt strategy'!$E$9)</x:f>
        <x:v>0</x:v>
      </x:c>
      <x:c r="F207" s="27" t="n">
        <x:f>IF(C207+D207-E207&lt;=0,99,1+SUM(IF(AND(I207+J207-K207&gt;0,OR(I207+J207-K207&lt;C207+D207-E207,AND(I207+J207-K207=C207+D207-E207,1&lt;0))),1,0),IF(AND(O207+P207-Q207&gt;0,OR(O207+P207-Q207&lt;C207+D207-E207,AND(O207+P207-Q207=C207+D207-E207,2&lt;0))),1,0),IF(AND(U207+V207-W207&gt;0,OR(U207+V207-W207&lt;C207+D207-E207,AND(U207+V207-W207=C207+D207-E207,3&lt;0))),1,0),IF(AND(AA207+AB207-AC207&gt;0,OR(AA207+AB207-AC207&lt;C207+D207-E207,AND(AA207+AB207-AC207=C207+D207-E207,4&lt;0))),1,0)))</x:f>
        <x:v>99</x:v>
      </x:c>
      <x:c r="G207" s="6" t="n">
        <x:f>IF('Debt strategy'!$C$16&gt;0,0,MIN(C207+D207-E207,MAX(0,'Debt strategy'!$C$5-SUM(E207,K207,Q207,W207,AC207)-SUM(IF(L207&lt;F207,I207+J207-K207,0),IF(R207&lt;F207,O207+P207-Q207,0),IF(X207&lt;F207,U207+V207-W207,0),IF(AD207&lt;F207,AA207+AB207-AC207,0)))))</x:f>
        <x:v>0</x:v>
      </x:c>
      <x:c r="H207" s="6" t="n">
        <x:f>ROUND(MAX(0,C207+D207-E207-G207),2)</x:f>
        <x:v>0</x:v>
      </x:c>
      <x:c r="I207" s="6" t="n">
        <x:f>N206</x:f>
        <x:v>0</x:v>
      </x:c>
      <x:c r="J207" s="6" t="n">
        <x:f>ROUND(I207*'Debt strategy'!$D$10/12,2)</x:f>
        <x:v>0</x:v>
      </x:c>
      <x:c r="K207" s="6" t="n">
        <x:f>MIN(I207+J207,'Debt strategy'!$E$10)</x:f>
        <x:v>0</x:v>
      </x:c>
      <x:c r="L207" s="27" t="n">
        <x:f>IF(I207+J207-K207&lt;=0,99,1+SUM(IF(AND(C207+D207-E207&gt;0,OR(C207+D207-E207&lt;I207+J207-K207,AND(C207+D207-E207=I207+J207-K207,0&lt;1))),1,0),IF(AND(O207+P207-Q207&gt;0,OR(O207+P207-Q207&lt;I207+J207-K207,AND(O207+P207-Q207=I207+J207-K207,2&lt;1))),1,0),IF(AND(U207+V207-W207&gt;0,OR(U207+V207-W207&lt;I207+J207-K207,AND(U207+V207-W207=I207+J207-K207,3&lt;1))),1,0),IF(AND(AA207+AB207-AC207&gt;0,OR(AA207+AB207-AC207&lt;I207+J207-K207,AND(AA207+AB207-AC207=I207+J207-K207,4&lt;1))),1,0)))</x:f>
        <x:v>99</x:v>
      </x:c>
      <x:c r="M207" s="6" t="n">
        <x:f>IF('Debt strategy'!$C$16&gt;0,0,MIN(I207+J207-K207,MAX(0,'Debt strategy'!$C$5-SUM(E207,K207,Q207,W207,AC207)-SUM(IF(F207&lt;L207,C207+D207-E207,0),IF(R207&lt;L207,O207+P207-Q207,0),IF(X207&lt;L207,U207+V207-W207,0),IF(AD207&lt;L207,AA207+AB207-AC207,0)))))</x:f>
        <x:v>0</x:v>
      </x:c>
      <x:c r="N207" s="6" t="n">
        <x:f>ROUND(MAX(0,I207+J207-K207-M207),2)</x:f>
        <x:v>0</x:v>
      </x:c>
      <x:c r="O207" s="6" t="n">
        <x:f>T206</x:f>
        <x:v>0</x:v>
      </x:c>
      <x:c r="P207" s="6" t="n">
        <x:f>ROUND(O207*'Debt strategy'!$D$11/12,2)</x:f>
        <x:v>0</x:v>
      </x:c>
      <x:c r="Q207" s="6" t="n">
        <x:f>MIN(O207+P207,'Debt strategy'!$E$11)</x:f>
        <x:v>0</x:v>
      </x:c>
      <x:c r="R207" s="27" t="n">
        <x:f>IF(O207+P207-Q207&lt;=0,99,1+SUM(IF(AND(C207+D207-E207&gt;0,OR(C207+D207-E207&lt;O207+P207-Q207,AND(C207+D207-E207=O207+P207-Q207,0&lt;2))),1,0),IF(AND(I207+J207-K207&gt;0,OR(I207+J207-K207&lt;O207+P207-Q207,AND(I207+J207-K207=O207+P207-Q207,1&lt;2))),1,0),IF(AND(U207+V207-W207&gt;0,OR(U207+V207-W207&lt;O207+P207-Q207,AND(U207+V207-W207=O207+P207-Q207,3&lt;2))),1,0),IF(AND(AA207+AB207-AC207&gt;0,OR(AA207+AB207-AC207&lt;O207+P207-Q207,AND(AA207+AB207-AC207=O207+P207-Q207,4&lt;2))),1,0)))</x:f>
        <x:v>99</x:v>
      </x:c>
      <x:c r="S207" s="6" t="n">
        <x:f>IF('Debt strategy'!$C$16&gt;0,0,MIN(O207+P207-Q207,MAX(0,'Debt strategy'!$C$5-SUM(E207,K207,Q207,W207,AC207)-SUM(IF(F207&lt;R207,C207+D207-E207,0),IF(L207&lt;R207,I207+J207-K207,0),IF(X207&lt;R207,U207+V207-W207,0),IF(AD207&lt;R207,AA207+AB207-AC207,0)))))</x:f>
        <x:v>0</x:v>
      </x:c>
      <x:c r="T207" s="6" t="n">
        <x:f>ROUND(MAX(0,O207+P207-Q207-S207),2)</x:f>
        <x:v>0</x:v>
      </x:c>
      <x:c r="U207" s="6" t="n">
        <x:f>Z206</x:f>
        <x:v>0</x:v>
      </x:c>
      <x:c r="V207" s="6" t="n">
        <x:f>ROUND(U207*'Debt strategy'!$D$12/12,2)</x:f>
        <x:v>0</x:v>
      </x:c>
      <x:c r="W207" s="6" t="n">
        <x:f>MIN(U207+V207,'Debt strategy'!$E$12)</x:f>
        <x:v>0</x:v>
      </x:c>
      <x:c r="X207" s="27" t="n">
        <x:f>IF(U207+V207-W207&lt;=0,99,1+SUM(IF(AND(C207+D207-E207&gt;0,OR(C207+D207-E207&lt;U207+V207-W207,AND(C207+D207-E207=U207+V207-W207,0&lt;3))),1,0),IF(AND(I207+J207-K207&gt;0,OR(I207+J207-K207&lt;U207+V207-W207,AND(I207+J207-K207=U207+V207-W207,1&lt;3))),1,0),IF(AND(O207+P207-Q207&gt;0,OR(O207+P207-Q207&lt;U207+V207-W207,AND(O207+P207-Q207=U207+V207-W207,2&lt;3))),1,0),IF(AND(AA207+AB207-AC207&gt;0,OR(AA207+AB207-AC207&lt;U207+V207-W207,AND(AA207+AB207-AC207=U207+V207-W207,4&lt;3))),1,0)))</x:f>
        <x:v>99</x:v>
      </x:c>
      <x:c r="Y207" s="6" t="n">
        <x:f>IF('Debt strategy'!$C$16&gt;0,0,MIN(U207+V207-W207,MAX(0,'Debt strategy'!$C$5-SUM(E207,K207,Q207,W207,AC207)-SUM(IF(F207&lt;X207,C207+D207-E207,0),IF(L207&lt;X207,I207+J207-K207,0),IF(R207&lt;X207,O207+P207-Q207,0),IF(AD207&lt;X207,AA207+AB207-AC207,0)))))</x:f>
        <x:v>0</x:v>
      </x:c>
      <x:c r="Z207" s="6" t="n">
        <x:f>ROUND(MAX(0,U207+V207-W207-Y207),2)</x:f>
        <x:v>0</x:v>
      </x:c>
      <x:c r="AA207" s="6" t="n">
        <x:f>AF206</x:f>
        <x:v>0</x:v>
      </x:c>
      <x:c r="AB207" s="6" t="n">
        <x:f>ROUND(AA207*'Debt strategy'!$D$13/12,2)</x:f>
        <x:v>0</x:v>
      </x:c>
      <x:c r="AC207" s="6" t="n">
        <x:f>MIN(AA207+AB207,'Debt strategy'!$E$13)</x:f>
        <x:v>0</x:v>
      </x:c>
      <x:c r="AD207" s="27" t="n">
        <x:f>IF(AA207+AB207-AC207&lt;=0,99,1+SUM(IF(AND(C207+D207-E207&gt;0,OR(C207+D207-E207&lt;AA207+AB207-AC207,AND(C207+D207-E207=AA207+AB207-AC207,0&lt;4))),1,0),IF(AND(I207+J207-K207&gt;0,OR(I207+J207-K207&lt;AA207+AB207-AC207,AND(I207+J207-K207=AA207+AB207-AC207,1&lt;4))),1,0),IF(AND(O207+P207-Q207&gt;0,OR(O207+P207-Q207&lt;AA207+AB207-AC207,AND(O207+P207-Q207=AA207+AB207-AC207,2&lt;4))),1,0),IF(AND(U207+V207-W207&gt;0,OR(U207+V207-W207&lt;AA207+AB207-AC207,AND(U207+V207-W207=AA207+AB207-AC207,3&lt;4))),1,0)))</x:f>
        <x:v>99</x:v>
      </x:c>
      <x:c r="AE207" s="6" t="n">
        <x:f>IF('Debt strategy'!$C$16&gt;0,0,MIN(AA207+AB207-AC207,MAX(0,'Debt strategy'!$C$5-SUM(E207,K207,Q207,W207,AC207)-SUM(IF(F207&lt;AD207,C207+D207-E207,0),IF(L207&lt;AD207,I207+J207-K207,0),IF(R207&lt;AD207,O207+P207-Q207,0),IF(X207&lt;AD207,U207+V207-W207,0)))))</x:f>
        <x:v>0</x:v>
      </x:c>
      <x:c r="AF207" s="6" t="n">
        <x:f>ROUND(MAX(0,AA207+AB207-AC207-AE207),2)</x:f>
        <x:v>0</x:v>
      </x:c>
      <x:c r="AG207" s="6" t="n">
        <x:f>SUM(H207,N207,T207,Z207,AF207)</x:f>
        <x:v>0</x:v>
      </x:c>
      <x:c r="AH207" s="6" t="n">
        <x:f>SUM(D207,J207,P207,V207,AB207)+AH206</x:f>
        <x:v>1353.9499999999996</x:v>
      </x:c>
      <x:c r="AI207" s="2"/>
    </x:row>
    <x:row r="208" ht="23" customHeight="1">
      <x:c r="B208" s="2" t="n">
        <x:f>200</x:f>
        <x:v>200</x:v>
      </x:c>
      <x:c r="C208" s="6" t="n">
        <x:f>H207</x:f>
        <x:v>0</x:v>
      </x:c>
      <x:c r="D208" s="6" t="n">
        <x:f>ROUND(C208*'Debt strategy'!$D$9/12,2)</x:f>
        <x:v>0</x:v>
      </x:c>
      <x:c r="E208" s="6" t="n">
        <x:f>MIN(C208+D208,'Debt strategy'!$E$9)</x:f>
        <x:v>0</x:v>
      </x:c>
      <x:c r="F208" s="27" t="n">
        <x:f>IF(C208+D208-E208&lt;=0,99,1+SUM(IF(AND(I208+J208-K208&gt;0,OR(I208+J208-K208&lt;C208+D208-E208,AND(I208+J208-K208=C208+D208-E208,1&lt;0))),1,0),IF(AND(O208+P208-Q208&gt;0,OR(O208+P208-Q208&lt;C208+D208-E208,AND(O208+P208-Q208=C208+D208-E208,2&lt;0))),1,0),IF(AND(U208+V208-W208&gt;0,OR(U208+V208-W208&lt;C208+D208-E208,AND(U208+V208-W208=C208+D208-E208,3&lt;0))),1,0),IF(AND(AA208+AB208-AC208&gt;0,OR(AA208+AB208-AC208&lt;C208+D208-E208,AND(AA208+AB208-AC208=C208+D208-E208,4&lt;0))),1,0)))</x:f>
        <x:v>99</x:v>
      </x:c>
      <x:c r="G208" s="6" t="n">
        <x:f>IF('Debt strategy'!$C$16&gt;0,0,MIN(C208+D208-E208,MAX(0,'Debt strategy'!$C$5-SUM(E208,K208,Q208,W208,AC208)-SUM(IF(L208&lt;F208,I208+J208-K208,0),IF(R208&lt;F208,O208+P208-Q208,0),IF(X208&lt;F208,U208+V208-W208,0),IF(AD208&lt;F208,AA208+AB208-AC208,0)))))</x:f>
        <x:v>0</x:v>
      </x:c>
      <x:c r="H208" s="6" t="n">
        <x:f>ROUND(MAX(0,C208+D208-E208-G208),2)</x:f>
        <x:v>0</x:v>
      </x:c>
      <x:c r="I208" s="6" t="n">
        <x:f>N207</x:f>
        <x:v>0</x:v>
      </x:c>
      <x:c r="J208" s="6" t="n">
        <x:f>ROUND(I208*'Debt strategy'!$D$10/12,2)</x:f>
        <x:v>0</x:v>
      </x:c>
      <x:c r="K208" s="6" t="n">
        <x:f>MIN(I208+J208,'Debt strategy'!$E$10)</x:f>
        <x:v>0</x:v>
      </x:c>
      <x:c r="L208" s="27" t="n">
        <x:f>IF(I208+J208-K208&lt;=0,99,1+SUM(IF(AND(C208+D208-E208&gt;0,OR(C208+D208-E208&lt;I208+J208-K208,AND(C208+D208-E208=I208+J208-K208,0&lt;1))),1,0),IF(AND(O208+P208-Q208&gt;0,OR(O208+P208-Q208&lt;I208+J208-K208,AND(O208+P208-Q208=I208+J208-K208,2&lt;1))),1,0),IF(AND(U208+V208-W208&gt;0,OR(U208+V208-W208&lt;I208+J208-K208,AND(U208+V208-W208=I208+J208-K208,3&lt;1))),1,0),IF(AND(AA208+AB208-AC208&gt;0,OR(AA208+AB208-AC208&lt;I208+J208-K208,AND(AA208+AB208-AC208=I208+J208-K208,4&lt;1))),1,0)))</x:f>
        <x:v>99</x:v>
      </x:c>
      <x:c r="M208" s="6" t="n">
        <x:f>IF('Debt strategy'!$C$16&gt;0,0,MIN(I208+J208-K208,MAX(0,'Debt strategy'!$C$5-SUM(E208,K208,Q208,W208,AC208)-SUM(IF(F208&lt;L208,C208+D208-E208,0),IF(R208&lt;L208,O208+P208-Q208,0),IF(X208&lt;L208,U208+V208-W208,0),IF(AD208&lt;L208,AA208+AB208-AC208,0)))))</x:f>
        <x:v>0</x:v>
      </x:c>
      <x:c r="N208" s="6" t="n">
        <x:f>ROUND(MAX(0,I208+J208-K208-M208),2)</x:f>
        <x:v>0</x:v>
      </x:c>
      <x:c r="O208" s="6" t="n">
        <x:f>T207</x:f>
        <x:v>0</x:v>
      </x:c>
      <x:c r="P208" s="6" t="n">
        <x:f>ROUND(O208*'Debt strategy'!$D$11/12,2)</x:f>
        <x:v>0</x:v>
      </x:c>
      <x:c r="Q208" s="6" t="n">
        <x:f>MIN(O208+P208,'Debt strategy'!$E$11)</x:f>
        <x:v>0</x:v>
      </x:c>
      <x:c r="R208" s="27" t="n">
        <x:f>IF(O208+P208-Q208&lt;=0,99,1+SUM(IF(AND(C208+D208-E208&gt;0,OR(C208+D208-E208&lt;O208+P208-Q208,AND(C208+D208-E208=O208+P208-Q208,0&lt;2))),1,0),IF(AND(I208+J208-K208&gt;0,OR(I208+J208-K208&lt;O208+P208-Q208,AND(I208+J208-K208=O208+P208-Q208,1&lt;2))),1,0),IF(AND(U208+V208-W208&gt;0,OR(U208+V208-W208&lt;O208+P208-Q208,AND(U208+V208-W208=O208+P208-Q208,3&lt;2))),1,0),IF(AND(AA208+AB208-AC208&gt;0,OR(AA208+AB208-AC208&lt;O208+P208-Q208,AND(AA208+AB208-AC208=O208+P208-Q208,4&lt;2))),1,0)))</x:f>
        <x:v>99</x:v>
      </x:c>
      <x:c r="S208" s="6" t="n">
        <x:f>IF('Debt strategy'!$C$16&gt;0,0,MIN(O208+P208-Q208,MAX(0,'Debt strategy'!$C$5-SUM(E208,K208,Q208,W208,AC208)-SUM(IF(F208&lt;R208,C208+D208-E208,0),IF(L208&lt;R208,I208+J208-K208,0),IF(X208&lt;R208,U208+V208-W208,0),IF(AD208&lt;R208,AA208+AB208-AC208,0)))))</x:f>
        <x:v>0</x:v>
      </x:c>
      <x:c r="T208" s="6" t="n">
        <x:f>ROUND(MAX(0,O208+P208-Q208-S208),2)</x:f>
        <x:v>0</x:v>
      </x:c>
      <x:c r="U208" s="6" t="n">
        <x:f>Z207</x:f>
        <x:v>0</x:v>
      </x:c>
      <x:c r="V208" s="6" t="n">
        <x:f>ROUND(U208*'Debt strategy'!$D$12/12,2)</x:f>
        <x:v>0</x:v>
      </x:c>
      <x:c r="W208" s="6" t="n">
        <x:f>MIN(U208+V208,'Debt strategy'!$E$12)</x:f>
        <x:v>0</x:v>
      </x:c>
      <x:c r="X208" s="27" t="n">
        <x:f>IF(U208+V208-W208&lt;=0,99,1+SUM(IF(AND(C208+D208-E208&gt;0,OR(C208+D208-E208&lt;U208+V208-W208,AND(C208+D208-E208=U208+V208-W208,0&lt;3))),1,0),IF(AND(I208+J208-K208&gt;0,OR(I208+J208-K208&lt;U208+V208-W208,AND(I208+J208-K208=U208+V208-W208,1&lt;3))),1,0),IF(AND(O208+P208-Q208&gt;0,OR(O208+P208-Q208&lt;U208+V208-W208,AND(O208+P208-Q208=U208+V208-W208,2&lt;3))),1,0),IF(AND(AA208+AB208-AC208&gt;0,OR(AA208+AB208-AC208&lt;U208+V208-W208,AND(AA208+AB208-AC208=U208+V208-W208,4&lt;3))),1,0)))</x:f>
        <x:v>99</x:v>
      </x:c>
      <x:c r="Y208" s="6" t="n">
        <x:f>IF('Debt strategy'!$C$16&gt;0,0,MIN(U208+V208-W208,MAX(0,'Debt strategy'!$C$5-SUM(E208,K208,Q208,W208,AC208)-SUM(IF(F208&lt;X208,C208+D208-E208,0),IF(L208&lt;X208,I208+J208-K208,0),IF(R208&lt;X208,O208+P208-Q208,0),IF(AD208&lt;X208,AA208+AB208-AC208,0)))))</x:f>
        <x:v>0</x:v>
      </x:c>
      <x:c r="Z208" s="6" t="n">
        <x:f>ROUND(MAX(0,U208+V208-W208-Y208),2)</x:f>
        <x:v>0</x:v>
      </x:c>
      <x:c r="AA208" s="6" t="n">
        <x:f>AF207</x:f>
        <x:v>0</x:v>
      </x:c>
      <x:c r="AB208" s="6" t="n">
        <x:f>ROUND(AA208*'Debt strategy'!$D$13/12,2)</x:f>
        <x:v>0</x:v>
      </x:c>
      <x:c r="AC208" s="6" t="n">
        <x:f>MIN(AA208+AB208,'Debt strategy'!$E$13)</x:f>
        <x:v>0</x:v>
      </x:c>
      <x:c r="AD208" s="27" t="n">
        <x:f>IF(AA208+AB208-AC208&lt;=0,99,1+SUM(IF(AND(C208+D208-E208&gt;0,OR(C208+D208-E208&lt;AA208+AB208-AC208,AND(C208+D208-E208=AA208+AB208-AC208,0&lt;4))),1,0),IF(AND(I208+J208-K208&gt;0,OR(I208+J208-K208&lt;AA208+AB208-AC208,AND(I208+J208-K208=AA208+AB208-AC208,1&lt;4))),1,0),IF(AND(O208+P208-Q208&gt;0,OR(O208+P208-Q208&lt;AA208+AB208-AC208,AND(O208+P208-Q208=AA208+AB208-AC208,2&lt;4))),1,0),IF(AND(U208+V208-W208&gt;0,OR(U208+V208-W208&lt;AA208+AB208-AC208,AND(U208+V208-W208=AA208+AB208-AC208,3&lt;4))),1,0)))</x:f>
        <x:v>99</x:v>
      </x:c>
      <x:c r="AE208" s="6" t="n">
        <x:f>IF('Debt strategy'!$C$16&gt;0,0,MIN(AA208+AB208-AC208,MAX(0,'Debt strategy'!$C$5-SUM(E208,K208,Q208,W208,AC208)-SUM(IF(F208&lt;AD208,C208+D208-E208,0),IF(L208&lt;AD208,I208+J208-K208,0),IF(R208&lt;AD208,O208+P208-Q208,0),IF(X208&lt;AD208,U208+V208-W208,0)))))</x:f>
        <x:v>0</x:v>
      </x:c>
      <x:c r="AF208" s="6" t="n">
        <x:f>ROUND(MAX(0,AA208+AB208-AC208-AE208),2)</x:f>
        <x:v>0</x:v>
      </x:c>
      <x:c r="AG208" s="6" t="n">
        <x:f>SUM(H208,N208,T208,Z208,AF208)</x:f>
        <x:v>0</x:v>
      </x:c>
      <x:c r="AH208" s="6" t="n">
        <x:f>SUM(D208,J208,P208,V208,AB208)+AH207</x:f>
        <x:v>1353.9499999999996</x:v>
      </x:c>
      <x:c r="AI208" s="2"/>
    </x:row>
    <x:row r="209" ht="23" customHeight="1">
      <x:c r="B209" s="2" t="n">
        <x:f>201</x:f>
        <x:v>201</x:v>
      </x:c>
      <x:c r="C209" s="6" t="n">
        <x:f>H208</x:f>
        <x:v>0</x:v>
      </x:c>
      <x:c r="D209" s="6" t="n">
        <x:f>ROUND(C209*'Debt strategy'!$D$9/12,2)</x:f>
        <x:v>0</x:v>
      </x:c>
      <x:c r="E209" s="6" t="n">
        <x:f>MIN(C209+D209,'Debt strategy'!$E$9)</x:f>
        <x:v>0</x:v>
      </x:c>
      <x:c r="F209" s="27" t="n">
        <x:f>IF(C209+D209-E209&lt;=0,99,1+SUM(IF(AND(I209+J209-K209&gt;0,OR(I209+J209-K209&lt;C209+D209-E209,AND(I209+J209-K209=C209+D209-E209,1&lt;0))),1,0),IF(AND(O209+P209-Q209&gt;0,OR(O209+P209-Q209&lt;C209+D209-E209,AND(O209+P209-Q209=C209+D209-E209,2&lt;0))),1,0),IF(AND(U209+V209-W209&gt;0,OR(U209+V209-W209&lt;C209+D209-E209,AND(U209+V209-W209=C209+D209-E209,3&lt;0))),1,0),IF(AND(AA209+AB209-AC209&gt;0,OR(AA209+AB209-AC209&lt;C209+D209-E209,AND(AA209+AB209-AC209=C209+D209-E209,4&lt;0))),1,0)))</x:f>
        <x:v>99</x:v>
      </x:c>
      <x:c r="G209" s="6" t="n">
        <x:f>IF('Debt strategy'!$C$16&gt;0,0,MIN(C209+D209-E209,MAX(0,'Debt strategy'!$C$5-SUM(E209,K209,Q209,W209,AC209)-SUM(IF(L209&lt;F209,I209+J209-K209,0),IF(R209&lt;F209,O209+P209-Q209,0),IF(X209&lt;F209,U209+V209-W209,0),IF(AD209&lt;F209,AA209+AB209-AC209,0)))))</x:f>
        <x:v>0</x:v>
      </x:c>
      <x:c r="H209" s="6" t="n">
        <x:f>ROUND(MAX(0,C209+D209-E209-G209),2)</x:f>
        <x:v>0</x:v>
      </x:c>
      <x:c r="I209" s="6" t="n">
        <x:f>N208</x:f>
        <x:v>0</x:v>
      </x:c>
      <x:c r="J209" s="6" t="n">
        <x:f>ROUND(I209*'Debt strategy'!$D$10/12,2)</x:f>
        <x:v>0</x:v>
      </x:c>
      <x:c r="K209" s="6" t="n">
        <x:f>MIN(I209+J209,'Debt strategy'!$E$10)</x:f>
        <x:v>0</x:v>
      </x:c>
      <x:c r="L209" s="27" t="n">
        <x:f>IF(I209+J209-K209&lt;=0,99,1+SUM(IF(AND(C209+D209-E209&gt;0,OR(C209+D209-E209&lt;I209+J209-K209,AND(C209+D209-E209=I209+J209-K209,0&lt;1))),1,0),IF(AND(O209+P209-Q209&gt;0,OR(O209+P209-Q209&lt;I209+J209-K209,AND(O209+P209-Q209=I209+J209-K209,2&lt;1))),1,0),IF(AND(U209+V209-W209&gt;0,OR(U209+V209-W209&lt;I209+J209-K209,AND(U209+V209-W209=I209+J209-K209,3&lt;1))),1,0),IF(AND(AA209+AB209-AC209&gt;0,OR(AA209+AB209-AC209&lt;I209+J209-K209,AND(AA209+AB209-AC209=I209+J209-K209,4&lt;1))),1,0)))</x:f>
        <x:v>99</x:v>
      </x:c>
      <x:c r="M209" s="6" t="n">
        <x:f>IF('Debt strategy'!$C$16&gt;0,0,MIN(I209+J209-K209,MAX(0,'Debt strategy'!$C$5-SUM(E209,K209,Q209,W209,AC209)-SUM(IF(F209&lt;L209,C209+D209-E209,0),IF(R209&lt;L209,O209+P209-Q209,0),IF(X209&lt;L209,U209+V209-W209,0),IF(AD209&lt;L209,AA209+AB209-AC209,0)))))</x:f>
        <x:v>0</x:v>
      </x:c>
      <x:c r="N209" s="6" t="n">
        <x:f>ROUND(MAX(0,I209+J209-K209-M209),2)</x:f>
        <x:v>0</x:v>
      </x:c>
      <x:c r="O209" s="6" t="n">
        <x:f>T208</x:f>
        <x:v>0</x:v>
      </x:c>
      <x:c r="P209" s="6" t="n">
        <x:f>ROUND(O209*'Debt strategy'!$D$11/12,2)</x:f>
        <x:v>0</x:v>
      </x:c>
      <x:c r="Q209" s="6" t="n">
        <x:f>MIN(O209+P209,'Debt strategy'!$E$11)</x:f>
        <x:v>0</x:v>
      </x:c>
      <x:c r="R209" s="27" t="n">
        <x:f>IF(O209+P209-Q209&lt;=0,99,1+SUM(IF(AND(C209+D209-E209&gt;0,OR(C209+D209-E209&lt;O209+P209-Q209,AND(C209+D209-E209=O209+P209-Q209,0&lt;2))),1,0),IF(AND(I209+J209-K209&gt;0,OR(I209+J209-K209&lt;O209+P209-Q209,AND(I209+J209-K209=O209+P209-Q209,1&lt;2))),1,0),IF(AND(U209+V209-W209&gt;0,OR(U209+V209-W209&lt;O209+P209-Q209,AND(U209+V209-W209=O209+P209-Q209,3&lt;2))),1,0),IF(AND(AA209+AB209-AC209&gt;0,OR(AA209+AB209-AC209&lt;O209+P209-Q209,AND(AA209+AB209-AC209=O209+P209-Q209,4&lt;2))),1,0)))</x:f>
        <x:v>99</x:v>
      </x:c>
      <x:c r="S209" s="6" t="n">
        <x:f>IF('Debt strategy'!$C$16&gt;0,0,MIN(O209+P209-Q209,MAX(0,'Debt strategy'!$C$5-SUM(E209,K209,Q209,W209,AC209)-SUM(IF(F209&lt;R209,C209+D209-E209,0),IF(L209&lt;R209,I209+J209-K209,0),IF(X209&lt;R209,U209+V209-W209,0),IF(AD209&lt;R209,AA209+AB209-AC209,0)))))</x:f>
        <x:v>0</x:v>
      </x:c>
      <x:c r="T209" s="6" t="n">
        <x:f>ROUND(MAX(0,O209+P209-Q209-S209),2)</x:f>
        <x:v>0</x:v>
      </x:c>
      <x:c r="U209" s="6" t="n">
        <x:f>Z208</x:f>
        <x:v>0</x:v>
      </x:c>
      <x:c r="V209" s="6" t="n">
        <x:f>ROUND(U209*'Debt strategy'!$D$12/12,2)</x:f>
        <x:v>0</x:v>
      </x:c>
      <x:c r="W209" s="6" t="n">
        <x:f>MIN(U209+V209,'Debt strategy'!$E$12)</x:f>
        <x:v>0</x:v>
      </x:c>
      <x:c r="X209" s="27" t="n">
        <x:f>IF(U209+V209-W209&lt;=0,99,1+SUM(IF(AND(C209+D209-E209&gt;0,OR(C209+D209-E209&lt;U209+V209-W209,AND(C209+D209-E209=U209+V209-W209,0&lt;3))),1,0),IF(AND(I209+J209-K209&gt;0,OR(I209+J209-K209&lt;U209+V209-W209,AND(I209+J209-K209=U209+V209-W209,1&lt;3))),1,0),IF(AND(O209+P209-Q209&gt;0,OR(O209+P209-Q209&lt;U209+V209-W209,AND(O209+P209-Q209=U209+V209-W209,2&lt;3))),1,0),IF(AND(AA209+AB209-AC209&gt;0,OR(AA209+AB209-AC209&lt;U209+V209-W209,AND(AA209+AB209-AC209=U209+V209-W209,4&lt;3))),1,0)))</x:f>
        <x:v>99</x:v>
      </x:c>
      <x:c r="Y209" s="6" t="n">
        <x:f>IF('Debt strategy'!$C$16&gt;0,0,MIN(U209+V209-W209,MAX(0,'Debt strategy'!$C$5-SUM(E209,K209,Q209,W209,AC209)-SUM(IF(F209&lt;X209,C209+D209-E209,0),IF(L209&lt;X209,I209+J209-K209,0),IF(R209&lt;X209,O209+P209-Q209,0),IF(AD209&lt;X209,AA209+AB209-AC209,0)))))</x:f>
        <x:v>0</x:v>
      </x:c>
      <x:c r="Z209" s="6" t="n">
        <x:f>ROUND(MAX(0,U209+V209-W209-Y209),2)</x:f>
        <x:v>0</x:v>
      </x:c>
      <x:c r="AA209" s="6" t="n">
        <x:f>AF208</x:f>
        <x:v>0</x:v>
      </x:c>
      <x:c r="AB209" s="6" t="n">
        <x:f>ROUND(AA209*'Debt strategy'!$D$13/12,2)</x:f>
        <x:v>0</x:v>
      </x:c>
      <x:c r="AC209" s="6" t="n">
        <x:f>MIN(AA209+AB209,'Debt strategy'!$E$13)</x:f>
        <x:v>0</x:v>
      </x:c>
      <x:c r="AD209" s="27" t="n">
        <x:f>IF(AA209+AB209-AC209&lt;=0,99,1+SUM(IF(AND(C209+D209-E209&gt;0,OR(C209+D209-E209&lt;AA209+AB209-AC209,AND(C209+D209-E209=AA209+AB209-AC209,0&lt;4))),1,0),IF(AND(I209+J209-K209&gt;0,OR(I209+J209-K209&lt;AA209+AB209-AC209,AND(I209+J209-K209=AA209+AB209-AC209,1&lt;4))),1,0),IF(AND(O209+P209-Q209&gt;0,OR(O209+P209-Q209&lt;AA209+AB209-AC209,AND(O209+P209-Q209=AA209+AB209-AC209,2&lt;4))),1,0),IF(AND(U209+V209-W209&gt;0,OR(U209+V209-W209&lt;AA209+AB209-AC209,AND(U209+V209-W209=AA209+AB209-AC209,3&lt;4))),1,0)))</x:f>
        <x:v>99</x:v>
      </x:c>
      <x:c r="AE209" s="6" t="n">
        <x:f>IF('Debt strategy'!$C$16&gt;0,0,MIN(AA209+AB209-AC209,MAX(0,'Debt strategy'!$C$5-SUM(E209,K209,Q209,W209,AC209)-SUM(IF(F209&lt;AD209,C209+D209-E209,0),IF(L209&lt;AD209,I209+J209-K209,0),IF(R209&lt;AD209,O209+P209-Q209,0),IF(X209&lt;AD209,U209+V209-W209,0)))))</x:f>
        <x:v>0</x:v>
      </x:c>
      <x:c r="AF209" s="6" t="n">
        <x:f>ROUND(MAX(0,AA209+AB209-AC209-AE209),2)</x:f>
        <x:v>0</x:v>
      </x:c>
      <x:c r="AG209" s="6" t="n">
        <x:f>SUM(H209,N209,T209,Z209,AF209)</x:f>
        <x:v>0</x:v>
      </x:c>
      <x:c r="AH209" s="6" t="n">
        <x:f>SUM(D209,J209,P209,V209,AB209)+AH208</x:f>
        <x:v>1353.9499999999996</x:v>
      </x:c>
      <x:c r="AI209" s="2"/>
    </x:row>
    <x:row r="210" ht="23" customHeight="1">
      <x:c r="B210" s="2" t="n">
        <x:f>202</x:f>
        <x:v>202</x:v>
      </x:c>
      <x:c r="C210" s="6" t="n">
        <x:f>H209</x:f>
        <x:v>0</x:v>
      </x:c>
      <x:c r="D210" s="6" t="n">
        <x:f>ROUND(C210*'Debt strategy'!$D$9/12,2)</x:f>
        <x:v>0</x:v>
      </x:c>
      <x:c r="E210" s="6" t="n">
        <x:f>MIN(C210+D210,'Debt strategy'!$E$9)</x:f>
        <x:v>0</x:v>
      </x:c>
      <x:c r="F210" s="27" t="n">
        <x:f>IF(C210+D210-E210&lt;=0,99,1+SUM(IF(AND(I210+J210-K210&gt;0,OR(I210+J210-K210&lt;C210+D210-E210,AND(I210+J210-K210=C210+D210-E210,1&lt;0))),1,0),IF(AND(O210+P210-Q210&gt;0,OR(O210+P210-Q210&lt;C210+D210-E210,AND(O210+P210-Q210=C210+D210-E210,2&lt;0))),1,0),IF(AND(U210+V210-W210&gt;0,OR(U210+V210-W210&lt;C210+D210-E210,AND(U210+V210-W210=C210+D210-E210,3&lt;0))),1,0),IF(AND(AA210+AB210-AC210&gt;0,OR(AA210+AB210-AC210&lt;C210+D210-E210,AND(AA210+AB210-AC210=C210+D210-E210,4&lt;0))),1,0)))</x:f>
        <x:v>99</x:v>
      </x:c>
      <x:c r="G210" s="6" t="n">
        <x:f>IF('Debt strategy'!$C$16&gt;0,0,MIN(C210+D210-E210,MAX(0,'Debt strategy'!$C$5-SUM(E210,K210,Q210,W210,AC210)-SUM(IF(L210&lt;F210,I210+J210-K210,0),IF(R210&lt;F210,O210+P210-Q210,0),IF(X210&lt;F210,U210+V210-W210,0),IF(AD210&lt;F210,AA210+AB210-AC210,0)))))</x:f>
        <x:v>0</x:v>
      </x:c>
      <x:c r="H210" s="6" t="n">
        <x:f>ROUND(MAX(0,C210+D210-E210-G210),2)</x:f>
        <x:v>0</x:v>
      </x:c>
      <x:c r="I210" s="6" t="n">
        <x:f>N209</x:f>
        <x:v>0</x:v>
      </x:c>
      <x:c r="J210" s="6" t="n">
        <x:f>ROUND(I210*'Debt strategy'!$D$10/12,2)</x:f>
        <x:v>0</x:v>
      </x:c>
      <x:c r="K210" s="6" t="n">
        <x:f>MIN(I210+J210,'Debt strategy'!$E$10)</x:f>
        <x:v>0</x:v>
      </x:c>
      <x:c r="L210" s="27" t="n">
        <x:f>IF(I210+J210-K210&lt;=0,99,1+SUM(IF(AND(C210+D210-E210&gt;0,OR(C210+D210-E210&lt;I210+J210-K210,AND(C210+D210-E210=I210+J210-K210,0&lt;1))),1,0),IF(AND(O210+P210-Q210&gt;0,OR(O210+P210-Q210&lt;I210+J210-K210,AND(O210+P210-Q210=I210+J210-K210,2&lt;1))),1,0),IF(AND(U210+V210-W210&gt;0,OR(U210+V210-W210&lt;I210+J210-K210,AND(U210+V210-W210=I210+J210-K210,3&lt;1))),1,0),IF(AND(AA210+AB210-AC210&gt;0,OR(AA210+AB210-AC210&lt;I210+J210-K210,AND(AA210+AB210-AC210=I210+J210-K210,4&lt;1))),1,0)))</x:f>
        <x:v>99</x:v>
      </x:c>
      <x:c r="M210" s="6" t="n">
        <x:f>IF('Debt strategy'!$C$16&gt;0,0,MIN(I210+J210-K210,MAX(0,'Debt strategy'!$C$5-SUM(E210,K210,Q210,W210,AC210)-SUM(IF(F210&lt;L210,C210+D210-E210,0),IF(R210&lt;L210,O210+P210-Q210,0),IF(X210&lt;L210,U210+V210-W210,0),IF(AD210&lt;L210,AA210+AB210-AC210,0)))))</x:f>
        <x:v>0</x:v>
      </x:c>
      <x:c r="N210" s="6" t="n">
        <x:f>ROUND(MAX(0,I210+J210-K210-M210),2)</x:f>
        <x:v>0</x:v>
      </x:c>
      <x:c r="O210" s="6" t="n">
        <x:f>T209</x:f>
        <x:v>0</x:v>
      </x:c>
      <x:c r="P210" s="6" t="n">
        <x:f>ROUND(O210*'Debt strategy'!$D$11/12,2)</x:f>
        <x:v>0</x:v>
      </x:c>
      <x:c r="Q210" s="6" t="n">
        <x:f>MIN(O210+P210,'Debt strategy'!$E$11)</x:f>
        <x:v>0</x:v>
      </x:c>
      <x:c r="R210" s="27" t="n">
        <x:f>IF(O210+P210-Q210&lt;=0,99,1+SUM(IF(AND(C210+D210-E210&gt;0,OR(C210+D210-E210&lt;O210+P210-Q210,AND(C210+D210-E210=O210+P210-Q210,0&lt;2))),1,0),IF(AND(I210+J210-K210&gt;0,OR(I210+J210-K210&lt;O210+P210-Q210,AND(I210+J210-K210=O210+P210-Q210,1&lt;2))),1,0),IF(AND(U210+V210-W210&gt;0,OR(U210+V210-W210&lt;O210+P210-Q210,AND(U210+V210-W210=O210+P210-Q210,3&lt;2))),1,0),IF(AND(AA210+AB210-AC210&gt;0,OR(AA210+AB210-AC210&lt;O210+P210-Q210,AND(AA210+AB210-AC210=O210+P210-Q210,4&lt;2))),1,0)))</x:f>
        <x:v>99</x:v>
      </x:c>
      <x:c r="S210" s="6" t="n">
        <x:f>IF('Debt strategy'!$C$16&gt;0,0,MIN(O210+P210-Q210,MAX(0,'Debt strategy'!$C$5-SUM(E210,K210,Q210,W210,AC210)-SUM(IF(F210&lt;R210,C210+D210-E210,0),IF(L210&lt;R210,I210+J210-K210,0),IF(X210&lt;R210,U210+V210-W210,0),IF(AD210&lt;R210,AA210+AB210-AC210,0)))))</x:f>
        <x:v>0</x:v>
      </x:c>
      <x:c r="T210" s="6" t="n">
        <x:f>ROUND(MAX(0,O210+P210-Q210-S210),2)</x:f>
        <x:v>0</x:v>
      </x:c>
      <x:c r="U210" s="6" t="n">
        <x:f>Z209</x:f>
        <x:v>0</x:v>
      </x:c>
      <x:c r="V210" s="6" t="n">
        <x:f>ROUND(U210*'Debt strategy'!$D$12/12,2)</x:f>
        <x:v>0</x:v>
      </x:c>
      <x:c r="W210" s="6" t="n">
        <x:f>MIN(U210+V210,'Debt strategy'!$E$12)</x:f>
        <x:v>0</x:v>
      </x:c>
      <x:c r="X210" s="27" t="n">
        <x:f>IF(U210+V210-W210&lt;=0,99,1+SUM(IF(AND(C210+D210-E210&gt;0,OR(C210+D210-E210&lt;U210+V210-W210,AND(C210+D210-E210=U210+V210-W210,0&lt;3))),1,0),IF(AND(I210+J210-K210&gt;0,OR(I210+J210-K210&lt;U210+V210-W210,AND(I210+J210-K210=U210+V210-W210,1&lt;3))),1,0),IF(AND(O210+P210-Q210&gt;0,OR(O210+P210-Q210&lt;U210+V210-W210,AND(O210+P210-Q210=U210+V210-W210,2&lt;3))),1,0),IF(AND(AA210+AB210-AC210&gt;0,OR(AA210+AB210-AC210&lt;U210+V210-W210,AND(AA210+AB210-AC210=U210+V210-W210,4&lt;3))),1,0)))</x:f>
        <x:v>99</x:v>
      </x:c>
      <x:c r="Y210" s="6" t="n">
        <x:f>IF('Debt strategy'!$C$16&gt;0,0,MIN(U210+V210-W210,MAX(0,'Debt strategy'!$C$5-SUM(E210,K210,Q210,W210,AC210)-SUM(IF(F210&lt;X210,C210+D210-E210,0),IF(L210&lt;X210,I210+J210-K210,0),IF(R210&lt;X210,O210+P210-Q210,0),IF(AD210&lt;X210,AA210+AB210-AC210,0)))))</x:f>
        <x:v>0</x:v>
      </x:c>
      <x:c r="Z210" s="6" t="n">
        <x:f>ROUND(MAX(0,U210+V210-W210-Y210),2)</x:f>
        <x:v>0</x:v>
      </x:c>
      <x:c r="AA210" s="6" t="n">
        <x:f>AF209</x:f>
        <x:v>0</x:v>
      </x:c>
      <x:c r="AB210" s="6" t="n">
        <x:f>ROUND(AA210*'Debt strategy'!$D$13/12,2)</x:f>
        <x:v>0</x:v>
      </x:c>
      <x:c r="AC210" s="6" t="n">
        <x:f>MIN(AA210+AB210,'Debt strategy'!$E$13)</x:f>
        <x:v>0</x:v>
      </x:c>
      <x:c r="AD210" s="27" t="n">
        <x:f>IF(AA210+AB210-AC210&lt;=0,99,1+SUM(IF(AND(C210+D210-E210&gt;0,OR(C210+D210-E210&lt;AA210+AB210-AC210,AND(C210+D210-E210=AA210+AB210-AC210,0&lt;4))),1,0),IF(AND(I210+J210-K210&gt;0,OR(I210+J210-K210&lt;AA210+AB210-AC210,AND(I210+J210-K210=AA210+AB210-AC210,1&lt;4))),1,0),IF(AND(O210+P210-Q210&gt;0,OR(O210+P210-Q210&lt;AA210+AB210-AC210,AND(O210+P210-Q210=AA210+AB210-AC210,2&lt;4))),1,0),IF(AND(U210+V210-W210&gt;0,OR(U210+V210-W210&lt;AA210+AB210-AC210,AND(U210+V210-W210=AA210+AB210-AC210,3&lt;4))),1,0)))</x:f>
        <x:v>99</x:v>
      </x:c>
      <x:c r="AE210" s="6" t="n">
        <x:f>IF('Debt strategy'!$C$16&gt;0,0,MIN(AA210+AB210-AC210,MAX(0,'Debt strategy'!$C$5-SUM(E210,K210,Q210,W210,AC210)-SUM(IF(F210&lt;AD210,C210+D210-E210,0),IF(L210&lt;AD210,I210+J210-K210,0),IF(R210&lt;AD210,O210+P210-Q210,0),IF(X210&lt;AD210,U210+V210-W210,0)))))</x:f>
        <x:v>0</x:v>
      </x:c>
      <x:c r="AF210" s="6" t="n">
        <x:f>ROUND(MAX(0,AA210+AB210-AC210-AE210),2)</x:f>
        <x:v>0</x:v>
      </x:c>
      <x:c r="AG210" s="6" t="n">
        <x:f>SUM(H210,N210,T210,Z210,AF210)</x:f>
        <x:v>0</x:v>
      </x:c>
      <x:c r="AH210" s="6" t="n">
        <x:f>SUM(D210,J210,P210,V210,AB210)+AH209</x:f>
        <x:v>1353.9499999999996</x:v>
      </x:c>
      <x:c r="AI210" s="2"/>
    </x:row>
    <x:row r="211" ht="23" customHeight="1">
      <x:c r="B211" s="2" t="n">
        <x:f>203</x:f>
        <x:v>203</x:v>
      </x:c>
      <x:c r="C211" s="6" t="n">
        <x:f>H210</x:f>
        <x:v>0</x:v>
      </x:c>
      <x:c r="D211" s="6" t="n">
        <x:f>ROUND(C211*'Debt strategy'!$D$9/12,2)</x:f>
        <x:v>0</x:v>
      </x:c>
      <x:c r="E211" s="6" t="n">
        <x:f>MIN(C211+D211,'Debt strategy'!$E$9)</x:f>
        <x:v>0</x:v>
      </x:c>
      <x:c r="F211" s="27" t="n">
        <x:f>IF(C211+D211-E211&lt;=0,99,1+SUM(IF(AND(I211+J211-K211&gt;0,OR(I211+J211-K211&lt;C211+D211-E211,AND(I211+J211-K211=C211+D211-E211,1&lt;0))),1,0),IF(AND(O211+P211-Q211&gt;0,OR(O211+P211-Q211&lt;C211+D211-E211,AND(O211+P211-Q211=C211+D211-E211,2&lt;0))),1,0),IF(AND(U211+V211-W211&gt;0,OR(U211+V211-W211&lt;C211+D211-E211,AND(U211+V211-W211=C211+D211-E211,3&lt;0))),1,0),IF(AND(AA211+AB211-AC211&gt;0,OR(AA211+AB211-AC211&lt;C211+D211-E211,AND(AA211+AB211-AC211=C211+D211-E211,4&lt;0))),1,0)))</x:f>
        <x:v>99</x:v>
      </x:c>
      <x:c r="G211" s="6" t="n">
        <x:f>IF('Debt strategy'!$C$16&gt;0,0,MIN(C211+D211-E211,MAX(0,'Debt strategy'!$C$5-SUM(E211,K211,Q211,W211,AC211)-SUM(IF(L211&lt;F211,I211+J211-K211,0),IF(R211&lt;F211,O211+P211-Q211,0),IF(X211&lt;F211,U211+V211-W211,0),IF(AD211&lt;F211,AA211+AB211-AC211,0)))))</x:f>
        <x:v>0</x:v>
      </x:c>
      <x:c r="H211" s="6" t="n">
        <x:f>ROUND(MAX(0,C211+D211-E211-G211),2)</x:f>
        <x:v>0</x:v>
      </x:c>
      <x:c r="I211" s="6" t="n">
        <x:f>N210</x:f>
        <x:v>0</x:v>
      </x:c>
      <x:c r="J211" s="6" t="n">
        <x:f>ROUND(I211*'Debt strategy'!$D$10/12,2)</x:f>
        <x:v>0</x:v>
      </x:c>
      <x:c r="K211" s="6" t="n">
        <x:f>MIN(I211+J211,'Debt strategy'!$E$10)</x:f>
        <x:v>0</x:v>
      </x:c>
      <x:c r="L211" s="27" t="n">
        <x:f>IF(I211+J211-K211&lt;=0,99,1+SUM(IF(AND(C211+D211-E211&gt;0,OR(C211+D211-E211&lt;I211+J211-K211,AND(C211+D211-E211=I211+J211-K211,0&lt;1))),1,0),IF(AND(O211+P211-Q211&gt;0,OR(O211+P211-Q211&lt;I211+J211-K211,AND(O211+P211-Q211=I211+J211-K211,2&lt;1))),1,0),IF(AND(U211+V211-W211&gt;0,OR(U211+V211-W211&lt;I211+J211-K211,AND(U211+V211-W211=I211+J211-K211,3&lt;1))),1,0),IF(AND(AA211+AB211-AC211&gt;0,OR(AA211+AB211-AC211&lt;I211+J211-K211,AND(AA211+AB211-AC211=I211+J211-K211,4&lt;1))),1,0)))</x:f>
        <x:v>99</x:v>
      </x:c>
      <x:c r="M211" s="6" t="n">
        <x:f>IF('Debt strategy'!$C$16&gt;0,0,MIN(I211+J211-K211,MAX(0,'Debt strategy'!$C$5-SUM(E211,K211,Q211,W211,AC211)-SUM(IF(F211&lt;L211,C211+D211-E211,0),IF(R211&lt;L211,O211+P211-Q211,0),IF(X211&lt;L211,U211+V211-W211,0),IF(AD211&lt;L211,AA211+AB211-AC211,0)))))</x:f>
        <x:v>0</x:v>
      </x:c>
      <x:c r="N211" s="6" t="n">
        <x:f>ROUND(MAX(0,I211+J211-K211-M211),2)</x:f>
        <x:v>0</x:v>
      </x:c>
      <x:c r="O211" s="6" t="n">
        <x:f>T210</x:f>
        <x:v>0</x:v>
      </x:c>
      <x:c r="P211" s="6" t="n">
        <x:f>ROUND(O211*'Debt strategy'!$D$11/12,2)</x:f>
        <x:v>0</x:v>
      </x:c>
      <x:c r="Q211" s="6" t="n">
        <x:f>MIN(O211+P211,'Debt strategy'!$E$11)</x:f>
        <x:v>0</x:v>
      </x:c>
      <x:c r="R211" s="27" t="n">
        <x:f>IF(O211+P211-Q211&lt;=0,99,1+SUM(IF(AND(C211+D211-E211&gt;0,OR(C211+D211-E211&lt;O211+P211-Q211,AND(C211+D211-E211=O211+P211-Q211,0&lt;2))),1,0),IF(AND(I211+J211-K211&gt;0,OR(I211+J211-K211&lt;O211+P211-Q211,AND(I211+J211-K211=O211+P211-Q211,1&lt;2))),1,0),IF(AND(U211+V211-W211&gt;0,OR(U211+V211-W211&lt;O211+P211-Q211,AND(U211+V211-W211=O211+P211-Q211,3&lt;2))),1,0),IF(AND(AA211+AB211-AC211&gt;0,OR(AA211+AB211-AC211&lt;O211+P211-Q211,AND(AA211+AB211-AC211=O211+P211-Q211,4&lt;2))),1,0)))</x:f>
        <x:v>99</x:v>
      </x:c>
      <x:c r="S211" s="6" t="n">
        <x:f>IF('Debt strategy'!$C$16&gt;0,0,MIN(O211+P211-Q211,MAX(0,'Debt strategy'!$C$5-SUM(E211,K211,Q211,W211,AC211)-SUM(IF(F211&lt;R211,C211+D211-E211,0),IF(L211&lt;R211,I211+J211-K211,0),IF(X211&lt;R211,U211+V211-W211,0),IF(AD211&lt;R211,AA211+AB211-AC211,0)))))</x:f>
        <x:v>0</x:v>
      </x:c>
      <x:c r="T211" s="6" t="n">
        <x:f>ROUND(MAX(0,O211+P211-Q211-S211),2)</x:f>
        <x:v>0</x:v>
      </x:c>
      <x:c r="U211" s="6" t="n">
        <x:f>Z210</x:f>
        <x:v>0</x:v>
      </x:c>
      <x:c r="V211" s="6" t="n">
        <x:f>ROUND(U211*'Debt strategy'!$D$12/12,2)</x:f>
        <x:v>0</x:v>
      </x:c>
      <x:c r="W211" s="6" t="n">
        <x:f>MIN(U211+V211,'Debt strategy'!$E$12)</x:f>
        <x:v>0</x:v>
      </x:c>
      <x:c r="X211" s="27" t="n">
        <x:f>IF(U211+V211-W211&lt;=0,99,1+SUM(IF(AND(C211+D211-E211&gt;0,OR(C211+D211-E211&lt;U211+V211-W211,AND(C211+D211-E211=U211+V211-W211,0&lt;3))),1,0),IF(AND(I211+J211-K211&gt;0,OR(I211+J211-K211&lt;U211+V211-W211,AND(I211+J211-K211=U211+V211-W211,1&lt;3))),1,0),IF(AND(O211+P211-Q211&gt;0,OR(O211+P211-Q211&lt;U211+V211-W211,AND(O211+P211-Q211=U211+V211-W211,2&lt;3))),1,0),IF(AND(AA211+AB211-AC211&gt;0,OR(AA211+AB211-AC211&lt;U211+V211-W211,AND(AA211+AB211-AC211=U211+V211-W211,4&lt;3))),1,0)))</x:f>
        <x:v>99</x:v>
      </x:c>
      <x:c r="Y211" s="6" t="n">
        <x:f>IF('Debt strategy'!$C$16&gt;0,0,MIN(U211+V211-W211,MAX(0,'Debt strategy'!$C$5-SUM(E211,K211,Q211,W211,AC211)-SUM(IF(F211&lt;X211,C211+D211-E211,0),IF(L211&lt;X211,I211+J211-K211,0),IF(R211&lt;X211,O211+P211-Q211,0),IF(AD211&lt;X211,AA211+AB211-AC211,0)))))</x:f>
        <x:v>0</x:v>
      </x:c>
      <x:c r="Z211" s="6" t="n">
        <x:f>ROUND(MAX(0,U211+V211-W211-Y211),2)</x:f>
        <x:v>0</x:v>
      </x:c>
      <x:c r="AA211" s="6" t="n">
        <x:f>AF210</x:f>
        <x:v>0</x:v>
      </x:c>
      <x:c r="AB211" s="6" t="n">
        <x:f>ROUND(AA211*'Debt strategy'!$D$13/12,2)</x:f>
        <x:v>0</x:v>
      </x:c>
      <x:c r="AC211" s="6" t="n">
        <x:f>MIN(AA211+AB211,'Debt strategy'!$E$13)</x:f>
        <x:v>0</x:v>
      </x:c>
      <x:c r="AD211" s="27" t="n">
        <x:f>IF(AA211+AB211-AC211&lt;=0,99,1+SUM(IF(AND(C211+D211-E211&gt;0,OR(C211+D211-E211&lt;AA211+AB211-AC211,AND(C211+D211-E211=AA211+AB211-AC211,0&lt;4))),1,0),IF(AND(I211+J211-K211&gt;0,OR(I211+J211-K211&lt;AA211+AB211-AC211,AND(I211+J211-K211=AA211+AB211-AC211,1&lt;4))),1,0),IF(AND(O211+P211-Q211&gt;0,OR(O211+P211-Q211&lt;AA211+AB211-AC211,AND(O211+P211-Q211=AA211+AB211-AC211,2&lt;4))),1,0),IF(AND(U211+V211-W211&gt;0,OR(U211+V211-W211&lt;AA211+AB211-AC211,AND(U211+V211-W211=AA211+AB211-AC211,3&lt;4))),1,0)))</x:f>
        <x:v>99</x:v>
      </x:c>
      <x:c r="AE211" s="6" t="n">
        <x:f>IF('Debt strategy'!$C$16&gt;0,0,MIN(AA211+AB211-AC211,MAX(0,'Debt strategy'!$C$5-SUM(E211,K211,Q211,W211,AC211)-SUM(IF(F211&lt;AD211,C211+D211-E211,0),IF(L211&lt;AD211,I211+J211-K211,0),IF(R211&lt;AD211,O211+P211-Q211,0),IF(X211&lt;AD211,U211+V211-W211,0)))))</x:f>
        <x:v>0</x:v>
      </x:c>
      <x:c r="AF211" s="6" t="n">
        <x:f>ROUND(MAX(0,AA211+AB211-AC211-AE211),2)</x:f>
        <x:v>0</x:v>
      </x:c>
      <x:c r="AG211" s="6" t="n">
        <x:f>SUM(H211,N211,T211,Z211,AF211)</x:f>
        <x:v>0</x:v>
      </x:c>
      <x:c r="AH211" s="6" t="n">
        <x:f>SUM(D211,J211,P211,V211,AB211)+AH210</x:f>
        <x:v>1353.9499999999996</x:v>
      </x:c>
      <x:c r="AI211" s="2"/>
    </x:row>
    <x:row r="212" ht="23" customHeight="1">
      <x:c r="B212" s="2" t="n">
        <x:f>204</x:f>
        <x:v>204</x:v>
      </x:c>
      <x:c r="C212" s="6" t="n">
        <x:f>H211</x:f>
        <x:v>0</x:v>
      </x:c>
      <x:c r="D212" s="6" t="n">
        <x:f>ROUND(C212*'Debt strategy'!$D$9/12,2)</x:f>
        <x:v>0</x:v>
      </x:c>
      <x:c r="E212" s="6" t="n">
        <x:f>MIN(C212+D212,'Debt strategy'!$E$9)</x:f>
        <x:v>0</x:v>
      </x:c>
      <x:c r="F212" s="27" t="n">
        <x:f>IF(C212+D212-E212&lt;=0,99,1+SUM(IF(AND(I212+J212-K212&gt;0,OR(I212+J212-K212&lt;C212+D212-E212,AND(I212+J212-K212=C212+D212-E212,1&lt;0))),1,0),IF(AND(O212+P212-Q212&gt;0,OR(O212+P212-Q212&lt;C212+D212-E212,AND(O212+P212-Q212=C212+D212-E212,2&lt;0))),1,0),IF(AND(U212+V212-W212&gt;0,OR(U212+V212-W212&lt;C212+D212-E212,AND(U212+V212-W212=C212+D212-E212,3&lt;0))),1,0),IF(AND(AA212+AB212-AC212&gt;0,OR(AA212+AB212-AC212&lt;C212+D212-E212,AND(AA212+AB212-AC212=C212+D212-E212,4&lt;0))),1,0)))</x:f>
        <x:v>99</x:v>
      </x:c>
      <x:c r="G212" s="6" t="n">
        <x:f>IF('Debt strategy'!$C$16&gt;0,0,MIN(C212+D212-E212,MAX(0,'Debt strategy'!$C$5-SUM(E212,K212,Q212,W212,AC212)-SUM(IF(L212&lt;F212,I212+J212-K212,0),IF(R212&lt;F212,O212+P212-Q212,0),IF(X212&lt;F212,U212+V212-W212,0),IF(AD212&lt;F212,AA212+AB212-AC212,0)))))</x:f>
        <x:v>0</x:v>
      </x:c>
      <x:c r="H212" s="6" t="n">
        <x:f>ROUND(MAX(0,C212+D212-E212-G212),2)</x:f>
        <x:v>0</x:v>
      </x:c>
      <x:c r="I212" s="6" t="n">
        <x:f>N211</x:f>
        <x:v>0</x:v>
      </x:c>
      <x:c r="J212" s="6" t="n">
        <x:f>ROUND(I212*'Debt strategy'!$D$10/12,2)</x:f>
        <x:v>0</x:v>
      </x:c>
      <x:c r="K212" s="6" t="n">
        <x:f>MIN(I212+J212,'Debt strategy'!$E$10)</x:f>
        <x:v>0</x:v>
      </x:c>
      <x:c r="L212" s="27" t="n">
        <x:f>IF(I212+J212-K212&lt;=0,99,1+SUM(IF(AND(C212+D212-E212&gt;0,OR(C212+D212-E212&lt;I212+J212-K212,AND(C212+D212-E212=I212+J212-K212,0&lt;1))),1,0),IF(AND(O212+P212-Q212&gt;0,OR(O212+P212-Q212&lt;I212+J212-K212,AND(O212+P212-Q212=I212+J212-K212,2&lt;1))),1,0),IF(AND(U212+V212-W212&gt;0,OR(U212+V212-W212&lt;I212+J212-K212,AND(U212+V212-W212=I212+J212-K212,3&lt;1))),1,0),IF(AND(AA212+AB212-AC212&gt;0,OR(AA212+AB212-AC212&lt;I212+J212-K212,AND(AA212+AB212-AC212=I212+J212-K212,4&lt;1))),1,0)))</x:f>
        <x:v>99</x:v>
      </x:c>
      <x:c r="M212" s="6" t="n">
        <x:f>IF('Debt strategy'!$C$16&gt;0,0,MIN(I212+J212-K212,MAX(0,'Debt strategy'!$C$5-SUM(E212,K212,Q212,W212,AC212)-SUM(IF(F212&lt;L212,C212+D212-E212,0),IF(R212&lt;L212,O212+P212-Q212,0),IF(X212&lt;L212,U212+V212-W212,0),IF(AD212&lt;L212,AA212+AB212-AC212,0)))))</x:f>
        <x:v>0</x:v>
      </x:c>
      <x:c r="N212" s="6" t="n">
        <x:f>ROUND(MAX(0,I212+J212-K212-M212),2)</x:f>
        <x:v>0</x:v>
      </x:c>
      <x:c r="O212" s="6" t="n">
        <x:f>T211</x:f>
        <x:v>0</x:v>
      </x:c>
      <x:c r="P212" s="6" t="n">
        <x:f>ROUND(O212*'Debt strategy'!$D$11/12,2)</x:f>
        <x:v>0</x:v>
      </x:c>
      <x:c r="Q212" s="6" t="n">
        <x:f>MIN(O212+P212,'Debt strategy'!$E$11)</x:f>
        <x:v>0</x:v>
      </x:c>
      <x:c r="R212" s="27" t="n">
        <x:f>IF(O212+P212-Q212&lt;=0,99,1+SUM(IF(AND(C212+D212-E212&gt;0,OR(C212+D212-E212&lt;O212+P212-Q212,AND(C212+D212-E212=O212+P212-Q212,0&lt;2))),1,0),IF(AND(I212+J212-K212&gt;0,OR(I212+J212-K212&lt;O212+P212-Q212,AND(I212+J212-K212=O212+P212-Q212,1&lt;2))),1,0),IF(AND(U212+V212-W212&gt;0,OR(U212+V212-W212&lt;O212+P212-Q212,AND(U212+V212-W212=O212+P212-Q212,3&lt;2))),1,0),IF(AND(AA212+AB212-AC212&gt;0,OR(AA212+AB212-AC212&lt;O212+P212-Q212,AND(AA212+AB212-AC212=O212+P212-Q212,4&lt;2))),1,0)))</x:f>
        <x:v>99</x:v>
      </x:c>
      <x:c r="S212" s="6" t="n">
        <x:f>IF('Debt strategy'!$C$16&gt;0,0,MIN(O212+P212-Q212,MAX(0,'Debt strategy'!$C$5-SUM(E212,K212,Q212,W212,AC212)-SUM(IF(F212&lt;R212,C212+D212-E212,0),IF(L212&lt;R212,I212+J212-K212,0),IF(X212&lt;R212,U212+V212-W212,0),IF(AD212&lt;R212,AA212+AB212-AC212,0)))))</x:f>
        <x:v>0</x:v>
      </x:c>
      <x:c r="T212" s="6" t="n">
        <x:f>ROUND(MAX(0,O212+P212-Q212-S212),2)</x:f>
        <x:v>0</x:v>
      </x:c>
      <x:c r="U212" s="6" t="n">
        <x:f>Z211</x:f>
        <x:v>0</x:v>
      </x:c>
      <x:c r="V212" s="6" t="n">
        <x:f>ROUND(U212*'Debt strategy'!$D$12/12,2)</x:f>
        <x:v>0</x:v>
      </x:c>
      <x:c r="W212" s="6" t="n">
        <x:f>MIN(U212+V212,'Debt strategy'!$E$12)</x:f>
        <x:v>0</x:v>
      </x:c>
      <x:c r="X212" s="27" t="n">
        <x:f>IF(U212+V212-W212&lt;=0,99,1+SUM(IF(AND(C212+D212-E212&gt;0,OR(C212+D212-E212&lt;U212+V212-W212,AND(C212+D212-E212=U212+V212-W212,0&lt;3))),1,0),IF(AND(I212+J212-K212&gt;0,OR(I212+J212-K212&lt;U212+V212-W212,AND(I212+J212-K212=U212+V212-W212,1&lt;3))),1,0),IF(AND(O212+P212-Q212&gt;0,OR(O212+P212-Q212&lt;U212+V212-W212,AND(O212+P212-Q212=U212+V212-W212,2&lt;3))),1,0),IF(AND(AA212+AB212-AC212&gt;0,OR(AA212+AB212-AC212&lt;U212+V212-W212,AND(AA212+AB212-AC212=U212+V212-W212,4&lt;3))),1,0)))</x:f>
        <x:v>99</x:v>
      </x:c>
      <x:c r="Y212" s="6" t="n">
        <x:f>IF('Debt strategy'!$C$16&gt;0,0,MIN(U212+V212-W212,MAX(0,'Debt strategy'!$C$5-SUM(E212,K212,Q212,W212,AC212)-SUM(IF(F212&lt;X212,C212+D212-E212,0),IF(L212&lt;X212,I212+J212-K212,0),IF(R212&lt;X212,O212+P212-Q212,0),IF(AD212&lt;X212,AA212+AB212-AC212,0)))))</x:f>
        <x:v>0</x:v>
      </x:c>
      <x:c r="Z212" s="6" t="n">
        <x:f>ROUND(MAX(0,U212+V212-W212-Y212),2)</x:f>
        <x:v>0</x:v>
      </x:c>
      <x:c r="AA212" s="6" t="n">
        <x:f>AF211</x:f>
        <x:v>0</x:v>
      </x:c>
      <x:c r="AB212" s="6" t="n">
        <x:f>ROUND(AA212*'Debt strategy'!$D$13/12,2)</x:f>
        <x:v>0</x:v>
      </x:c>
      <x:c r="AC212" s="6" t="n">
        <x:f>MIN(AA212+AB212,'Debt strategy'!$E$13)</x:f>
        <x:v>0</x:v>
      </x:c>
      <x:c r="AD212" s="27" t="n">
        <x:f>IF(AA212+AB212-AC212&lt;=0,99,1+SUM(IF(AND(C212+D212-E212&gt;0,OR(C212+D212-E212&lt;AA212+AB212-AC212,AND(C212+D212-E212=AA212+AB212-AC212,0&lt;4))),1,0),IF(AND(I212+J212-K212&gt;0,OR(I212+J212-K212&lt;AA212+AB212-AC212,AND(I212+J212-K212=AA212+AB212-AC212,1&lt;4))),1,0),IF(AND(O212+P212-Q212&gt;0,OR(O212+P212-Q212&lt;AA212+AB212-AC212,AND(O212+P212-Q212=AA212+AB212-AC212,2&lt;4))),1,0),IF(AND(U212+V212-W212&gt;0,OR(U212+V212-W212&lt;AA212+AB212-AC212,AND(U212+V212-W212=AA212+AB212-AC212,3&lt;4))),1,0)))</x:f>
        <x:v>99</x:v>
      </x:c>
      <x:c r="AE212" s="6" t="n">
        <x:f>IF('Debt strategy'!$C$16&gt;0,0,MIN(AA212+AB212-AC212,MAX(0,'Debt strategy'!$C$5-SUM(E212,K212,Q212,W212,AC212)-SUM(IF(F212&lt;AD212,C212+D212-E212,0),IF(L212&lt;AD212,I212+J212-K212,0),IF(R212&lt;AD212,O212+P212-Q212,0),IF(X212&lt;AD212,U212+V212-W212,0)))))</x:f>
        <x:v>0</x:v>
      </x:c>
      <x:c r="AF212" s="6" t="n">
        <x:f>ROUND(MAX(0,AA212+AB212-AC212-AE212),2)</x:f>
        <x:v>0</x:v>
      </x:c>
      <x:c r="AG212" s="6" t="n">
        <x:f>SUM(H212,N212,T212,Z212,AF212)</x:f>
        <x:v>0</x:v>
      </x:c>
      <x:c r="AH212" s="6" t="n">
        <x:f>SUM(D212,J212,P212,V212,AB212)+AH211</x:f>
        <x:v>1353.9499999999996</x:v>
      </x:c>
      <x:c r="AI212" s="2"/>
    </x:row>
    <x:row r="213" ht="23" customHeight="1">
      <x:c r="B213" s="2" t="n">
        <x:f>205</x:f>
        <x:v>205</x:v>
      </x:c>
      <x:c r="C213" s="6" t="n">
        <x:f>H212</x:f>
        <x:v>0</x:v>
      </x:c>
      <x:c r="D213" s="6" t="n">
        <x:f>ROUND(C213*'Debt strategy'!$D$9/12,2)</x:f>
        <x:v>0</x:v>
      </x:c>
      <x:c r="E213" s="6" t="n">
        <x:f>MIN(C213+D213,'Debt strategy'!$E$9)</x:f>
        <x:v>0</x:v>
      </x:c>
      <x:c r="F213" s="27" t="n">
        <x:f>IF(C213+D213-E213&lt;=0,99,1+SUM(IF(AND(I213+J213-K213&gt;0,OR(I213+J213-K213&lt;C213+D213-E213,AND(I213+J213-K213=C213+D213-E213,1&lt;0))),1,0),IF(AND(O213+P213-Q213&gt;0,OR(O213+P213-Q213&lt;C213+D213-E213,AND(O213+P213-Q213=C213+D213-E213,2&lt;0))),1,0),IF(AND(U213+V213-W213&gt;0,OR(U213+V213-W213&lt;C213+D213-E213,AND(U213+V213-W213=C213+D213-E213,3&lt;0))),1,0),IF(AND(AA213+AB213-AC213&gt;0,OR(AA213+AB213-AC213&lt;C213+D213-E213,AND(AA213+AB213-AC213=C213+D213-E213,4&lt;0))),1,0)))</x:f>
        <x:v>99</x:v>
      </x:c>
      <x:c r="G213" s="6" t="n">
        <x:f>IF('Debt strategy'!$C$16&gt;0,0,MIN(C213+D213-E213,MAX(0,'Debt strategy'!$C$5-SUM(E213,K213,Q213,W213,AC213)-SUM(IF(L213&lt;F213,I213+J213-K213,0),IF(R213&lt;F213,O213+P213-Q213,0),IF(X213&lt;F213,U213+V213-W213,0),IF(AD213&lt;F213,AA213+AB213-AC213,0)))))</x:f>
        <x:v>0</x:v>
      </x:c>
      <x:c r="H213" s="6" t="n">
        <x:f>ROUND(MAX(0,C213+D213-E213-G213),2)</x:f>
        <x:v>0</x:v>
      </x:c>
      <x:c r="I213" s="6" t="n">
        <x:f>N212</x:f>
        <x:v>0</x:v>
      </x:c>
      <x:c r="J213" s="6" t="n">
        <x:f>ROUND(I213*'Debt strategy'!$D$10/12,2)</x:f>
        <x:v>0</x:v>
      </x:c>
      <x:c r="K213" s="6" t="n">
        <x:f>MIN(I213+J213,'Debt strategy'!$E$10)</x:f>
        <x:v>0</x:v>
      </x:c>
      <x:c r="L213" s="27" t="n">
        <x:f>IF(I213+J213-K213&lt;=0,99,1+SUM(IF(AND(C213+D213-E213&gt;0,OR(C213+D213-E213&lt;I213+J213-K213,AND(C213+D213-E213=I213+J213-K213,0&lt;1))),1,0),IF(AND(O213+P213-Q213&gt;0,OR(O213+P213-Q213&lt;I213+J213-K213,AND(O213+P213-Q213=I213+J213-K213,2&lt;1))),1,0),IF(AND(U213+V213-W213&gt;0,OR(U213+V213-W213&lt;I213+J213-K213,AND(U213+V213-W213=I213+J213-K213,3&lt;1))),1,0),IF(AND(AA213+AB213-AC213&gt;0,OR(AA213+AB213-AC213&lt;I213+J213-K213,AND(AA213+AB213-AC213=I213+J213-K213,4&lt;1))),1,0)))</x:f>
        <x:v>99</x:v>
      </x:c>
      <x:c r="M213" s="6" t="n">
        <x:f>IF('Debt strategy'!$C$16&gt;0,0,MIN(I213+J213-K213,MAX(0,'Debt strategy'!$C$5-SUM(E213,K213,Q213,W213,AC213)-SUM(IF(F213&lt;L213,C213+D213-E213,0),IF(R213&lt;L213,O213+P213-Q213,0),IF(X213&lt;L213,U213+V213-W213,0),IF(AD213&lt;L213,AA213+AB213-AC213,0)))))</x:f>
        <x:v>0</x:v>
      </x:c>
      <x:c r="N213" s="6" t="n">
        <x:f>ROUND(MAX(0,I213+J213-K213-M213),2)</x:f>
        <x:v>0</x:v>
      </x:c>
      <x:c r="O213" s="6" t="n">
        <x:f>T212</x:f>
        <x:v>0</x:v>
      </x:c>
      <x:c r="P213" s="6" t="n">
        <x:f>ROUND(O213*'Debt strategy'!$D$11/12,2)</x:f>
        <x:v>0</x:v>
      </x:c>
      <x:c r="Q213" s="6" t="n">
        <x:f>MIN(O213+P213,'Debt strategy'!$E$11)</x:f>
        <x:v>0</x:v>
      </x:c>
      <x:c r="R213" s="27" t="n">
        <x:f>IF(O213+P213-Q213&lt;=0,99,1+SUM(IF(AND(C213+D213-E213&gt;0,OR(C213+D213-E213&lt;O213+P213-Q213,AND(C213+D213-E213=O213+P213-Q213,0&lt;2))),1,0),IF(AND(I213+J213-K213&gt;0,OR(I213+J213-K213&lt;O213+P213-Q213,AND(I213+J213-K213=O213+P213-Q213,1&lt;2))),1,0),IF(AND(U213+V213-W213&gt;0,OR(U213+V213-W213&lt;O213+P213-Q213,AND(U213+V213-W213=O213+P213-Q213,3&lt;2))),1,0),IF(AND(AA213+AB213-AC213&gt;0,OR(AA213+AB213-AC213&lt;O213+P213-Q213,AND(AA213+AB213-AC213=O213+P213-Q213,4&lt;2))),1,0)))</x:f>
        <x:v>99</x:v>
      </x:c>
      <x:c r="S213" s="6" t="n">
        <x:f>IF('Debt strategy'!$C$16&gt;0,0,MIN(O213+P213-Q213,MAX(0,'Debt strategy'!$C$5-SUM(E213,K213,Q213,W213,AC213)-SUM(IF(F213&lt;R213,C213+D213-E213,0),IF(L213&lt;R213,I213+J213-K213,0),IF(X213&lt;R213,U213+V213-W213,0),IF(AD213&lt;R213,AA213+AB213-AC213,0)))))</x:f>
        <x:v>0</x:v>
      </x:c>
      <x:c r="T213" s="6" t="n">
        <x:f>ROUND(MAX(0,O213+P213-Q213-S213),2)</x:f>
        <x:v>0</x:v>
      </x:c>
      <x:c r="U213" s="6" t="n">
        <x:f>Z212</x:f>
        <x:v>0</x:v>
      </x:c>
      <x:c r="V213" s="6" t="n">
        <x:f>ROUND(U213*'Debt strategy'!$D$12/12,2)</x:f>
        <x:v>0</x:v>
      </x:c>
      <x:c r="W213" s="6" t="n">
        <x:f>MIN(U213+V213,'Debt strategy'!$E$12)</x:f>
        <x:v>0</x:v>
      </x:c>
      <x:c r="X213" s="27" t="n">
        <x:f>IF(U213+V213-W213&lt;=0,99,1+SUM(IF(AND(C213+D213-E213&gt;0,OR(C213+D213-E213&lt;U213+V213-W213,AND(C213+D213-E213=U213+V213-W213,0&lt;3))),1,0),IF(AND(I213+J213-K213&gt;0,OR(I213+J213-K213&lt;U213+V213-W213,AND(I213+J213-K213=U213+V213-W213,1&lt;3))),1,0),IF(AND(O213+P213-Q213&gt;0,OR(O213+P213-Q213&lt;U213+V213-W213,AND(O213+P213-Q213=U213+V213-W213,2&lt;3))),1,0),IF(AND(AA213+AB213-AC213&gt;0,OR(AA213+AB213-AC213&lt;U213+V213-W213,AND(AA213+AB213-AC213=U213+V213-W213,4&lt;3))),1,0)))</x:f>
        <x:v>99</x:v>
      </x:c>
      <x:c r="Y213" s="6" t="n">
        <x:f>IF('Debt strategy'!$C$16&gt;0,0,MIN(U213+V213-W213,MAX(0,'Debt strategy'!$C$5-SUM(E213,K213,Q213,W213,AC213)-SUM(IF(F213&lt;X213,C213+D213-E213,0),IF(L213&lt;X213,I213+J213-K213,0),IF(R213&lt;X213,O213+P213-Q213,0),IF(AD213&lt;X213,AA213+AB213-AC213,0)))))</x:f>
        <x:v>0</x:v>
      </x:c>
      <x:c r="Z213" s="6" t="n">
        <x:f>ROUND(MAX(0,U213+V213-W213-Y213),2)</x:f>
        <x:v>0</x:v>
      </x:c>
      <x:c r="AA213" s="6" t="n">
        <x:f>AF212</x:f>
        <x:v>0</x:v>
      </x:c>
      <x:c r="AB213" s="6" t="n">
        <x:f>ROUND(AA213*'Debt strategy'!$D$13/12,2)</x:f>
        <x:v>0</x:v>
      </x:c>
      <x:c r="AC213" s="6" t="n">
        <x:f>MIN(AA213+AB213,'Debt strategy'!$E$13)</x:f>
        <x:v>0</x:v>
      </x:c>
      <x:c r="AD213" s="27" t="n">
        <x:f>IF(AA213+AB213-AC213&lt;=0,99,1+SUM(IF(AND(C213+D213-E213&gt;0,OR(C213+D213-E213&lt;AA213+AB213-AC213,AND(C213+D213-E213=AA213+AB213-AC213,0&lt;4))),1,0),IF(AND(I213+J213-K213&gt;0,OR(I213+J213-K213&lt;AA213+AB213-AC213,AND(I213+J213-K213=AA213+AB213-AC213,1&lt;4))),1,0),IF(AND(O213+P213-Q213&gt;0,OR(O213+P213-Q213&lt;AA213+AB213-AC213,AND(O213+P213-Q213=AA213+AB213-AC213,2&lt;4))),1,0),IF(AND(U213+V213-W213&gt;0,OR(U213+V213-W213&lt;AA213+AB213-AC213,AND(U213+V213-W213=AA213+AB213-AC213,3&lt;4))),1,0)))</x:f>
        <x:v>99</x:v>
      </x:c>
      <x:c r="AE213" s="6" t="n">
        <x:f>IF('Debt strategy'!$C$16&gt;0,0,MIN(AA213+AB213-AC213,MAX(0,'Debt strategy'!$C$5-SUM(E213,K213,Q213,W213,AC213)-SUM(IF(F213&lt;AD213,C213+D213-E213,0),IF(L213&lt;AD213,I213+J213-K213,0),IF(R213&lt;AD213,O213+P213-Q213,0),IF(X213&lt;AD213,U213+V213-W213,0)))))</x:f>
        <x:v>0</x:v>
      </x:c>
      <x:c r="AF213" s="6" t="n">
        <x:f>ROUND(MAX(0,AA213+AB213-AC213-AE213),2)</x:f>
        <x:v>0</x:v>
      </x:c>
      <x:c r="AG213" s="6" t="n">
        <x:f>SUM(H213,N213,T213,Z213,AF213)</x:f>
        <x:v>0</x:v>
      </x:c>
      <x:c r="AH213" s="6" t="n">
        <x:f>SUM(D213,J213,P213,V213,AB213)+AH212</x:f>
        <x:v>1353.9499999999996</x:v>
      </x:c>
      <x:c r="AI213" s="2"/>
    </x:row>
    <x:row r="214" ht="23" customHeight="1">
      <x:c r="B214" s="2" t="n">
        <x:f>206</x:f>
        <x:v>206</x:v>
      </x:c>
      <x:c r="C214" s="6" t="n">
        <x:f>H213</x:f>
        <x:v>0</x:v>
      </x:c>
      <x:c r="D214" s="6" t="n">
        <x:f>ROUND(C214*'Debt strategy'!$D$9/12,2)</x:f>
        <x:v>0</x:v>
      </x:c>
      <x:c r="E214" s="6" t="n">
        <x:f>MIN(C214+D214,'Debt strategy'!$E$9)</x:f>
        <x:v>0</x:v>
      </x:c>
      <x:c r="F214" s="27" t="n">
        <x:f>IF(C214+D214-E214&lt;=0,99,1+SUM(IF(AND(I214+J214-K214&gt;0,OR(I214+J214-K214&lt;C214+D214-E214,AND(I214+J214-K214=C214+D214-E214,1&lt;0))),1,0),IF(AND(O214+P214-Q214&gt;0,OR(O214+P214-Q214&lt;C214+D214-E214,AND(O214+P214-Q214=C214+D214-E214,2&lt;0))),1,0),IF(AND(U214+V214-W214&gt;0,OR(U214+V214-W214&lt;C214+D214-E214,AND(U214+V214-W214=C214+D214-E214,3&lt;0))),1,0),IF(AND(AA214+AB214-AC214&gt;0,OR(AA214+AB214-AC214&lt;C214+D214-E214,AND(AA214+AB214-AC214=C214+D214-E214,4&lt;0))),1,0)))</x:f>
        <x:v>99</x:v>
      </x:c>
      <x:c r="G214" s="6" t="n">
        <x:f>IF('Debt strategy'!$C$16&gt;0,0,MIN(C214+D214-E214,MAX(0,'Debt strategy'!$C$5-SUM(E214,K214,Q214,W214,AC214)-SUM(IF(L214&lt;F214,I214+J214-K214,0),IF(R214&lt;F214,O214+P214-Q214,0),IF(X214&lt;F214,U214+V214-W214,0),IF(AD214&lt;F214,AA214+AB214-AC214,0)))))</x:f>
        <x:v>0</x:v>
      </x:c>
      <x:c r="H214" s="6" t="n">
        <x:f>ROUND(MAX(0,C214+D214-E214-G214),2)</x:f>
        <x:v>0</x:v>
      </x:c>
      <x:c r="I214" s="6" t="n">
        <x:f>N213</x:f>
        <x:v>0</x:v>
      </x:c>
      <x:c r="J214" s="6" t="n">
        <x:f>ROUND(I214*'Debt strategy'!$D$10/12,2)</x:f>
        <x:v>0</x:v>
      </x:c>
      <x:c r="K214" s="6" t="n">
        <x:f>MIN(I214+J214,'Debt strategy'!$E$10)</x:f>
        <x:v>0</x:v>
      </x:c>
      <x:c r="L214" s="27" t="n">
        <x:f>IF(I214+J214-K214&lt;=0,99,1+SUM(IF(AND(C214+D214-E214&gt;0,OR(C214+D214-E214&lt;I214+J214-K214,AND(C214+D214-E214=I214+J214-K214,0&lt;1))),1,0),IF(AND(O214+P214-Q214&gt;0,OR(O214+P214-Q214&lt;I214+J214-K214,AND(O214+P214-Q214=I214+J214-K214,2&lt;1))),1,0),IF(AND(U214+V214-W214&gt;0,OR(U214+V214-W214&lt;I214+J214-K214,AND(U214+V214-W214=I214+J214-K214,3&lt;1))),1,0),IF(AND(AA214+AB214-AC214&gt;0,OR(AA214+AB214-AC214&lt;I214+J214-K214,AND(AA214+AB214-AC214=I214+J214-K214,4&lt;1))),1,0)))</x:f>
        <x:v>99</x:v>
      </x:c>
      <x:c r="M214" s="6" t="n">
        <x:f>IF('Debt strategy'!$C$16&gt;0,0,MIN(I214+J214-K214,MAX(0,'Debt strategy'!$C$5-SUM(E214,K214,Q214,W214,AC214)-SUM(IF(F214&lt;L214,C214+D214-E214,0),IF(R214&lt;L214,O214+P214-Q214,0),IF(X214&lt;L214,U214+V214-W214,0),IF(AD214&lt;L214,AA214+AB214-AC214,0)))))</x:f>
        <x:v>0</x:v>
      </x:c>
      <x:c r="N214" s="6" t="n">
        <x:f>ROUND(MAX(0,I214+J214-K214-M214),2)</x:f>
        <x:v>0</x:v>
      </x:c>
      <x:c r="O214" s="6" t="n">
        <x:f>T213</x:f>
        <x:v>0</x:v>
      </x:c>
      <x:c r="P214" s="6" t="n">
        <x:f>ROUND(O214*'Debt strategy'!$D$11/12,2)</x:f>
        <x:v>0</x:v>
      </x:c>
      <x:c r="Q214" s="6" t="n">
        <x:f>MIN(O214+P214,'Debt strategy'!$E$11)</x:f>
        <x:v>0</x:v>
      </x:c>
      <x:c r="R214" s="27" t="n">
        <x:f>IF(O214+P214-Q214&lt;=0,99,1+SUM(IF(AND(C214+D214-E214&gt;0,OR(C214+D214-E214&lt;O214+P214-Q214,AND(C214+D214-E214=O214+P214-Q214,0&lt;2))),1,0),IF(AND(I214+J214-K214&gt;0,OR(I214+J214-K214&lt;O214+P214-Q214,AND(I214+J214-K214=O214+P214-Q214,1&lt;2))),1,0),IF(AND(U214+V214-W214&gt;0,OR(U214+V214-W214&lt;O214+P214-Q214,AND(U214+V214-W214=O214+P214-Q214,3&lt;2))),1,0),IF(AND(AA214+AB214-AC214&gt;0,OR(AA214+AB214-AC214&lt;O214+P214-Q214,AND(AA214+AB214-AC214=O214+P214-Q214,4&lt;2))),1,0)))</x:f>
        <x:v>99</x:v>
      </x:c>
      <x:c r="S214" s="6" t="n">
        <x:f>IF('Debt strategy'!$C$16&gt;0,0,MIN(O214+P214-Q214,MAX(0,'Debt strategy'!$C$5-SUM(E214,K214,Q214,W214,AC214)-SUM(IF(F214&lt;R214,C214+D214-E214,0),IF(L214&lt;R214,I214+J214-K214,0),IF(X214&lt;R214,U214+V214-W214,0),IF(AD214&lt;R214,AA214+AB214-AC214,0)))))</x:f>
        <x:v>0</x:v>
      </x:c>
      <x:c r="T214" s="6" t="n">
        <x:f>ROUND(MAX(0,O214+P214-Q214-S214),2)</x:f>
        <x:v>0</x:v>
      </x:c>
      <x:c r="U214" s="6" t="n">
        <x:f>Z213</x:f>
        <x:v>0</x:v>
      </x:c>
      <x:c r="V214" s="6" t="n">
        <x:f>ROUND(U214*'Debt strategy'!$D$12/12,2)</x:f>
        <x:v>0</x:v>
      </x:c>
      <x:c r="W214" s="6" t="n">
        <x:f>MIN(U214+V214,'Debt strategy'!$E$12)</x:f>
        <x:v>0</x:v>
      </x:c>
      <x:c r="X214" s="27" t="n">
        <x:f>IF(U214+V214-W214&lt;=0,99,1+SUM(IF(AND(C214+D214-E214&gt;0,OR(C214+D214-E214&lt;U214+V214-W214,AND(C214+D214-E214=U214+V214-W214,0&lt;3))),1,0),IF(AND(I214+J214-K214&gt;0,OR(I214+J214-K214&lt;U214+V214-W214,AND(I214+J214-K214=U214+V214-W214,1&lt;3))),1,0),IF(AND(O214+P214-Q214&gt;0,OR(O214+P214-Q214&lt;U214+V214-W214,AND(O214+P214-Q214=U214+V214-W214,2&lt;3))),1,0),IF(AND(AA214+AB214-AC214&gt;0,OR(AA214+AB214-AC214&lt;U214+V214-W214,AND(AA214+AB214-AC214=U214+V214-W214,4&lt;3))),1,0)))</x:f>
        <x:v>99</x:v>
      </x:c>
      <x:c r="Y214" s="6" t="n">
        <x:f>IF('Debt strategy'!$C$16&gt;0,0,MIN(U214+V214-W214,MAX(0,'Debt strategy'!$C$5-SUM(E214,K214,Q214,W214,AC214)-SUM(IF(F214&lt;X214,C214+D214-E214,0),IF(L214&lt;X214,I214+J214-K214,0),IF(R214&lt;X214,O214+P214-Q214,0),IF(AD214&lt;X214,AA214+AB214-AC214,0)))))</x:f>
        <x:v>0</x:v>
      </x:c>
      <x:c r="Z214" s="6" t="n">
        <x:f>ROUND(MAX(0,U214+V214-W214-Y214),2)</x:f>
        <x:v>0</x:v>
      </x:c>
      <x:c r="AA214" s="6" t="n">
        <x:f>AF213</x:f>
        <x:v>0</x:v>
      </x:c>
      <x:c r="AB214" s="6" t="n">
        <x:f>ROUND(AA214*'Debt strategy'!$D$13/12,2)</x:f>
        <x:v>0</x:v>
      </x:c>
      <x:c r="AC214" s="6" t="n">
        <x:f>MIN(AA214+AB214,'Debt strategy'!$E$13)</x:f>
        <x:v>0</x:v>
      </x:c>
      <x:c r="AD214" s="27" t="n">
        <x:f>IF(AA214+AB214-AC214&lt;=0,99,1+SUM(IF(AND(C214+D214-E214&gt;0,OR(C214+D214-E214&lt;AA214+AB214-AC214,AND(C214+D214-E214=AA214+AB214-AC214,0&lt;4))),1,0),IF(AND(I214+J214-K214&gt;0,OR(I214+J214-K214&lt;AA214+AB214-AC214,AND(I214+J214-K214=AA214+AB214-AC214,1&lt;4))),1,0),IF(AND(O214+P214-Q214&gt;0,OR(O214+P214-Q214&lt;AA214+AB214-AC214,AND(O214+P214-Q214=AA214+AB214-AC214,2&lt;4))),1,0),IF(AND(U214+V214-W214&gt;0,OR(U214+V214-W214&lt;AA214+AB214-AC214,AND(U214+V214-W214=AA214+AB214-AC214,3&lt;4))),1,0)))</x:f>
        <x:v>99</x:v>
      </x:c>
      <x:c r="AE214" s="6" t="n">
        <x:f>IF('Debt strategy'!$C$16&gt;0,0,MIN(AA214+AB214-AC214,MAX(0,'Debt strategy'!$C$5-SUM(E214,K214,Q214,W214,AC214)-SUM(IF(F214&lt;AD214,C214+D214-E214,0),IF(L214&lt;AD214,I214+J214-K214,0),IF(R214&lt;AD214,O214+P214-Q214,0),IF(X214&lt;AD214,U214+V214-W214,0)))))</x:f>
        <x:v>0</x:v>
      </x:c>
      <x:c r="AF214" s="6" t="n">
        <x:f>ROUND(MAX(0,AA214+AB214-AC214-AE214),2)</x:f>
        <x:v>0</x:v>
      </x:c>
      <x:c r="AG214" s="6" t="n">
        <x:f>SUM(H214,N214,T214,Z214,AF214)</x:f>
        <x:v>0</x:v>
      </x:c>
      <x:c r="AH214" s="6" t="n">
        <x:f>SUM(D214,J214,P214,V214,AB214)+AH213</x:f>
        <x:v>1353.9499999999996</x:v>
      </x:c>
      <x:c r="AI214" s="2"/>
    </x:row>
    <x:row r="215" ht="23" customHeight="1">
      <x:c r="B215" s="2" t="n">
        <x:f>207</x:f>
        <x:v>207</x:v>
      </x:c>
      <x:c r="C215" s="6" t="n">
        <x:f>H214</x:f>
        <x:v>0</x:v>
      </x:c>
      <x:c r="D215" s="6" t="n">
        <x:f>ROUND(C215*'Debt strategy'!$D$9/12,2)</x:f>
        <x:v>0</x:v>
      </x:c>
      <x:c r="E215" s="6" t="n">
        <x:f>MIN(C215+D215,'Debt strategy'!$E$9)</x:f>
        <x:v>0</x:v>
      </x:c>
      <x:c r="F215" s="27" t="n">
        <x:f>IF(C215+D215-E215&lt;=0,99,1+SUM(IF(AND(I215+J215-K215&gt;0,OR(I215+J215-K215&lt;C215+D215-E215,AND(I215+J215-K215=C215+D215-E215,1&lt;0))),1,0),IF(AND(O215+P215-Q215&gt;0,OR(O215+P215-Q215&lt;C215+D215-E215,AND(O215+P215-Q215=C215+D215-E215,2&lt;0))),1,0),IF(AND(U215+V215-W215&gt;0,OR(U215+V215-W215&lt;C215+D215-E215,AND(U215+V215-W215=C215+D215-E215,3&lt;0))),1,0),IF(AND(AA215+AB215-AC215&gt;0,OR(AA215+AB215-AC215&lt;C215+D215-E215,AND(AA215+AB215-AC215=C215+D215-E215,4&lt;0))),1,0)))</x:f>
        <x:v>99</x:v>
      </x:c>
      <x:c r="G215" s="6" t="n">
        <x:f>IF('Debt strategy'!$C$16&gt;0,0,MIN(C215+D215-E215,MAX(0,'Debt strategy'!$C$5-SUM(E215,K215,Q215,W215,AC215)-SUM(IF(L215&lt;F215,I215+J215-K215,0),IF(R215&lt;F215,O215+P215-Q215,0),IF(X215&lt;F215,U215+V215-W215,0),IF(AD215&lt;F215,AA215+AB215-AC215,0)))))</x:f>
        <x:v>0</x:v>
      </x:c>
      <x:c r="H215" s="6" t="n">
        <x:f>ROUND(MAX(0,C215+D215-E215-G215),2)</x:f>
        <x:v>0</x:v>
      </x:c>
      <x:c r="I215" s="6" t="n">
        <x:f>N214</x:f>
        <x:v>0</x:v>
      </x:c>
      <x:c r="J215" s="6" t="n">
        <x:f>ROUND(I215*'Debt strategy'!$D$10/12,2)</x:f>
        <x:v>0</x:v>
      </x:c>
      <x:c r="K215" s="6" t="n">
        <x:f>MIN(I215+J215,'Debt strategy'!$E$10)</x:f>
        <x:v>0</x:v>
      </x:c>
      <x:c r="L215" s="27" t="n">
        <x:f>IF(I215+J215-K215&lt;=0,99,1+SUM(IF(AND(C215+D215-E215&gt;0,OR(C215+D215-E215&lt;I215+J215-K215,AND(C215+D215-E215=I215+J215-K215,0&lt;1))),1,0),IF(AND(O215+P215-Q215&gt;0,OR(O215+P215-Q215&lt;I215+J215-K215,AND(O215+P215-Q215=I215+J215-K215,2&lt;1))),1,0),IF(AND(U215+V215-W215&gt;0,OR(U215+V215-W215&lt;I215+J215-K215,AND(U215+V215-W215=I215+J215-K215,3&lt;1))),1,0),IF(AND(AA215+AB215-AC215&gt;0,OR(AA215+AB215-AC215&lt;I215+J215-K215,AND(AA215+AB215-AC215=I215+J215-K215,4&lt;1))),1,0)))</x:f>
        <x:v>99</x:v>
      </x:c>
      <x:c r="M215" s="6" t="n">
        <x:f>IF('Debt strategy'!$C$16&gt;0,0,MIN(I215+J215-K215,MAX(0,'Debt strategy'!$C$5-SUM(E215,K215,Q215,W215,AC215)-SUM(IF(F215&lt;L215,C215+D215-E215,0),IF(R215&lt;L215,O215+P215-Q215,0),IF(X215&lt;L215,U215+V215-W215,0),IF(AD215&lt;L215,AA215+AB215-AC215,0)))))</x:f>
        <x:v>0</x:v>
      </x:c>
      <x:c r="N215" s="6" t="n">
        <x:f>ROUND(MAX(0,I215+J215-K215-M215),2)</x:f>
        <x:v>0</x:v>
      </x:c>
      <x:c r="O215" s="6" t="n">
        <x:f>T214</x:f>
        <x:v>0</x:v>
      </x:c>
      <x:c r="P215" s="6" t="n">
        <x:f>ROUND(O215*'Debt strategy'!$D$11/12,2)</x:f>
        <x:v>0</x:v>
      </x:c>
      <x:c r="Q215" s="6" t="n">
        <x:f>MIN(O215+P215,'Debt strategy'!$E$11)</x:f>
        <x:v>0</x:v>
      </x:c>
      <x:c r="R215" s="27" t="n">
        <x:f>IF(O215+P215-Q215&lt;=0,99,1+SUM(IF(AND(C215+D215-E215&gt;0,OR(C215+D215-E215&lt;O215+P215-Q215,AND(C215+D215-E215=O215+P215-Q215,0&lt;2))),1,0),IF(AND(I215+J215-K215&gt;0,OR(I215+J215-K215&lt;O215+P215-Q215,AND(I215+J215-K215=O215+P215-Q215,1&lt;2))),1,0),IF(AND(U215+V215-W215&gt;0,OR(U215+V215-W215&lt;O215+P215-Q215,AND(U215+V215-W215=O215+P215-Q215,3&lt;2))),1,0),IF(AND(AA215+AB215-AC215&gt;0,OR(AA215+AB215-AC215&lt;O215+P215-Q215,AND(AA215+AB215-AC215=O215+P215-Q215,4&lt;2))),1,0)))</x:f>
        <x:v>99</x:v>
      </x:c>
      <x:c r="S215" s="6" t="n">
        <x:f>IF('Debt strategy'!$C$16&gt;0,0,MIN(O215+P215-Q215,MAX(0,'Debt strategy'!$C$5-SUM(E215,K215,Q215,W215,AC215)-SUM(IF(F215&lt;R215,C215+D215-E215,0),IF(L215&lt;R215,I215+J215-K215,0),IF(X215&lt;R215,U215+V215-W215,0),IF(AD215&lt;R215,AA215+AB215-AC215,0)))))</x:f>
        <x:v>0</x:v>
      </x:c>
      <x:c r="T215" s="6" t="n">
        <x:f>ROUND(MAX(0,O215+P215-Q215-S215),2)</x:f>
        <x:v>0</x:v>
      </x:c>
      <x:c r="U215" s="6" t="n">
        <x:f>Z214</x:f>
        <x:v>0</x:v>
      </x:c>
      <x:c r="V215" s="6" t="n">
        <x:f>ROUND(U215*'Debt strategy'!$D$12/12,2)</x:f>
        <x:v>0</x:v>
      </x:c>
      <x:c r="W215" s="6" t="n">
        <x:f>MIN(U215+V215,'Debt strategy'!$E$12)</x:f>
        <x:v>0</x:v>
      </x:c>
      <x:c r="X215" s="27" t="n">
        <x:f>IF(U215+V215-W215&lt;=0,99,1+SUM(IF(AND(C215+D215-E215&gt;0,OR(C215+D215-E215&lt;U215+V215-W215,AND(C215+D215-E215=U215+V215-W215,0&lt;3))),1,0),IF(AND(I215+J215-K215&gt;0,OR(I215+J215-K215&lt;U215+V215-W215,AND(I215+J215-K215=U215+V215-W215,1&lt;3))),1,0),IF(AND(O215+P215-Q215&gt;0,OR(O215+P215-Q215&lt;U215+V215-W215,AND(O215+P215-Q215=U215+V215-W215,2&lt;3))),1,0),IF(AND(AA215+AB215-AC215&gt;0,OR(AA215+AB215-AC215&lt;U215+V215-W215,AND(AA215+AB215-AC215=U215+V215-W215,4&lt;3))),1,0)))</x:f>
        <x:v>99</x:v>
      </x:c>
      <x:c r="Y215" s="6" t="n">
        <x:f>IF('Debt strategy'!$C$16&gt;0,0,MIN(U215+V215-W215,MAX(0,'Debt strategy'!$C$5-SUM(E215,K215,Q215,W215,AC215)-SUM(IF(F215&lt;X215,C215+D215-E215,0),IF(L215&lt;X215,I215+J215-K215,0),IF(R215&lt;X215,O215+P215-Q215,0),IF(AD215&lt;X215,AA215+AB215-AC215,0)))))</x:f>
        <x:v>0</x:v>
      </x:c>
      <x:c r="Z215" s="6" t="n">
        <x:f>ROUND(MAX(0,U215+V215-W215-Y215),2)</x:f>
        <x:v>0</x:v>
      </x:c>
      <x:c r="AA215" s="6" t="n">
        <x:f>AF214</x:f>
        <x:v>0</x:v>
      </x:c>
      <x:c r="AB215" s="6" t="n">
        <x:f>ROUND(AA215*'Debt strategy'!$D$13/12,2)</x:f>
        <x:v>0</x:v>
      </x:c>
      <x:c r="AC215" s="6" t="n">
        <x:f>MIN(AA215+AB215,'Debt strategy'!$E$13)</x:f>
        <x:v>0</x:v>
      </x:c>
      <x:c r="AD215" s="27" t="n">
        <x:f>IF(AA215+AB215-AC215&lt;=0,99,1+SUM(IF(AND(C215+D215-E215&gt;0,OR(C215+D215-E215&lt;AA215+AB215-AC215,AND(C215+D215-E215=AA215+AB215-AC215,0&lt;4))),1,0),IF(AND(I215+J215-K215&gt;0,OR(I215+J215-K215&lt;AA215+AB215-AC215,AND(I215+J215-K215=AA215+AB215-AC215,1&lt;4))),1,0),IF(AND(O215+P215-Q215&gt;0,OR(O215+P215-Q215&lt;AA215+AB215-AC215,AND(O215+P215-Q215=AA215+AB215-AC215,2&lt;4))),1,0),IF(AND(U215+V215-W215&gt;0,OR(U215+V215-W215&lt;AA215+AB215-AC215,AND(U215+V215-W215=AA215+AB215-AC215,3&lt;4))),1,0)))</x:f>
        <x:v>99</x:v>
      </x:c>
      <x:c r="AE215" s="6" t="n">
        <x:f>IF('Debt strategy'!$C$16&gt;0,0,MIN(AA215+AB215-AC215,MAX(0,'Debt strategy'!$C$5-SUM(E215,K215,Q215,W215,AC215)-SUM(IF(F215&lt;AD215,C215+D215-E215,0),IF(L215&lt;AD215,I215+J215-K215,0),IF(R215&lt;AD215,O215+P215-Q215,0),IF(X215&lt;AD215,U215+V215-W215,0)))))</x:f>
        <x:v>0</x:v>
      </x:c>
      <x:c r="AF215" s="6" t="n">
        <x:f>ROUND(MAX(0,AA215+AB215-AC215-AE215),2)</x:f>
        <x:v>0</x:v>
      </x:c>
      <x:c r="AG215" s="6" t="n">
        <x:f>SUM(H215,N215,T215,Z215,AF215)</x:f>
        <x:v>0</x:v>
      </x:c>
      <x:c r="AH215" s="6" t="n">
        <x:f>SUM(D215,J215,P215,V215,AB215)+AH214</x:f>
        <x:v>1353.9499999999996</x:v>
      </x:c>
      <x:c r="AI215" s="2"/>
    </x:row>
    <x:row r="216" ht="23" customHeight="1">
      <x:c r="B216" s="2" t="n">
        <x:f>208</x:f>
        <x:v>208</x:v>
      </x:c>
      <x:c r="C216" s="6" t="n">
        <x:f>H215</x:f>
        <x:v>0</x:v>
      </x:c>
      <x:c r="D216" s="6" t="n">
        <x:f>ROUND(C216*'Debt strategy'!$D$9/12,2)</x:f>
        <x:v>0</x:v>
      </x:c>
      <x:c r="E216" s="6" t="n">
        <x:f>MIN(C216+D216,'Debt strategy'!$E$9)</x:f>
        <x:v>0</x:v>
      </x:c>
      <x:c r="F216" s="27" t="n">
        <x:f>IF(C216+D216-E216&lt;=0,99,1+SUM(IF(AND(I216+J216-K216&gt;0,OR(I216+J216-K216&lt;C216+D216-E216,AND(I216+J216-K216=C216+D216-E216,1&lt;0))),1,0),IF(AND(O216+P216-Q216&gt;0,OR(O216+P216-Q216&lt;C216+D216-E216,AND(O216+P216-Q216=C216+D216-E216,2&lt;0))),1,0),IF(AND(U216+V216-W216&gt;0,OR(U216+V216-W216&lt;C216+D216-E216,AND(U216+V216-W216=C216+D216-E216,3&lt;0))),1,0),IF(AND(AA216+AB216-AC216&gt;0,OR(AA216+AB216-AC216&lt;C216+D216-E216,AND(AA216+AB216-AC216=C216+D216-E216,4&lt;0))),1,0)))</x:f>
        <x:v>99</x:v>
      </x:c>
      <x:c r="G216" s="6" t="n">
        <x:f>IF('Debt strategy'!$C$16&gt;0,0,MIN(C216+D216-E216,MAX(0,'Debt strategy'!$C$5-SUM(E216,K216,Q216,W216,AC216)-SUM(IF(L216&lt;F216,I216+J216-K216,0),IF(R216&lt;F216,O216+P216-Q216,0),IF(X216&lt;F216,U216+V216-W216,0),IF(AD216&lt;F216,AA216+AB216-AC216,0)))))</x:f>
        <x:v>0</x:v>
      </x:c>
      <x:c r="H216" s="6" t="n">
        <x:f>ROUND(MAX(0,C216+D216-E216-G216),2)</x:f>
        <x:v>0</x:v>
      </x:c>
      <x:c r="I216" s="6" t="n">
        <x:f>N215</x:f>
        <x:v>0</x:v>
      </x:c>
      <x:c r="J216" s="6" t="n">
        <x:f>ROUND(I216*'Debt strategy'!$D$10/12,2)</x:f>
        <x:v>0</x:v>
      </x:c>
      <x:c r="K216" s="6" t="n">
        <x:f>MIN(I216+J216,'Debt strategy'!$E$10)</x:f>
        <x:v>0</x:v>
      </x:c>
      <x:c r="L216" s="27" t="n">
        <x:f>IF(I216+J216-K216&lt;=0,99,1+SUM(IF(AND(C216+D216-E216&gt;0,OR(C216+D216-E216&lt;I216+J216-K216,AND(C216+D216-E216=I216+J216-K216,0&lt;1))),1,0),IF(AND(O216+P216-Q216&gt;0,OR(O216+P216-Q216&lt;I216+J216-K216,AND(O216+P216-Q216=I216+J216-K216,2&lt;1))),1,0),IF(AND(U216+V216-W216&gt;0,OR(U216+V216-W216&lt;I216+J216-K216,AND(U216+V216-W216=I216+J216-K216,3&lt;1))),1,0),IF(AND(AA216+AB216-AC216&gt;0,OR(AA216+AB216-AC216&lt;I216+J216-K216,AND(AA216+AB216-AC216=I216+J216-K216,4&lt;1))),1,0)))</x:f>
        <x:v>99</x:v>
      </x:c>
      <x:c r="M216" s="6" t="n">
        <x:f>IF('Debt strategy'!$C$16&gt;0,0,MIN(I216+J216-K216,MAX(0,'Debt strategy'!$C$5-SUM(E216,K216,Q216,W216,AC216)-SUM(IF(F216&lt;L216,C216+D216-E216,0),IF(R216&lt;L216,O216+P216-Q216,0),IF(X216&lt;L216,U216+V216-W216,0),IF(AD216&lt;L216,AA216+AB216-AC216,0)))))</x:f>
        <x:v>0</x:v>
      </x:c>
      <x:c r="N216" s="6" t="n">
        <x:f>ROUND(MAX(0,I216+J216-K216-M216),2)</x:f>
        <x:v>0</x:v>
      </x:c>
      <x:c r="O216" s="6" t="n">
        <x:f>T215</x:f>
        <x:v>0</x:v>
      </x:c>
      <x:c r="P216" s="6" t="n">
        <x:f>ROUND(O216*'Debt strategy'!$D$11/12,2)</x:f>
        <x:v>0</x:v>
      </x:c>
      <x:c r="Q216" s="6" t="n">
        <x:f>MIN(O216+P216,'Debt strategy'!$E$11)</x:f>
        <x:v>0</x:v>
      </x:c>
      <x:c r="R216" s="27" t="n">
        <x:f>IF(O216+P216-Q216&lt;=0,99,1+SUM(IF(AND(C216+D216-E216&gt;0,OR(C216+D216-E216&lt;O216+P216-Q216,AND(C216+D216-E216=O216+P216-Q216,0&lt;2))),1,0),IF(AND(I216+J216-K216&gt;0,OR(I216+J216-K216&lt;O216+P216-Q216,AND(I216+J216-K216=O216+P216-Q216,1&lt;2))),1,0),IF(AND(U216+V216-W216&gt;0,OR(U216+V216-W216&lt;O216+P216-Q216,AND(U216+V216-W216=O216+P216-Q216,3&lt;2))),1,0),IF(AND(AA216+AB216-AC216&gt;0,OR(AA216+AB216-AC216&lt;O216+P216-Q216,AND(AA216+AB216-AC216=O216+P216-Q216,4&lt;2))),1,0)))</x:f>
        <x:v>99</x:v>
      </x:c>
      <x:c r="S216" s="6" t="n">
        <x:f>IF('Debt strategy'!$C$16&gt;0,0,MIN(O216+P216-Q216,MAX(0,'Debt strategy'!$C$5-SUM(E216,K216,Q216,W216,AC216)-SUM(IF(F216&lt;R216,C216+D216-E216,0),IF(L216&lt;R216,I216+J216-K216,0),IF(X216&lt;R216,U216+V216-W216,0),IF(AD216&lt;R216,AA216+AB216-AC216,0)))))</x:f>
        <x:v>0</x:v>
      </x:c>
      <x:c r="T216" s="6" t="n">
        <x:f>ROUND(MAX(0,O216+P216-Q216-S216),2)</x:f>
        <x:v>0</x:v>
      </x:c>
      <x:c r="U216" s="6" t="n">
        <x:f>Z215</x:f>
        <x:v>0</x:v>
      </x:c>
      <x:c r="V216" s="6" t="n">
        <x:f>ROUND(U216*'Debt strategy'!$D$12/12,2)</x:f>
        <x:v>0</x:v>
      </x:c>
      <x:c r="W216" s="6" t="n">
        <x:f>MIN(U216+V216,'Debt strategy'!$E$12)</x:f>
        <x:v>0</x:v>
      </x:c>
      <x:c r="X216" s="27" t="n">
        <x:f>IF(U216+V216-W216&lt;=0,99,1+SUM(IF(AND(C216+D216-E216&gt;0,OR(C216+D216-E216&lt;U216+V216-W216,AND(C216+D216-E216=U216+V216-W216,0&lt;3))),1,0),IF(AND(I216+J216-K216&gt;0,OR(I216+J216-K216&lt;U216+V216-W216,AND(I216+J216-K216=U216+V216-W216,1&lt;3))),1,0),IF(AND(O216+P216-Q216&gt;0,OR(O216+P216-Q216&lt;U216+V216-W216,AND(O216+P216-Q216=U216+V216-W216,2&lt;3))),1,0),IF(AND(AA216+AB216-AC216&gt;0,OR(AA216+AB216-AC216&lt;U216+V216-W216,AND(AA216+AB216-AC216=U216+V216-W216,4&lt;3))),1,0)))</x:f>
        <x:v>99</x:v>
      </x:c>
      <x:c r="Y216" s="6" t="n">
        <x:f>IF('Debt strategy'!$C$16&gt;0,0,MIN(U216+V216-W216,MAX(0,'Debt strategy'!$C$5-SUM(E216,K216,Q216,W216,AC216)-SUM(IF(F216&lt;X216,C216+D216-E216,0),IF(L216&lt;X216,I216+J216-K216,0),IF(R216&lt;X216,O216+P216-Q216,0),IF(AD216&lt;X216,AA216+AB216-AC216,0)))))</x:f>
        <x:v>0</x:v>
      </x:c>
      <x:c r="Z216" s="6" t="n">
        <x:f>ROUND(MAX(0,U216+V216-W216-Y216),2)</x:f>
        <x:v>0</x:v>
      </x:c>
      <x:c r="AA216" s="6" t="n">
        <x:f>AF215</x:f>
        <x:v>0</x:v>
      </x:c>
      <x:c r="AB216" s="6" t="n">
        <x:f>ROUND(AA216*'Debt strategy'!$D$13/12,2)</x:f>
        <x:v>0</x:v>
      </x:c>
      <x:c r="AC216" s="6" t="n">
        <x:f>MIN(AA216+AB216,'Debt strategy'!$E$13)</x:f>
        <x:v>0</x:v>
      </x:c>
      <x:c r="AD216" s="27" t="n">
        <x:f>IF(AA216+AB216-AC216&lt;=0,99,1+SUM(IF(AND(C216+D216-E216&gt;0,OR(C216+D216-E216&lt;AA216+AB216-AC216,AND(C216+D216-E216=AA216+AB216-AC216,0&lt;4))),1,0),IF(AND(I216+J216-K216&gt;0,OR(I216+J216-K216&lt;AA216+AB216-AC216,AND(I216+J216-K216=AA216+AB216-AC216,1&lt;4))),1,0),IF(AND(O216+P216-Q216&gt;0,OR(O216+P216-Q216&lt;AA216+AB216-AC216,AND(O216+P216-Q216=AA216+AB216-AC216,2&lt;4))),1,0),IF(AND(U216+V216-W216&gt;0,OR(U216+V216-W216&lt;AA216+AB216-AC216,AND(U216+V216-W216=AA216+AB216-AC216,3&lt;4))),1,0)))</x:f>
        <x:v>99</x:v>
      </x:c>
      <x:c r="AE216" s="6" t="n">
        <x:f>IF('Debt strategy'!$C$16&gt;0,0,MIN(AA216+AB216-AC216,MAX(0,'Debt strategy'!$C$5-SUM(E216,K216,Q216,W216,AC216)-SUM(IF(F216&lt;AD216,C216+D216-E216,0),IF(L216&lt;AD216,I216+J216-K216,0),IF(R216&lt;AD216,O216+P216-Q216,0),IF(X216&lt;AD216,U216+V216-W216,0)))))</x:f>
        <x:v>0</x:v>
      </x:c>
      <x:c r="AF216" s="6" t="n">
        <x:f>ROUND(MAX(0,AA216+AB216-AC216-AE216),2)</x:f>
        <x:v>0</x:v>
      </x:c>
      <x:c r="AG216" s="6" t="n">
        <x:f>SUM(H216,N216,T216,Z216,AF216)</x:f>
        <x:v>0</x:v>
      </x:c>
      <x:c r="AH216" s="6" t="n">
        <x:f>SUM(D216,J216,P216,V216,AB216)+AH215</x:f>
        <x:v>1353.9499999999996</x:v>
      </x:c>
      <x:c r="AI216" s="2"/>
    </x:row>
    <x:row r="217" ht="23" customHeight="1">
      <x:c r="B217" s="2" t="n">
        <x:f>209</x:f>
        <x:v>209</x:v>
      </x:c>
      <x:c r="C217" s="6" t="n">
        <x:f>H216</x:f>
        <x:v>0</x:v>
      </x:c>
      <x:c r="D217" s="6" t="n">
        <x:f>ROUND(C217*'Debt strategy'!$D$9/12,2)</x:f>
        <x:v>0</x:v>
      </x:c>
      <x:c r="E217" s="6" t="n">
        <x:f>MIN(C217+D217,'Debt strategy'!$E$9)</x:f>
        <x:v>0</x:v>
      </x:c>
      <x:c r="F217" s="27" t="n">
        <x:f>IF(C217+D217-E217&lt;=0,99,1+SUM(IF(AND(I217+J217-K217&gt;0,OR(I217+J217-K217&lt;C217+D217-E217,AND(I217+J217-K217=C217+D217-E217,1&lt;0))),1,0),IF(AND(O217+P217-Q217&gt;0,OR(O217+P217-Q217&lt;C217+D217-E217,AND(O217+P217-Q217=C217+D217-E217,2&lt;0))),1,0),IF(AND(U217+V217-W217&gt;0,OR(U217+V217-W217&lt;C217+D217-E217,AND(U217+V217-W217=C217+D217-E217,3&lt;0))),1,0),IF(AND(AA217+AB217-AC217&gt;0,OR(AA217+AB217-AC217&lt;C217+D217-E217,AND(AA217+AB217-AC217=C217+D217-E217,4&lt;0))),1,0)))</x:f>
        <x:v>99</x:v>
      </x:c>
      <x:c r="G217" s="6" t="n">
        <x:f>IF('Debt strategy'!$C$16&gt;0,0,MIN(C217+D217-E217,MAX(0,'Debt strategy'!$C$5-SUM(E217,K217,Q217,W217,AC217)-SUM(IF(L217&lt;F217,I217+J217-K217,0),IF(R217&lt;F217,O217+P217-Q217,0),IF(X217&lt;F217,U217+V217-W217,0),IF(AD217&lt;F217,AA217+AB217-AC217,0)))))</x:f>
        <x:v>0</x:v>
      </x:c>
      <x:c r="H217" s="6" t="n">
        <x:f>ROUND(MAX(0,C217+D217-E217-G217),2)</x:f>
        <x:v>0</x:v>
      </x:c>
      <x:c r="I217" s="6" t="n">
        <x:f>N216</x:f>
        <x:v>0</x:v>
      </x:c>
      <x:c r="J217" s="6" t="n">
        <x:f>ROUND(I217*'Debt strategy'!$D$10/12,2)</x:f>
        <x:v>0</x:v>
      </x:c>
      <x:c r="K217" s="6" t="n">
        <x:f>MIN(I217+J217,'Debt strategy'!$E$10)</x:f>
        <x:v>0</x:v>
      </x:c>
      <x:c r="L217" s="27" t="n">
        <x:f>IF(I217+J217-K217&lt;=0,99,1+SUM(IF(AND(C217+D217-E217&gt;0,OR(C217+D217-E217&lt;I217+J217-K217,AND(C217+D217-E217=I217+J217-K217,0&lt;1))),1,0),IF(AND(O217+P217-Q217&gt;0,OR(O217+P217-Q217&lt;I217+J217-K217,AND(O217+P217-Q217=I217+J217-K217,2&lt;1))),1,0),IF(AND(U217+V217-W217&gt;0,OR(U217+V217-W217&lt;I217+J217-K217,AND(U217+V217-W217=I217+J217-K217,3&lt;1))),1,0),IF(AND(AA217+AB217-AC217&gt;0,OR(AA217+AB217-AC217&lt;I217+J217-K217,AND(AA217+AB217-AC217=I217+J217-K217,4&lt;1))),1,0)))</x:f>
        <x:v>99</x:v>
      </x:c>
      <x:c r="M217" s="6" t="n">
        <x:f>IF('Debt strategy'!$C$16&gt;0,0,MIN(I217+J217-K217,MAX(0,'Debt strategy'!$C$5-SUM(E217,K217,Q217,W217,AC217)-SUM(IF(F217&lt;L217,C217+D217-E217,0),IF(R217&lt;L217,O217+P217-Q217,0),IF(X217&lt;L217,U217+V217-W217,0),IF(AD217&lt;L217,AA217+AB217-AC217,0)))))</x:f>
        <x:v>0</x:v>
      </x:c>
      <x:c r="N217" s="6" t="n">
        <x:f>ROUND(MAX(0,I217+J217-K217-M217),2)</x:f>
        <x:v>0</x:v>
      </x:c>
      <x:c r="O217" s="6" t="n">
        <x:f>T216</x:f>
        <x:v>0</x:v>
      </x:c>
      <x:c r="P217" s="6" t="n">
        <x:f>ROUND(O217*'Debt strategy'!$D$11/12,2)</x:f>
        <x:v>0</x:v>
      </x:c>
      <x:c r="Q217" s="6" t="n">
        <x:f>MIN(O217+P217,'Debt strategy'!$E$11)</x:f>
        <x:v>0</x:v>
      </x:c>
      <x:c r="R217" s="27" t="n">
        <x:f>IF(O217+P217-Q217&lt;=0,99,1+SUM(IF(AND(C217+D217-E217&gt;0,OR(C217+D217-E217&lt;O217+P217-Q217,AND(C217+D217-E217=O217+P217-Q217,0&lt;2))),1,0),IF(AND(I217+J217-K217&gt;0,OR(I217+J217-K217&lt;O217+P217-Q217,AND(I217+J217-K217=O217+P217-Q217,1&lt;2))),1,0),IF(AND(U217+V217-W217&gt;0,OR(U217+V217-W217&lt;O217+P217-Q217,AND(U217+V217-W217=O217+P217-Q217,3&lt;2))),1,0),IF(AND(AA217+AB217-AC217&gt;0,OR(AA217+AB217-AC217&lt;O217+P217-Q217,AND(AA217+AB217-AC217=O217+P217-Q217,4&lt;2))),1,0)))</x:f>
        <x:v>99</x:v>
      </x:c>
      <x:c r="S217" s="6" t="n">
        <x:f>IF('Debt strategy'!$C$16&gt;0,0,MIN(O217+P217-Q217,MAX(0,'Debt strategy'!$C$5-SUM(E217,K217,Q217,W217,AC217)-SUM(IF(F217&lt;R217,C217+D217-E217,0),IF(L217&lt;R217,I217+J217-K217,0),IF(X217&lt;R217,U217+V217-W217,0),IF(AD217&lt;R217,AA217+AB217-AC217,0)))))</x:f>
        <x:v>0</x:v>
      </x:c>
      <x:c r="T217" s="6" t="n">
        <x:f>ROUND(MAX(0,O217+P217-Q217-S217),2)</x:f>
        <x:v>0</x:v>
      </x:c>
      <x:c r="U217" s="6" t="n">
        <x:f>Z216</x:f>
        <x:v>0</x:v>
      </x:c>
      <x:c r="V217" s="6" t="n">
        <x:f>ROUND(U217*'Debt strategy'!$D$12/12,2)</x:f>
        <x:v>0</x:v>
      </x:c>
      <x:c r="W217" s="6" t="n">
        <x:f>MIN(U217+V217,'Debt strategy'!$E$12)</x:f>
        <x:v>0</x:v>
      </x:c>
      <x:c r="X217" s="27" t="n">
        <x:f>IF(U217+V217-W217&lt;=0,99,1+SUM(IF(AND(C217+D217-E217&gt;0,OR(C217+D217-E217&lt;U217+V217-W217,AND(C217+D217-E217=U217+V217-W217,0&lt;3))),1,0),IF(AND(I217+J217-K217&gt;0,OR(I217+J217-K217&lt;U217+V217-W217,AND(I217+J217-K217=U217+V217-W217,1&lt;3))),1,0),IF(AND(O217+P217-Q217&gt;0,OR(O217+P217-Q217&lt;U217+V217-W217,AND(O217+P217-Q217=U217+V217-W217,2&lt;3))),1,0),IF(AND(AA217+AB217-AC217&gt;0,OR(AA217+AB217-AC217&lt;U217+V217-W217,AND(AA217+AB217-AC217=U217+V217-W217,4&lt;3))),1,0)))</x:f>
        <x:v>99</x:v>
      </x:c>
      <x:c r="Y217" s="6" t="n">
        <x:f>IF('Debt strategy'!$C$16&gt;0,0,MIN(U217+V217-W217,MAX(0,'Debt strategy'!$C$5-SUM(E217,K217,Q217,W217,AC217)-SUM(IF(F217&lt;X217,C217+D217-E217,0),IF(L217&lt;X217,I217+J217-K217,0),IF(R217&lt;X217,O217+P217-Q217,0),IF(AD217&lt;X217,AA217+AB217-AC217,0)))))</x:f>
        <x:v>0</x:v>
      </x:c>
      <x:c r="Z217" s="6" t="n">
        <x:f>ROUND(MAX(0,U217+V217-W217-Y217),2)</x:f>
        <x:v>0</x:v>
      </x:c>
      <x:c r="AA217" s="6" t="n">
        <x:f>AF216</x:f>
        <x:v>0</x:v>
      </x:c>
      <x:c r="AB217" s="6" t="n">
        <x:f>ROUND(AA217*'Debt strategy'!$D$13/12,2)</x:f>
        <x:v>0</x:v>
      </x:c>
      <x:c r="AC217" s="6" t="n">
        <x:f>MIN(AA217+AB217,'Debt strategy'!$E$13)</x:f>
        <x:v>0</x:v>
      </x:c>
      <x:c r="AD217" s="27" t="n">
        <x:f>IF(AA217+AB217-AC217&lt;=0,99,1+SUM(IF(AND(C217+D217-E217&gt;0,OR(C217+D217-E217&lt;AA217+AB217-AC217,AND(C217+D217-E217=AA217+AB217-AC217,0&lt;4))),1,0),IF(AND(I217+J217-K217&gt;0,OR(I217+J217-K217&lt;AA217+AB217-AC217,AND(I217+J217-K217=AA217+AB217-AC217,1&lt;4))),1,0),IF(AND(O217+P217-Q217&gt;0,OR(O217+P217-Q217&lt;AA217+AB217-AC217,AND(O217+P217-Q217=AA217+AB217-AC217,2&lt;4))),1,0),IF(AND(U217+V217-W217&gt;0,OR(U217+V217-W217&lt;AA217+AB217-AC217,AND(U217+V217-W217=AA217+AB217-AC217,3&lt;4))),1,0)))</x:f>
        <x:v>99</x:v>
      </x:c>
      <x:c r="AE217" s="6" t="n">
        <x:f>IF('Debt strategy'!$C$16&gt;0,0,MIN(AA217+AB217-AC217,MAX(0,'Debt strategy'!$C$5-SUM(E217,K217,Q217,W217,AC217)-SUM(IF(F217&lt;AD217,C217+D217-E217,0),IF(L217&lt;AD217,I217+J217-K217,0),IF(R217&lt;AD217,O217+P217-Q217,0),IF(X217&lt;AD217,U217+V217-W217,0)))))</x:f>
        <x:v>0</x:v>
      </x:c>
      <x:c r="AF217" s="6" t="n">
        <x:f>ROUND(MAX(0,AA217+AB217-AC217-AE217),2)</x:f>
        <x:v>0</x:v>
      </x:c>
      <x:c r="AG217" s="6" t="n">
        <x:f>SUM(H217,N217,T217,Z217,AF217)</x:f>
        <x:v>0</x:v>
      </x:c>
      <x:c r="AH217" s="6" t="n">
        <x:f>SUM(D217,J217,P217,V217,AB217)+AH216</x:f>
        <x:v>1353.9499999999996</x:v>
      </x:c>
      <x:c r="AI217" s="2"/>
    </x:row>
    <x:row r="218" ht="23" customHeight="1">
      <x:c r="B218" s="2" t="n">
        <x:f>210</x:f>
        <x:v>210</x:v>
      </x:c>
      <x:c r="C218" s="6" t="n">
        <x:f>H217</x:f>
        <x:v>0</x:v>
      </x:c>
      <x:c r="D218" s="6" t="n">
        <x:f>ROUND(C218*'Debt strategy'!$D$9/12,2)</x:f>
        <x:v>0</x:v>
      </x:c>
      <x:c r="E218" s="6" t="n">
        <x:f>MIN(C218+D218,'Debt strategy'!$E$9)</x:f>
        <x:v>0</x:v>
      </x:c>
      <x:c r="F218" s="27" t="n">
        <x:f>IF(C218+D218-E218&lt;=0,99,1+SUM(IF(AND(I218+J218-K218&gt;0,OR(I218+J218-K218&lt;C218+D218-E218,AND(I218+J218-K218=C218+D218-E218,1&lt;0))),1,0),IF(AND(O218+P218-Q218&gt;0,OR(O218+P218-Q218&lt;C218+D218-E218,AND(O218+P218-Q218=C218+D218-E218,2&lt;0))),1,0),IF(AND(U218+V218-W218&gt;0,OR(U218+V218-W218&lt;C218+D218-E218,AND(U218+V218-W218=C218+D218-E218,3&lt;0))),1,0),IF(AND(AA218+AB218-AC218&gt;0,OR(AA218+AB218-AC218&lt;C218+D218-E218,AND(AA218+AB218-AC218=C218+D218-E218,4&lt;0))),1,0)))</x:f>
        <x:v>99</x:v>
      </x:c>
      <x:c r="G218" s="6" t="n">
        <x:f>IF('Debt strategy'!$C$16&gt;0,0,MIN(C218+D218-E218,MAX(0,'Debt strategy'!$C$5-SUM(E218,K218,Q218,W218,AC218)-SUM(IF(L218&lt;F218,I218+J218-K218,0),IF(R218&lt;F218,O218+P218-Q218,0),IF(X218&lt;F218,U218+V218-W218,0),IF(AD218&lt;F218,AA218+AB218-AC218,0)))))</x:f>
        <x:v>0</x:v>
      </x:c>
      <x:c r="H218" s="6" t="n">
        <x:f>ROUND(MAX(0,C218+D218-E218-G218),2)</x:f>
        <x:v>0</x:v>
      </x:c>
      <x:c r="I218" s="6" t="n">
        <x:f>N217</x:f>
        <x:v>0</x:v>
      </x:c>
      <x:c r="J218" s="6" t="n">
        <x:f>ROUND(I218*'Debt strategy'!$D$10/12,2)</x:f>
        <x:v>0</x:v>
      </x:c>
      <x:c r="K218" s="6" t="n">
        <x:f>MIN(I218+J218,'Debt strategy'!$E$10)</x:f>
        <x:v>0</x:v>
      </x:c>
      <x:c r="L218" s="27" t="n">
        <x:f>IF(I218+J218-K218&lt;=0,99,1+SUM(IF(AND(C218+D218-E218&gt;0,OR(C218+D218-E218&lt;I218+J218-K218,AND(C218+D218-E218=I218+J218-K218,0&lt;1))),1,0),IF(AND(O218+P218-Q218&gt;0,OR(O218+P218-Q218&lt;I218+J218-K218,AND(O218+P218-Q218=I218+J218-K218,2&lt;1))),1,0),IF(AND(U218+V218-W218&gt;0,OR(U218+V218-W218&lt;I218+J218-K218,AND(U218+V218-W218=I218+J218-K218,3&lt;1))),1,0),IF(AND(AA218+AB218-AC218&gt;0,OR(AA218+AB218-AC218&lt;I218+J218-K218,AND(AA218+AB218-AC218=I218+J218-K218,4&lt;1))),1,0)))</x:f>
        <x:v>99</x:v>
      </x:c>
      <x:c r="M218" s="6" t="n">
        <x:f>IF('Debt strategy'!$C$16&gt;0,0,MIN(I218+J218-K218,MAX(0,'Debt strategy'!$C$5-SUM(E218,K218,Q218,W218,AC218)-SUM(IF(F218&lt;L218,C218+D218-E218,0),IF(R218&lt;L218,O218+P218-Q218,0),IF(X218&lt;L218,U218+V218-W218,0),IF(AD218&lt;L218,AA218+AB218-AC218,0)))))</x:f>
        <x:v>0</x:v>
      </x:c>
      <x:c r="N218" s="6" t="n">
        <x:f>ROUND(MAX(0,I218+J218-K218-M218),2)</x:f>
        <x:v>0</x:v>
      </x:c>
      <x:c r="O218" s="6" t="n">
        <x:f>T217</x:f>
        <x:v>0</x:v>
      </x:c>
      <x:c r="P218" s="6" t="n">
        <x:f>ROUND(O218*'Debt strategy'!$D$11/12,2)</x:f>
        <x:v>0</x:v>
      </x:c>
      <x:c r="Q218" s="6" t="n">
        <x:f>MIN(O218+P218,'Debt strategy'!$E$11)</x:f>
        <x:v>0</x:v>
      </x:c>
      <x:c r="R218" s="27" t="n">
        <x:f>IF(O218+P218-Q218&lt;=0,99,1+SUM(IF(AND(C218+D218-E218&gt;0,OR(C218+D218-E218&lt;O218+P218-Q218,AND(C218+D218-E218=O218+P218-Q218,0&lt;2))),1,0),IF(AND(I218+J218-K218&gt;0,OR(I218+J218-K218&lt;O218+P218-Q218,AND(I218+J218-K218=O218+P218-Q218,1&lt;2))),1,0),IF(AND(U218+V218-W218&gt;0,OR(U218+V218-W218&lt;O218+P218-Q218,AND(U218+V218-W218=O218+P218-Q218,3&lt;2))),1,0),IF(AND(AA218+AB218-AC218&gt;0,OR(AA218+AB218-AC218&lt;O218+P218-Q218,AND(AA218+AB218-AC218=O218+P218-Q218,4&lt;2))),1,0)))</x:f>
        <x:v>99</x:v>
      </x:c>
      <x:c r="S218" s="6" t="n">
        <x:f>IF('Debt strategy'!$C$16&gt;0,0,MIN(O218+P218-Q218,MAX(0,'Debt strategy'!$C$5-SUM(E218,K218,Q218,W218,AC218)-SUM(IF(F218&lt;R218,C218+D218-E218,0),IF(L218&lt;R218,I218+J218-K218,0),IF(X218&lt;R218,U218+V218-W218,0),IF(AD218&lt;R218,AA218+AB218-AC218,0)))))</x:f>
        <x:v>0</x:v>
      </x:c>
      <x:c r="T218" s="6" t="n">
        <x:f>ROUND(MAX(0,O218+P218-Q218-S218),2)</x:f>
        <x:v>0</x:v>
      </x:c>
      <x:c r="U218" s="6" t="n">
        <x:f>Z217</x:f>
        <x:v>0</x:v>
      </x:c>
      <x:c r="V218" s="6" t="n">
        <x:f>ROUND(U218*'Debt strategy'!$D$12/12,2)</x:f>
        <x:v>0</x:v>
      </x:c>
      <x:c r="W218" s="6" t="n">
        <x:f>MIN(U218+V218,'Debt strategy'!$E$12)</x:f>
        <x:v>0</x:v>
      </x:c>
      <x:c r="X218" s="27" t="n">
        <x:f>IF(U218+V218-W218&lt;=0,99,1+SUM(IF(AND(C218+D218-E218&gt;0,OR(C218+D218-E218&lt;U218+V218-W218,AND(C218+D218-E218=U218+V218-W218,0&lt;3))),1,0),IF(AND(I218+J218-K218&gt;0,OR(I218+J218-K218&lt;U218+V218-W218,AND(I218+J218-K218=U218+V218-W218,1&lt;3))),1,0),IF(AND(O218+P218-Q218&gt;0,OR(O218+P218-Q218&lt;U218+V218-W218,AND(O218+P218-Q218=U218+V218-W218,2&lt;3))),1,0),IF(AND(AA218+AB218-AC218&gt;0,OR(AA218+AB218-AC218&lt;U218+V218-W218,AND(AA218+AB218-AC218=U218+V218-W218,4&lt;3))),1,0)))</x:f>
        <x:v>99</x:v>
      </x:c>
      <x:c r="Y218" s="6" t="n">
        <x:f>IF('Debt strategy'!$C$16&gt;0,0,MIN(U218+V218-W218,MAX(0,'Debt strategy'!$C$5-SUM(E218,K218,Q218,W218,AC218)-SUM(IF(F218&lt;X218,C218+D218-E218,0),IF(L218&lt;X218,I218+J218-K218,0),IF(R218&lt;X218,O218+P218-Q218,0),IF(AD218&lt;X218,AA218+AB218-AC218,0)))))</x:f>
        <x:v>0</x:v>
      </x:c>
      <x:c r="Z218" s="6" t="n">
        <x:f>ROUND(MAX(0,U218+V218-W218-Y218),2)</x:f>
        <x:v>0</x:v>
      </x:c>
      <x:c r="AA218" s="6" t="n">
        <x:f>AF217</x:f>
        <x:v>0</x:v>
      </x:c>
      <x:c r="AB218" s="6" t="n">
        <x:f>ROUND(AA218*'Debt strategy'!$D$13/12,2)</x:f>
        <x:v>0</x:v>
      </x:c>
      <x:c r="AC218" s="6" t="n">
        <x:f>MIN(AA218+AB218,'Debt strategy'!$E$13)</x:f>
        <x:v>0</x:v>
      </x:c>
      <x:c r="AD218" s="27" t="n">
        <x:f>IF(AA218+AB218-AC218&lt;=0,99,1+SUM(IF(AND(C218+D218-E218&gt;0,OR(C218+D218-E218&lt;AA218+AB218-AC218,AND(C218+D218-E218=AA218+AB218-AC218,0&lt;4))),1,0),IF(AND(I218+J218-K218&gt;0,OR(I218+J218-K218&lt;AA218+AB218-AC218,AND(I218+J218-K218=AA218+AB218-AC218,1&lt;4))),1,0),IF(AND(O218+P218-Q218&gt;0,OR(O218+P218-Q218&lt;AA218+AB218-AC218,AND(O218+P218-Q218=AA218+AB218-AC218,2&lt;4))),1,0),IF(AND(U218+V218-W218&gt;0,OR(U218+V218-W218&lt;AA218+AB218-AC218,AND(U218+V218-W218=AA218+AB218-AC218,3&lt;4))),1,0)))</x:f>
        <x:v>99</x:v>
      </x:c>
      <x:c r="AE218" s="6" t="n">
        <x:f>IF('Debt strategy'!$C$16&gt;0,0,MIN(AA218+AB218-AC218,MAX(0,'Debt strategy'!$C$5-SUM(E218,K218,Q218,W218,AC218)-SUM(IF(F218&lt;AD218,C218+D218-E218,0),IF(L218&lt;AD218,I218+J218-K218,0),IF(R218&lt;AD218,O218+P218-Q218,0),IF(X218&lt;AD218,U218+V218-W218,0)))))</x:f>
        <x:v>0</x:v>
      </x:c>
      <x:c r="AF218" s="6" t="n">
        <x:f>ROUND(MAX(0,AA218+AB218-AC218-AE218),2)</x:f>
        <x:v>0</x:v>
      </x:c>
      <x:c r="AG218" s="6" t="n">
        <x:f>SUM(H218,N218,T218,Z218,AF218)</x:f>
        <x:v>0</x:v>
      </x:c>
      <x:c r="AH218" s="6" t="n">
        <x:f>SUM(D218,J218,P218,V218,AB218)+AH217</x:f>
        <x:v>1353.9499999999996</x:v>
      </x:c>
      <x:c r="AI218" s="2"/>
    </x:row>
    <x:row r="219" ht="23" customHeight="1">
      <x:c r="B219" s="2" t="n">
        <x:f>211</x:f>
        <x:v>211</x:v>
      </x:c>
      <x:c r="C219" s="6" t="n">
        <x:f>H218</x:f>
        <x:v>0</x:v>
      </x:c>
      <x:c r="D219" s="6" t="n">
        <x:f>ROUND(C219*'Debt strategy'!$D$9/12,2)</x:f>
        <x:v>0</x:v>
      </x:c>
      <x:c r="E219" s="6" t="n">
        <x:f>MIN(C219+D219,'Debt strategy'!$E$9)</x:f>
        <x:v>0</x:v>
      </x:c>
      <x:c r="F219" s="27" t="n">
        <x:f>IF(C219+D219-E219&lt;=0,99,1+SUM(IF(AND(I219+J219-K219&gt;0,OR(I219+J219-K219&lt;C219+D219-E219,AND(I219+J219-K219=C219+D219-E219,1&lt;0))),1,0),IF(AND(O219+P219-Q219&gt;0,OR(O219+P219-Q219&lt;C219+D219-E219,AND(O219+P219-Q219=C219+D219-E219,2&lt;0))),1,0),IF(AND(U219+V219-W219&gt;0,OR(U219+V219-W219&lt;C219+D219-E219,AND(U219+V219-W219=C219+D219-E219,3&lt;0))),1,0),IF(AND(AA219+AB219-AC219&gt;0,OR(AA219+AB219-AC219&lt;C219+D219-E219,AND(AA219+AB219-AC219=C219+D219-E219,4&lt;0))),1,0)))</x:f>
        <x:v>99</x:v>
      </x:c>
      <x:c r="G219" s="6" t="n">
        <x:f>IF('Debt strategy'!$C$16&gt;0,0,MIN(C219+D219-E219,MAX(0,'Debt strategy'!$C$5-SUM(E219,K219,Q219,W219,AC219)-SUM(IF(L219&lt;F219,I219+J219-K219,0),IF(R219&lt;F219,O219+P219-Q219,0),IF(X219&lt;F219,U219+V219-W219,0),IF(AD219&lt;F219,AA219+AB219-AC219,0)))))</x:f>
        <x:v>0</x:v>
      </x:c>
      <x:c r="H219" s="6" t="n">
        <x:f>ROUND(MAX(0,C219+D219-E219-G219),2)</x:f>
        <x:v>0</x:v>
      </x:c>
      <x:c r="I219" s="6" t="n">
        <x:f>N218</x:f>
        <x:v>0</x:v>
      </x:c>
      <x:c r="J219" s="6" t="n">
        <x:f>ROUND(I219*'Debt strategy'!$D$10/12,2)</x:f>
        <x:v>0</x:v>
      </x:c>
      <x:c r="K219" s="6" t="n">
        <x:f>MIN(I219+J219,'Debt strategy'!$E$10)</x:f>
        <x:v>0</x:v>
      </x:c>
      <x:c r="L219" s="27" t="n">
        <x:f>IF(I219+J219-K219&lt;=0,99,1+SUM(IF(AND(C219+D219-E219&gt;0,OR(C219+D219-E219&lt;I219+J219-K219,AND(C219+D219-E219=I219+J219-K219,0&lt;1))),1,0),IF(AND(O219+P219-Q219&gt;0,OR(O219+P219-Q219&lt;I219+J219-K219,AND(O219+P219-Q219=I219+J219-K219,2&lt;1))),1,0),IF(AND(U219+V219-W219&gt;0,OR(U219+V219-W219&lt;I219+J219-K219,AND(U219+V219-W219=I219+J219-K219,3&lt;1))),1,0),IF(AND(AA219+AB219-AC219&gt;0,OR(AA219+AB219-AC219&lt;I219+J219-K219,AND(AA219+AB219-AC219=I219+J219-K219,4&lt;1))),1,0)))</x:f>
        <x:v>99</x:v>
      </x:c>
      <x:c r="M219" s="6" t="n">
        <x:f>IF('Debt strategy'!$C$16&gt;0,0,MIN(I219+J219-K219,MAX(0,'Debt strategy'!$C$5-SUM(E219,K219,Q219,W219,AC219)-SUM(IF(F219&lt;L219,C219+D219-E219,0),IF(R219&lt;L219,O219+P219-Q219,0),IF(X219&lt;L219,U219+V219-W219,0),IF(AD219&lt;L219,AA219+AB219-AC219,0)))))</x:f>
        <x:v>0</x:v>
      </x:c>
      <x:c r="N219" s="6" t="n">
        <x:f>ROUND(MAX(0,I219+J219-K219-M219),2)</x:f>
        <x:v>0</x:v>
      </x:c>
      <x:c r="O219" s="6" t="n">
        <x:f>T218</x:f>
        <x:v>0</x:v>
      </x:c>
      <x:c r="P219" s="6" t="n">
        <x:f>ROUND(O219*'Debt strategy'!$D$11/12,2)</x:f>
        <x:v>0</x:v>
      </x:c>
      <x:c r="Q219" s="6" t="n">
        <x:f>MIN(O219+P219,'Debt strategy'!$E$11)</x:f>
        <x:v>0</x:v>
      </x:c>
      <x:c r="R219" s="27" t="n">
        <x:f>IF(O219+P219-Q219&lt;=0,99,1+SUM(IF(AND(C219+D219-E219&gt;0,OR(C219+D219-E219&lt;O219+P219-Q219,AND(C219+D219-E219=O219+P219-Q219,0&lt;2))),1,0),IF(AND(I219+J219-K219&gt;0,OR(I219+J219-K219&lt;O219+P219-Q219,AND(I219+J219-K219=O219+P219-Q219,1&lt;2))),1,0),IF(AND(U219+V219-W219&gt;0,OR(U219+V219-W219&lt;O219+P219-Q219,AND(U219+V219-W219=O219+P219-Q219,3&lt;2))),1,0),IF(AND(AA219+AB219-AC219&gt;0,OR(AA219+AB219-AC219&lt;O219+P219-Q219,AND(AA219+AB219-AC219=O219+P219-Q219,4&lt;2))),1,0)))</x:f>
        <x:v>99</x:v>
      </x:c>
      <x:c r="S219" s="6" t="n">
        <x:f>IF('Debt strategy'!$C$16&gt;0,0,MIN(O219+P219-Q219,MAX(0,'Debt strategy'!$C$5-SUM(E219,K219,Q219,W219,AC219)-SUM(IF(F219&lt;R219,C219+D219-E219,0),IF(L219&lt;R219,I219+J219-K219,0),IF(X219&lt;R219,U219+V219-W219,0),IF(AD219&lt;R219,AA219+AB219-AC219,0)))))</x:f>
        <x:v>0</x:v>
      </x:c>
      <x:c r="T219" s="6" t="n">
        <x:f>ROUND(MAX(0,O219+P219-Q219-S219),2)</x:f>
        <x:v>0</x:v>
      </x:c>
      <x:c r="U219" s="6" t="n">
        <x:f>Z218</x:f>
        <x:v>0</x:v>
      </x:c>
      <x:c r="V219" s="6" t="n">
        <x:f>ROUND(U219*'Debt strategy'!$D$12/12,2)</x:f>
        <x:v>0</x:v>
      </x:c>
      <x:c r="W219" s="6" t="n">
        <x:f>MIN(U219+V219,'Debt strategy'!$E$12)</x:f>
        <x:v>0</x:v>
      </x:c>
      <x:c r="X219" s="27" t="n">
        <x:f>IF(U219+V219-W219&lt;=0,99,1+SUM(IF(AND(C219+D219-E219&gt;0,OR(C219+D219-E219&lt;U219+V219-W219,AND(C219+D219-E219=U219+V219-W219,0&lt;3))),1,0),IF(AND(I219+J219-K219&gt;0,OR(I219+J219-K219&lt;U219+V219-W219,AND(I219+J219-K219=U219+V219-W219,1&lt;3))),1,0),IF(AND(O219+P219-Q219&gt;0,OR(O219+P219-Q219&lt;U219+V219-W219,AND(O219+P219-Q219=U219+V219-W219,2&lt;3))),1,0),IF(AND(AA219+AB219-AC219&gt;0,OR(AA219+AB219-AC219&lt;U219+V219-W219,AND(AA219+AB219-AC219=U219+V219-W219,4&lt;3))),1,0)))</x:f>
        <x:v>99</x:v>
      </x:c>
      <x:c r="Y219" s="6" t="n">
        <x:f>IF('Debt strategy'!$C$16&gt;0,0,MIN(U219+V219-W219,MAX(0,'Debt strategy'!$C$5-SUM(E219,K219,Q219,W219,AC219)-SUM(IF(F219&lt;X219,C219+D219-E219,0),IF(L219&lt;X219,I219+J219-K219,0),IF(R219&lt;X219,O219+P219-Q219,0),IF(AD219&lt;X219,AA219+AB219-AC219,0)))))</x:f>
        <x:v>0</x:v>
      </x:c>
      <x:c r="Z219" s="6" t="n">
        <x:f>ROUND(MAX(0,U219+V219-W219-Y219),2)</x:f>
        <x:v>0</x:v>
      </x:c>
      <x:c r="AA219" s="6" t="n">
        <x:f>AF218</x:f>
        <x:v>0</x:v>
      </x:c>
      <x:c r="AB219" s="6" t="n">
        <x:f>ROUND(AA219*'Debt strategy'!$D$13/12,2)</x:f>
        <x:v>0</x:v>
      </x:c>
      <x:c r="AC219" s="6" t="n">
        <x:f>MIN(AA219+AB219,'Debt strategy'!$E$13)</x:f>
        <x:v>0</x:v>
      </x:c>
      <x:c r="AD219" s="27" t="n">
        <x:f>IF(AA219+AB219-AC219&lt;=0,99,1+SUM(IF(AND(C219+D219-E219&gt;0,OR(C219+D219-E219&lt;AA219+AB219-AC219,AND(C219+D219-E219=AA219+AB219-AC219,0&lt;4))),1,0),IF(AND(I219+J219-K219&gt;0,OR(I219+J219-K219&lt;AA219+AB219-AC219,AND(I219+J219-K219=AA219+AB219-AC219,1&lt;4))),1,0),IF(AND(O219+P219-Q219&gt;0,OR(O219+P219-Q219&lt;AA219+AB219-AC219,AND(O219+P219-Q219=AA219+AB219-AC219,2&lt;4))),1,0),IF(AND(U219+V219-W219&gt;0,OR(U219+V219-W219&lt;AA219+AB219-AC219,AND(U219+V219-W219=AA219+AB219-AC219,3&lt;4))),1,0)))</x:f>
        <x:v>99</x:v>
      </x:c>
      <x:c r="AE219" s="6" t="n">
        <x:f>IF('Debt strategy'!$C$16&gt;0,0,MIN(AA219+AB219-AC219,MAX(0,'Debt strategy'!$C$5-SUM(E219,K219,Q219,W219,AC219)-SUM(IF(F219&lt;AD219,C219+D219-E219,0),IF(L219&lt;AD219,I219+J219-K219,0),IF(R219&lt;AD219,O219+P219-Q219,0),IF(X219&lt;AD219,U219+V219-W219,0)))))</x:f>
        <x:v>0</x:v>
      </x:c>
      <x:c r="AF219" s="6" t="n">
        <x:f>ROUND(MAX(0,AA219+AB219-AC219-AE219),2)</x:f>
        <x:v>0</x:v>
      </x:c>
      <x:c r="AG219" s="6" t="n">
        <x:f>SUM(H219,N219,T219,Z219,AF219)</x:f>
        <x:v>0</x:v>
      </x:c>
      <x:c r="AH219" s="6" t="n">
        <x:f>SUM(D219,J219,P219,V219,AB219)+AH218</x:f>
        <x:v>1353.9499999999996</x:v>
      </x:c>
      <x:c r="AI219" s="2"/>
    </x:row>
    <x:row r="220" ht="23" customHeight="1">
      <x:c r="B220" s="2" t="n">
        <x:f>212</x:f>
        <x:v>212</x:v>
      </x:c>
      <x:c r="C220" s="6" t="n">
        <x:f>H219</x:f>
        <x:v>0</x:v>
      </x:c>
      <x:c r="D220" s="6" t="n">
        <x:f>ROUND(C220*'Debt strategy'!$D$9/12,2)</x:f>
        <x:v>0</x:v>
      </x:c>
      <x:c r="E220" s="6" t="n">
        <x:f>MIN(C220+D220,'Debt strategy'!$E$9)</x:f>
        <x:v>0</x:v>
      </x:c>
      <x:c r="F220" s="27" t="n">
        <x:f>IF(C220+D220-E220&lt;=0,99,1+SUM(IF(AND(I220+J220-K220&gt;0,OR(I220+J220-K220&lt;C220+D220-E220,AND(I220+J220-K220=C220+D220-E220,1&lt;0))),1,0),IF(AND(O220+P220-Q220&gt;0,OR(O220+P220-Q220&lt;C220+D220-E220,AND(O220+P220-Q220=C220+D220-E220,2&lt;0))),1,0),IF(AND(U220+V220-W220&gt;0,OR(U220+V220-W220&lt;C220+D220-E220,AND(U220+V220-W220=C220+D220-E220,3&lt;0))),1,0),IF(AND(AA220+AB220-AC220&gt;0,OR(AA220+AB220-AC220&lt;C220+D220-E220,AND(AA220+AB220-AC220=C220+D220-E220,4&lt;0))),1,0)))</x:f>
        <x:v>99</x:v>
      </x:c>
      <x:c r="G220" s="6" t="n">
        <x:f>IF('Debt strategy'!$C$16&gt;0,0,MIN(C220+D220-E220,MAX(0,'Debt strategy'!$C$5-SUM(E220,K220,Q220,W220,AC220)-SUM(IF(L220&lt;F220,I220+J220-K220,0),IF(R220&lt;F220,O220+P220-Q220,0),IF(X220&lt;F220,U220+V220-W220,0),IF(AD220&lt;F220,AA220+AB220-AC220,0)))))</x:f>
        <x:v>0</x:v>
      </x:c>
      <x:c r="H220" s="6" t="n">
        <x:f>ROUND(MAX(0,C220+D220-E220-G220),2)</x:f>
        <x:v>0</x:v>
      </x:c>
      <x:c r="I220" s="6" t="n">
        <x:f>N219</x:f>
        <x:v>0</x:v>
      </x:c>
      <x:c r="J220" s="6" t="n">
        <x:f>ROUND(I220*'Debt strategy'!$D$10/12,2)</x:f>
        <x:v>0</x:v>
      </x:c>
      <x:c r="K220" s="6" t="n">
        <x:f>MIN(I220+J220,'Debt strategy'!$E$10)</x:f>
        <x:v>0</x:v>
      </x:c>
      <x:c r="L220" s="27" t="n">
        <x:f>IF(I220+J220-K220&lt;=0,99,1+SUM(IF(AND(C220+D220-E220&gt;0,OR(C220+D220-E220&lt;I220+J220-K220,AND(C220+D220-E220=I220+J220-K220,0&lt;1))),1,0),IF(AND(O220+P220-Q220&gt;0,OR(O220+P220-Q220&lt;I220+J220-K220,AND(O220+P220-Q220=I220+J220-K220,2&lt;1))),1,0),IF(AND(U220+V220-W220&gt;0,OR(U220+V220-W220&lt;I220+J220-K220,AND(U220+V220-W220=I220+J220-K220,3&lt;1))),1,0),IF(AND(AA220+AB220-AC220&gt;0,OR(AA220+AB220-AC220&lt;I220+J220-K220,AND(AA220+AB220-AC220=I220+J220-K220,4&lt;1))),1,0)))</x:f>
        <x:v>99</x:v>
      </x:c>
      <x:c r="M220" s="6" t="n">
        <x:f>IF('Debt strategy'!$C$16&gt;0,0,MIN(I220+J220-K220,MAX(0,'Debt strategy'!$C$5-SUM(E220,K220,Q220,W220,AC220)-SUM(IF(F220&lt;L220,C220+D220-E220,0),IF(R220&lt;L220,O220+P220-Q220,0),IF(X220&lt;L220,U220+V220-W220,0),IF(AD220&lt;L220,AA220+AB220-AC220,0)))))</x:f>
        <x:v>0</x:v>
      </x:c>
      <x:c r="N220" s="6" t="n">
        <x:f>ROUND(MAX(0,I220+J220-K220-M220),2)</x:f>
        <x:v>0</x:v>
      </x:c>
      <x:c r="O220" s="6" t="n">
        <x:f>T219</x:f>
        <x:v>0</x:v>
      </x:c>
      <x:c r="P220" s="6" t="n">
        <x:f>ROUND(O220*'Debt strategy'!$D$11/12,2)</x:f>
        <x:v>0</x:v>
      </x:c>
      <x:c r="Q220" s="6" t="n">
        <x:f>MIN(O220+P220,'Debt strategy'!$E$11)</x:f>
        <x:v>0</x:v>
      </x:c>
      <x:c r="R220" s="27" t="n">
        <x:f>IF(O220+P220-Q220&lt;=0,99,1+SUM(IF(AND(C220+D220-E220&gt;0,OR(C220+D220-E220&lt;O220+P220-Q220,AND(C220+D220-E220=O220+P220-Q220,0&lt;2))),1,0),IF(AND(I220+J220-K220&gt;0,OR(I220+J220-K220&lt;O220+P220-Q220,AND(I220+J220-K220=O220+P220-Q220,1&lt;2))),1,0),IF(AND(U220+V220-W220&gt;0,OR(U220+V220-W220&lt;O220+P220-Q220,AND(U220+V220-W220=O220+P220-Q220,3&lt;2))),1,0),IF(AND(AA220+AB220-AC220&gt;0,OR(AA220+AB220-AC220&lt;O220+P220-Q220,AND(AA220+AB220-AC220=O220+P220-Q220,4&lt;2))),1,0)))</x:f>
        <x:v>99</x:v>
      </x:c>
      <x:c r="S220" s="6" t="n">
        <x:f>IF('Debt strategy'!$C$16&gt;0,0,MIN(O220+P220-Q220,MAX(0,'Debt strategy'!$C$5-SUM(E220,K220,Q220,W220,AC220)-SUM(IF(F220&lt;R220,C220+D220-E220,0),IF(L220&lt;R220,I220+J220-K220,0),IF(X220&lt;R220,U220+V220-W220,0),IF(AD220&lt;R220,AA220+AB220-AC220,0)))))</x:f>
        <x:v>0</x:v>
      </x:c>
      <x:c r="T220" s="6" t="n">
        <x:f>ROUND(MAX(0,O220+P220-Q220-S220),2)</x:f>
        <x:v>0</x:v>
      </x:c>
      <x:c r="U220" s="6" t="n">
        <x:f>Z219</x:f>
        <x:v>0</x:v>
      </x:c>
      <x:c r="V220" s="6" t="n">
        <x:f>ROUND(U220*'Debt strategy'!$D$12/12,2)</x:f>
        <x:v>0</x:v>
      </x:c>
      <x:c r="W220" s="6" t="n">
        <x:f>MIN(U220+V220,'Debt strategy'!$E$12)</x:f>
        <x:v>0</x:v>
      </x:c>
      <x:c r="X220" s="27" t="n">
        <x:f>IF(U220+V220-W220&lt;=0,99,1+SUM(IF(AND(C220+D220-E220&gt;0,OR(C220+D220-E220&lt;U220+V220-W220,AND(C220+D220-E220=U220+V220-W220,0&lt;3))),1,0),IF(AND(I220+J220-K220&gt;0,OR(I220+J220-K220&lt;U220+V220-W220,AND(I220+J220-K220=U220+V220-W220,1&lt;3))),1,0),IF(AND(O220+P220-Q220&gt;0,OR(O220+P220-Q220&lt;U220+V220-W220,AND(O220+P220-Q220=U220+V220-W220,2&lt;3))),1,0),IF(AND(AA220+AB220-AC220&gt;0,OR(AA220+AB220-AC220&lt;U220+V220-W220,AND(AA220+AB220-AC220=U220+V220-W220,4&lt;3))),1,0)))</x:f>
        <x:v>99</x:v>
      </x:c>
      <x:c r="Y220" s="6" t="n">
        <x:f>IF('Debt strategy'!$C$16&gt;0,0,MIN(U220+V220-W220,MAX(0,'Debt strategy'!$C$5-SUM(E220,K220,Q220,W220,AC220)-SUM(IF(F220&lt;X220,C220+D220-E220,0),IF(L220&lt;X220,I220+J220-K220,0),IF(R220&lt;X220,O220+P220-Q220,0),IF(AD220&lt;X220,AA220+AB220-AC220,0)))))</x:f>
        <x:v>0</x:v>
      </x:c>
      <x:c r="Z220" s="6" t="n">
        <x:f>ROUND(MAX(0,U220+V220-W220-Y220),2)</x:f>
        <x:v>0</x:v>
      </x:c>
      <x:c r="AA220" s="6" t="n">
        <x:f>AF219</x:f>
        <x:v>0</x:v>
      </x:c>
      <x:c r="AB220" s="6" t="n">
        <x:f>ROUND(AA220*'Debt strategy'!$D$13/12,2)</x:f>
        <x:v>0</x:v>
      </x:c>
      <x:c r="AC220" s="6" t="n">
        <x:f>MIN(AA220+AB220,'Debt strategy'!$E$13)</x:f>
        <x:v>0</x:v>
      </x:c>
      <x:c r="AD220" s="27" t="n">
        <x:f>IF(AA220+AB220-AC220&lt;=0,99,1+SUM(IF(AND(C220+D220-E220&gt;0,OR(C220+D220-E220&lt;AA220+AB220-AC220,AND(C220+D220-E220=AA220+AB220-AC220,0&lt;4))),1,0),IF(AND(I220+J220-K220&gt;0,OR(I220+J220-K220&lt;AA220+AB220-AC220,AND(I220+J220-K220=AA220+AB220-AC220,1&lt;4))),1,0),IF(AND(O220+P220-Q220&gt;0,OR(O220+P220-Q220&lt;AA220+AB220-AC220,AND(O220+P220-Q220=AA220+AB220-AC220,2&lt;4))),1,0),IF(AND(U220+V220-W220&gt;0,OR(U220+V220-W220&lt;AA220+AB220-AC220,AND(U220+V220-W220=AA220+AB220-AC220,3&lt;4))),1,0)))</x:f>
        <x:v>99</x:v>
      </x:c>
      <x:c r="AE220" s="6" t="n">
        <x:f>IF('Debt strategy'!$C$16&gt;0,0,MIN(AA220+AB220-AC220,MAX(0,'Debt strategy'!$C$5-SUM(E220,K220,Q220,W220,AC220)-SUM(IF(F220&lt;AD220,C220+D220-E220,0),IF(L220&lt;AD220,I220+J220-K220,0),IF(R220&lt;AD220,O220+P220-Q220,0),IF(X220&lt;AD220,U220+V220-W220,0)))))</x:f>
        <x:v>0</x:v>
      </x:c>
      <x:c r="AF220" s="6" t="n">
        <x:f>ROUND(MAX(0,AA220+AB220-AC220-AE220),2)</x:f>
        <x:v>0</x:v>
      </x:c>
      <x:c r="AG220" s="6" t="n">
        <x:f>SUM(H220,N220,T220,Z220,AF220)</x:f>
        <x:v>0</x:v>
      </x:c>
      <x:c r="AH220" s="6" t="n">
        <x:f>SUM(D220,J220,P220,V220,AB220)+AH219</x:f>
        <x:v>1353.9499999999996</x:v>
      </x:c>
      <x:c r="AI220" s="2"/>
    </x:row>
    <x:row r="221" ht="23" customHeight="1">
      <x:c r="B221" s="2" t="n">
        <x:f>213</x:f>
        <x:v>213</x:v>
      </x:c>
      <x:c r="C221" s="6" t="n">
        <x:f>H220</x:f>
        <x:v>0</x:v>
      </x:c>
      <x:c r="D221" s="6" t="n">
        <x:f>ROUND(C221*'Debt strategy'!$D$9/12,2)</x:f>
        <x:v>0</x:v>
      </x:c>
      <x:c r="E221" s="6" t="n">
        <x:f>MIN(C221+D221,'Debt strategy'!$E$9)</x:f>
        <x:v>0</x:v>
      </x:c>
      <x:c r="F221" s="27" t="n">
        <x:f>IF(C221+D221-E221&lt;=0,99,1+SUM(IF(AND(I221+J221-K221&gt;0,OR(I221+J221-K221&lt;C221+D221-E221,AND(I221+J221-K221=C221+D221-E221,1&lt;0))),1,0),IF(AND(O221+P221-Q221&gt;0,OR(O221+P221-Q221&lt;C221+D221-E221,AND(O221+P221-Q221=C221+D221-E221,2&lt;0))),1,0),IF(AND(U221+V221-W221&gt;0,OR(U221+V221-W221&lt;C221+D221-E221,AND(U221+V221-W221=C221+D221-E221,3&lt;0))),1,0),IF(AND(AA221+AB221-AC221&gt;0,OR(AA221+AB221-AC221&lt;C221+D221-E221,AND(AA221+AB221-AC221=C221+D221-E221,4&lt;0))),1,0)))</x:f>
        <x:v>99</x:v>
      </x:c>
      <x:c r="G221" s="6" t="n">
        <x:f>IF('Debt strategy'!$C$16&gt;0,0,MIN(C221+D221-E221,MAX(0,'Debt strategy'!$C$5-SUM(E221,K221,Q221,W221,AC221)-SUM(IF(L221&lt;F221,I221+J221-K221,0),IF(R221&lt;F221,O221+P221-Q221,0),IF(X221&lt;F221,U221+V221-W221,0),IF(AD221&lt;F221,AA221+AB221-AC221,0)))))</x:f>
        <x:v>0</x:v>
      </x:c>
      <x:c r="H221" s="6" t="n">
        <x:f>ROUND(MAX(0,C221+D221-E221-G221),2)</x:f>
        <x:v>0</x:v>
      </x:c>
      <x:c r="I221" s="6" t="n">
        <x:f>N220</x:f>
        <x:v>0</x:v>
      </x:c>
      <x:c r="J221" s="6" t="n">
        <x:f>ROUND(I221*'Debt strategy'!$D$10/12,2)</x:f>
        <x:v>0</x:v>
      </x:c>
      <x:c r="K221" s="6" t="n">
        <x:f>MIN(I221+J221,'Debt strategy'!$E$10)</x:f>
        <x:v>0</x:v>
      </x:c>
      <x:c r="L221" s="27" t="n">
        <x:f>IF(I221+J221-K221&lt;=0,99,1+SUM(IF(AND(C221+D221-E221&gt;0,OR(C221+D221-E221&lt;I221+J221-K221,AND(C221+D221-E221=I221+J221-K221,0&lt;1))),1,0),IF(AND(O221+P221-Q221&gt;0,OR(O221+P221-Q221&lt;I221+J221-K221,AND(O221+P221-Q221=I221+J221-K221,2&lt;1))),1,0),IF(AND(U221+V221-W221&gt;0,OR(U221+V221-W221&lt;I221+J221-K221,AND(U221+V221-W221=I221+J221-K221,3&lt;1))),1,0),IF(AND(AA221+AB221-AC221&gt;0,OR(AA221+AB221-AC221&lt;I221+J221-K221,AND(AA221+AB221-AC221=I221+J221-K221,4&lt;1))),1,0)))</x:f>
        <x:v>99</x:v>
      </x:c>
      <x:c r="M221" s="6" t="n">
        <x:f>IF('Debt strategy'!$C$16&gt;0,0,MIN(I221+J221-K221,MAX(0,'Debt strategy'!$C$5-SUM(E221,K221,Q221,W221,AC221)-SUM(IF(F221&lt;L221,C221+D221-E221,0),IF(R221&lt;L221,O221+P221-Q221,0),IF(X221&lt;L221,U221+V221-W221,0),IF(AD221&lt;L221,AA221+AB221-AC221,0)))))</x:f>
        <x:v>0</x:v>
      </x:c>
      <x:c r="N221" s="6" t="n">
        <x:f>ROUND(MAX(0,I221+J221-K221-M221),2)</x:f>
        <x:v>0</x:v>
      </x:c>
      <x:c r="O221" s="6" t="n">
        <x:f>T220</x:f>
        <x:v>0</x:v>
      </x:c>
      <x:c r="P221" s="6" t="n">
        <x:f>ROUND(O221*'Debt strategy'!$D$11/12,2)</x:f>
        <x:v>0</x:v>
      </x:c>
      <x:c r="Q221" s="6" t="n">
        <x:f>MIN(O221+P221,'Debt strategy'!$E$11)</x:f>
        <x:v>0</x:v>
      </x:c>
      <x:c r="R221" s="27" t="n">
        <x:f>IF(O221+P221-Q221&lt;=0,99,1+SUM(IF(AND(C221+D221-E221&gt;0,OR(C221+D221-E221&lt;O221+P221-Q221,AND(C221+D221-E221=O221+P221-Q221,0&lt;2))),1,0),IF(AND(I221+J221-K221&gt;0,OR(I221+J221-K221&lt;O221+P221-Q221,AND(I221+J221-K221=O221+P221-Q221,1&lt;2))),1,0),IF(AND(U221+V221-W221&gt;0,OR(U221+V221-W221&lt;O221+P221-Q221,AND(U221+V221-W221=O221+P221-Q221,3&lt;2))),1,0),IF(AND(AA221+AB221-AC221&gt;0,OR(AA221+AB221-AC221&lt;O221+P221-Q221,AND(AA221+AB221-AC221=O221+P221-Q221,4&lt;2))),1,0)))</x:f>
        <x:v>99</x:v>
      </x:c>
      <x:c r="S221" s="6" t="n">
        <x:f>IF('Debt strategy'!$C$16&gt;0,0,MIN(O221+P221-Q221,MAX(0,'Debt strategy'!$C$5-SUM(E221,K221,Q221,W221,AC221)-SUM(IF(F221&lt;R221,C221+D221-E221,0),IF(L221&lt;R221,I221+J221-K221,0),IF(X221&lt;R221,U221+V221-W221,0),IF(AD221&lt;R221,AA221+AB221-AC221,0)))))</x:f>
        <x:v>0</x:v>
      </x:c>
      <x:c r="T221" s="6" t="n">
        <x:f>ROUND(MAX(0,O221+P221-Q221-S221),2)</x:f>
        <x:v>0</x:v>
      </x:c>
      <x:c r="U221" s="6" t="n">
        <x:f>Z220</x:f>
        <x:v>0</x:v>
      </x:c>
      <x:c r="V221" s="6" t="n">
        <x:f>ROUND(U221*'Debt strategy'!$D$12/12,2)</x:f>
        <x:v>0</x:v>
      </x:c>
      <x:c r="W221" s="6" t="n">
        <x:f>MIN(U221+V221,'Debt strategy'!$E$12)</x:f>
        <x:v>0</x:v>
      </x:c>
      <x:c r="X221" s="27" t="n">
        <x:f>IF(U221+V221-W221&lt;=0,99,1+SUM(IF(AND(C221+D221-E221&gt;0,OR(C221+D221-E221&lt;U221+V221-W221,AND(C221+D221-E221=U221+V221-W221,0&lt;3))),1,0),IF(AND(I221+J221-K221&gt;0,OR(I221+J221-K221&lt;U221+V221-W221,AND(I221+J221-K221=U221+V221-W221,1&lt;3))),1,0),IF(AND(O221+P221-Q221&gt;0,OR(O221+P221-Q221&lt;U221+V221-W221,AND(O221+P221-Q221=U221+V221-W221,2&lt;3))),1,0),IF(AND(AA221+AB221-AC221&gt;0,OR(AA221+AB221-AC221&lt;U221+V221-W221,AND(AA221+AB221-AC221=U221+V221-W221,4&lt;3))),1,0)))</x:f>
        <x:v>99</x:v>
      </x:c>
      <x:c r="Y221" s="6" t="n">
        <x:f>IF('Debt strategy'!$C$16&gt;0,0,MIN(U221+V221-W221,MAX(0,'Debt strategy'!$C$5-SUM(E221,K221,Q221,W221,AC221)-SUM(IF(F221&lt;X221,C221+D221-E221,0),IF(L221&lt;X221,I221+J221-K221,0),IF(R221&lt;X221,O221+P221-Q221,0),IF(AD221&lt;X221,AA221+AB221-AC221,0)))))</x:f>
        <x:v>0</x:v>
      </x:c>
      <x:c r="Z221" s="6" t="n">
        <x:f>ROUND(MAX(0,U221+V221-W221-Y221),2)</x:f>
        <x:v>0</x:v>
      </x:c>
      <x:c r="AA221" s="6" t="n">
        <x:f>AF220</x:f>
        <x:v>0</x:v>
      </x:c>
      <x:c r="AB221" s="6" t="n">
        <x:f>ROUND(AA221*'Debt strategy'!$D$13/12,2)</x:f>
        <x:v>0</x:v>
      </x:c>
      <x:c r="AC221" s="6" t="n">
        <x:f>MIN(AA221+AB221,'Debt strategy'!$E$13)</x:f>
        <x:v>0</x:v>
      </x:c>
      <x:c r="AD221" s="27" t="n">
        <x:f>IF(AA221+AB221-AC221&lt;=0,99,1+SUM(IF(AND(C221+D221-E221&gt;0,OR(C221+D221-E221&lt;AA221+AB221-AC221,AND(C221+D221-E221=AA221+AB221-AC221,0&lt;4))),1,0),IF(AND(I221+J221-K221&gt;0,OR(I221+J221-K221&lt;AA221+AB221-AC221,AND(I221+J221-K221=AA221+AB221-AC221,1&lt;4))),1,0),IF(AND(O221+P221-Q221&gt;0,OR(O221+P221-Q221&lt;AA221+AB221-AC221,AND(O221+P221-Q221=AA221+AB221-AC221,2&lt;4))),1,0),IF(AND(U221+V221-W221&gt;0,OR(U221+V221-W221&lt;AA221+AB221-AC221,AND(U221+V221-W221=AA221+AB221-AC221,3&lt;4))),1,0)))</x:f>
        <x:v>99</x:v>
      </x:c>
      <x:c r="AE221" s="6" t="n">
        <x:f>IF('Debt strategy'!$C$16&gt;0,0,MIN(AA221+AB221-AC221,MAX(0,'Debt strategy'!$C$5-SUM(E221,K221,Q221,W221,AC221)-SUM(IF(F221&lt;AD221,C221+D221-E221,0),IF(L221&lt;AD221,I221+J221-K221,0),IF(R221&lt;AD221,O221+P221-Q221,0),IF(X221&lt;AD221,U221+V221-W221,0)))))</x:f>
        <x:v>0</x:v>
      </x:c>
      <x:c r="AF221" s="6" t="n">
        <x:f>ROUND(MAX(0,AA221+AB221-AC221-AE221),2)</x:f>
        <x:v>0</x:v>
      </x:c>
      <x:c r="AG221" s="6" t="n">
        <x:f>SUM(H221,N221,T221,Z221,AF221)</x:f>
        <x:v>0</x:v>
      </x:c>
      <x:c r="AH221" s="6" t="n">
        <x:f>SUM(D221,J221,P221,V221,AB221)+AH220</x:f>
        <x:v>1353.9499999999996</x:v>
      </x:c>
      <x:c r="AI221" s="2"/>
    </x:row>
    <x:row r="222" ht="23" customHeight="1">
      <x:c r="B222" s="2" t="n">
        <x:f>214</x:f>
        <x:v>214</x:v>
      </x:c>
      <x:c r="C222" s="6" t="n">
        <x:f>H221</x:f>
        <x:v>0</x:v>
      </x:c>
      <x:c r="D222" s="6" t="n">
        <x:f>ROUND(C222*'Debt strategy'!$D$9/12,2)</x:f>
        <x:v>0</x:v>
      </x:c>
      <x:c r="E222" s="6" t="n">
        <x:f>MIN(C222+D222,'Debt strategy'!$E$9)</x:f>
        <x:v>0</x:v>
      </x:c>
      <x:c r="F222" s="27" t="n">
        <x:f>IF(C222+D222-E222&lt;=0,99,1+SUM(IF(AND(I222+J222-K222&gt;0,OR(I222+J222-K222&lt;C222+D222-E222,AND(I222+J222-K222=C222+D222-E222,1&lt;0))),1,0),IF(AND(O222+P222-Q222&gt;0,OR(O222+P222-Q222&lt;C222+D222-E222,AND(O222+P222-Q222=C222+D222-E222,2&lt;0))),1,0),IF(AND(U222+V222-W222&gt;0,OR(U222+V222-W222&lt;C222+D222-E222,AND(U222+V222-W222=C222+D222-E222,3&lt;0))),1,0),IF(AND(AA222+AB222-AC222&gt;0,OR(AA222+AB222-AC222&lt;C222+D222-E222,AND(AA222+AB222-AC222=C222+D222-E222,4&lt;0))),1,0)))</x:f>
        <x:v>99</x:v>
      </x:c>
      <x:c r="G222" s="6" t="n">
        <x:f>IF('Debt strategy'!$C$16&gt;0,0,MIN(C222+D222-E222,MAX(0,'Debt strategy'!$C$5-SUM(E222,K222,Q222,W222,AC222)-SUM(IF(L222&lt;F222,I222+J222-K222,0),IF(R222&lt;F222,O222+P222-Q222,0),IF(X222&lt;F222,U222+V222-W222,0),IF(AD222&lt;F222,AA222+AB222-AC222,0)))))</x:f>
        <x:v>0</x:v>
      </x:c>
      <x:c r="H222" s="6" t="n">
        <x:f>ROUND(MAX(0,C222+D222-E222-G222),2)</x:f>
        <x:v>0</x:v>
      </x:c>
      <x:c r="I222" s="6" t="n">
        <x:f>N221</x:f>
        <x:v>0</x:v>
      </x:c>
      <x:c r="J222" s="6" t="n">
        <x:f>ROUND(I222*'Debt strategy'!$D$10/12,2)</x:f>
        <x:v>0</x:v>
      </x:c>
      <x:c r="K222" s="6" t="n">
        <x:f>MIN(I222+J222,'Debt strategy'!$E$10)</x:f>
        <x:v>0</x:v>
      </x:c>
      <x:c r="L222" s="27" t="n">
        <x:f>IF(I222+J222-K222&lt;=0,99,1+SUM(IF(AND(C222+D222-E222&gt;0,OR(C222+D222-E222&lt;I222+J222-K222,AND(C222+D222-E222=I222+J222-K222,0&lt;1))),1,0),IF(AND(O222+P222-Q222&gt;0,OR(O222+P222-Q222&lt;I222+J222-K222,AND(O222+P222-Q222=I222+J222-K222,2&lt;1))),1,0),IF(AND(U222+V222-W222&gt;0,OR(U222+V222-W222&lt;I222+J222-K222,AND(U222+V222-W222=I222+J222-K222,3&lt;1))),1,0),IF(AND(AA222+AB222-AC222&gt;0,OR(AA222+AB222-AC222&lt;I222+J222-K222,AND(AA222+AB222-AC222=I222+J222-K222,4&lt;1))),1,0)))</x:f>
        <x:v>99</x:v>
      </x:c>
      <x:c r="M222" s="6" t="n">
        <x:f>IF('Debt strategy'!$C$16&gt;0,0,MIN(I222+J222-K222,MAX(0,'Debt strategy'!$C$5-SUM(E222,K222,Q222,W222,AC222)-SUM(IF(F222&lt;L222,C222+D222-E222,0),IF(R222&lt;L222,O222+P222-Q222,0),IF(X222&lt;L222,U222+V222-W222,0),IF(AD222&lt;L222,AA222+AB222-AC222,0)))))</x:f>
        <x:v>0</x:v>
      </x:c>
      <x:c r="N222" s="6" t="n">
        <x:f>ROUND(MAX(0,I222+J222-K222-M222),2)</x:f>
        <x:v>0</x:v>
      </x:c>
      <x:c r="O222" s="6" t="n">
        <x:f>T221</x:f>
        <x:v>0</x:v>
      </x:c>
      <x:c r="P222" s="6" t="n">
        <x:f>ROUND(O222*'Debt strategy'!$D$11/12,2)</x:f>
        <x:v>0</x:v>
      </x:c>
      <x:c r="Q222" s="6" t="n">
        <x:f>MIN(O222+P222,'Debt strategy'!$E$11)</x:f>
        <x:v>0</x:v>
      </x:c>
      <x:c r="R222" s="27" t="n">
        <x:f>IF(O222+P222-Q222&lt;=0,99,1+SUM(IF(AND(C222+D222-E222&gt;0,OR(C222+D222-E222&lt;O222+P222-Q222,AND(C222+D222-E222=O222+P222-Q222,0&lt;2))),1,0),IF(AND(I222+J222-K222&gt;0,OR(I222+J222-K222&lt;O222+P222-Q222,AND(I222+J222-K222=O222+P222-Q222,1&lt;2))),1,0),IF(AND(U222+V222-W222&gt;0,OR(U222+V222-W222&lt;O222+P222-Q222,AND(U222+V222-W222=O222+P222-Q222,3&lt;2))),1,0),IF(AND(AA222+AB222-AC222&gt;0,OR(AA222+AB222-AC222&lt;O222+P222-Q222,AND(AA222+AB222-AC222=O222+P222-Q222,4&lt;2))),1,0)))</x:f>
        <x:v>99</x:v>
      </x:c>
      <x:c r="S222" s="6" t="n">
        <x:f>IF('Debt strategy'!$C$16&gt;0,0,MIN(O222+P222-Q222,MAX(0,'Debt strategy'!$C$5-SUM(E222,K222,Q222,W222,AC222)-SUM(IF(F222&lt;R222,C222+D222-E222,0),IF(L222&lt;R222,I222+J222-K222,0),IF(X222&lt;R222,U222+V222-W222,0),IF(AD222&lt;R222,AA222+AB222-AC222,0)))))</x:f>
        <x:v>0</x:v>
      </x:c>
      <x:c r="T222" s="6" t="n">
        <x:f>ROUND(MAX(0,O222+P222-Q222-S222),2)</x:f>
        <x:v>0</x:v>
      </x:c>
      <x:c r="U222" s="6" t="n">
        <x:f>Z221</x:f>
        <x:v>0</x:v>
      </x:c>
      <x:c r="V222" s="6" t="n">
        <x:f>ROUND(U222*'Debt strategy'!$D$12/12,2)</x:f>
        <x:v>0</x:v>
      </x:c>
      <x:c r="W222" s="6" t="n">
        <x:f>MIN(U222+V222,'Debt strategy'!$E$12)</x:f>
        <x:v>0</x:v>
      </x:c>
      <x:c r="X222" s="27" t="n">
        <x:f>IF(U222+V222-W222&lt;=0,99,1+SUM(IF(AND(C222+D222-E222&gt;0,OR(C222+D222-E222&lt;U222+V222-W222,AND(C222+D222-E222=U222+V222-W222,0&lt;3))),1,0),IF(AND(I222+J222-K222&gt;0,OR(I222+J222-K222&lt;U222+V222-W222,AND(I222+J222-K222=U222+V222-W222,1&lt;3))),1,0),IF(AND(O222+P222-Q222&gt;0,OR(O222+P222-Q222&lt;U222+V222-W222,AND(O222+P222-Q222=U222+V222-W222,2&lt;3))),1,0),IF(AND(AA222+AB222-AC222&gt;0,OR(AA222+AB222-AC222&lt;U222+V222-W222,AND(AA222+AB222-AC222=U222+V222-W222,4&lt;3))),1,0)))</x:f>
        <x:v>99</x:v>
      </x:c>
      <x:c r="Y222" s="6" t="n">
        <x:f>IF('Debt strategy'!$C$16&gt;0,0,MIN(U222+V222-W222,MAX(0,'Debt strategy'!$C$5-SUM(E222,K222,Q222,W222,AC222)-SUM(IF(F222&lt;X222,C222+D222-E222,0),IF(L222&lt;X222,I222+J222-K222,0),IF(R222&lt;X222,O222+P222-Q222,0),IF(AD222&lt;X222,AA222+AB222-AC222,0)))))</x:f>
        <x:v>0</x:v>
      </x:c>
      <x:c r="Z222" s="6" t="n">
        <x:f>ROUND(MAX(0,U222+V222-W222-Y222),2)</x:f>
        <x:v>0</x:v>
      </x:c>
      <x:c r="AA222" s="6" t="n">
        <x:f>AF221</x:f>
        <x:v>0</x:v>
      </x:c>
      <x:c r="AB222" s="6" t="n">
        <x:f>ROUND(AA222*'Debt strategy'!$D$13/12,2)</x:f>
        <x:v>0</x:v>
      </x:c>
      <x:c r="AC222" s="6" t="n">
        <x:f>MIN(AA222+AB222,'Debt strategy'!$E$13)</x:f>
        <x:v>0</x:v>
      </x:c>
      <x:c r="AD222" s="27" t="n">
        <x:f>IF(AA222+AB222-AC222&lt;=0,99,1+SUM(IF(AND(C222+D222-E222&gt;0,OR(C222+D222-E222&lt;AA222+AB222-AC222,AND(C222+D222-E222=AA222+AB222-AC222,0&lt;4))),1,0),IF(AND(I222+J222-K222&gt;0,OR(I222+J222-K222&lt;AA222+AB222-AC222,AND(I222+J222-K222=AA222+AB222-AC222,1&lt;4))),1,0),IF(AND(O222+P222-Q222&gt;0,OR(O222+P222-Q222&lt;AA222+AB222-AC222,AND(O222+P222-Q222=AA222+AB222-AC222,2&lt;4))),1,0),IF(AND(U222+V222-W222&gt;0,OR(U222+V222-W222&lt;AA222+AB222-AC222,AND(U222+V222-W222=AA222+AB222-AC222,3&lt;4))),1,0)))</x:f>
        <x:v>99</x:v>
      </x:c>
      <x:c r="AE222" s="6" t="n">
        <x:f>IF('Debt strategy'!$C$16&gt;0,0,MIN(AA222+AB222-AC222,MAX(0,'Debt strategy'!$C$5-SUM(E222,K222,Q222,W222,AC222)-SUM(IF(F222&lt;AD222,C222+D222-E222,0),IF(L222&lt;AD222,I222+J222-K222,0),IF(R222&lt;AD222,O222+P222-Q222,0),IF(X222&lt;AD222,U222+V222-W222,0)))))</x:f>
        <x:v>0</x:v>
      </x:c>
      <x:c r="AF222" s="6" t="n">
        <x:f>ROUND(MAX(0,AA222+AB222-AC222-AE222),2)</x:f>
        <x:v>0</x:v>
      </x:c>
      <x:c r="AG222" s="6" t="n">
        <x:f>SUM(H222,N222,T222,Z222,AF222)</x:f>
        <x:v>0</x:v>
      </x:c>
      <x:c r="AH222" s="6" t="n">
        <x:f>SUM(D222,J222,P222,V222,AB222)+AH221</x:f>
        <x:v>1353.9499999999996</x:v>
      </x:c>
      <x:c r="AI222" s="2"/>
    </x:row>
    <x:row r="223" ht="23" customHeight="1">
      <x:c r="B223" s="2" t="n">
        <x:f>215</x:f>
        <x:v>215</x:v>
      </x:c>
      <x:c r="C223" s="6" t="n">
        <x:f>H222</x:f>
        <x:v>0</x:v>
      </x:c>
      <x:c r="D223" s="6" t="n">
        <x:f>ROUND(C223*'Debt strategy'!$D$9/12,2)</x:f>
        <x:v>0</x:v>
      </x:c>
      <x:c r="E223" s="6" t="n">
        <x:f>MIN(C223+D223,'Debt strategy'!$E$9)</x:f>
        <x:v>0</x:v>
      </x:c>
      <x:c r="F223" s="27" t="n">
        <x:f>IF(C223+D223-E223&lt;=0,99,1+SUM(IF(AND(I223+J223-K223&gt;0,OR(I223+J223-K223&lt;C223+D223-E223,AND(I223+J223-K223=C223+D223-E223,1&lt;0))),1,0),IF(AND(O223+P223-Q223&gt;0,OR(O223+P223-Q223&lt;C223+D223-E223,AND(O223+P223-Q223=C223+D223-E223,2&lt;0))),1,0),IF(AND(U223+V223-W223&gt;0,OR(U223+V223-W223&lt;C223+D223-E223,AND(U223+V223-W223=C223+D223-E223,3&lt;0))),1,0),IF(AND(AA223+AB223-AC223&gt;0,OR(AA223+AB223-AC223&lt;C223+D223-E223,AND(AA223+AB223-AC223=C223+D223-E223,4&lt;0))),1,0)))</x:f>
        <x:v>99</x:v>
      </x:c>
      <x:c r="G223" s="6" t="n">
        <x:f>IF('Debt strategy'!$C$16&gt;0,0,MIN(C223+D223-E223,MAX(0,'Debt strategy'!$C$5-SUM(E223,K223,Q223,W223,AC223)-SUM(IF(L223&lt;F223,I223+J223-K223,0),IF(R223&lt;F223,O223+P223-Q223,0),IF(X223&lt;F223,U223+V223-W223,0),IF(AD223&lt;F223,AA223+AB223-AC223,0)))))</x:f>
        <x:v>0</x:v>
      </x:c>
      <x:c r="H223" s="6" t="n">
        <x:f>ROUND(MAX(0,C223+D223-E223-G223),2)</x:f>
        <x:v>0</x:v>
      </x:c>
      <x:c r="I223" s="6" t="n">
        <x:f>N222</x:f>
        <x:v>0</x:v>
      </x:c>
      <x:c r="J223" s="6" t="n">
        <x:f>ROUND(I223*'Debt strategy'!$D$10/12,2)</x:f>
        <x:v>0</x:v>
      </x:c>
      <x:c r="K223" s="6" t="n">
        <x:f>MIN(I223+J223,'Debt strategy'!$E$10)</x:f>
        <x:v>0</x:v>
      </x:c>
      <x:c r="L223" s="27" t="n">
        <x:f>IF(I223+J223-K223&lt;=0,99,1+SUM(IF(AND(C223+D223-E223&gt;0,OR(C223+D223-E223&lt;I223+J223-K223,AND(C223+D223-E223=I223+J223-K223,0&lt;1))),1,0),IF(AND(O223+P223-Q223&gt;0,OR(O223+P223-Q223&lt;I223+J223-K223,AND(O223+P223-Q223=I223+J223-K223,2&lt;1))),1,0),IF(AND(U223+V223-W223&gt;0,OR(U223+V223-W223&lt;I223+J223-K223,AND(U223+V223-W223=I223+J223-K223,3&lt;1))),1,0),IF(AND(AA223+AB223-AC223&gt;0,OR(AA223+AB223-AC223&lt;I223+J223-K223,AND(AA223+AB223-AC223=I223+J223-K223,4&lt;1))),1,0)))</x:f>
        <x:v>99</x:v>
      </x:c>
      <x:c r="M223" s="6" t="n">
        <x:f>IF('Debt strategy'!$C$16&gt;0,0,MIN(I223+J223-K223,MAX(0,'Debt strategy'!$C$5-SUM(E223,K223,Q223,W223,AC223)-SUM(IF(F223&lt;L223,C223+D223-E223,0),IF(R223&lt;L223,O223+P223-Q223,0),IF(X223&lt;L223,U223+V223-W223,0),IF(AD223&lt;L223,AA223+AB223-AC223,0)))))</x:f>
        <x:v>0</x:v>
      </x:c>
      <x:c r="N223" s="6" t="n">
        <x:f>ROUND(MAX(0,I223+J223-K223-M223),2)</x:f>
        <x:v>0</x:v>
      </x:c>
      <x:c r="O223" s="6" t="n">
        <x:f>T222</x:f>
        <x:v>0</x:v>
      </x:c>
      <x:c r="P223" s="6" t="n">
        <x:f>ROUND(O223*'Debt strategy'!$D$11/12,2)</x:f>
        <x:v>0</x:v>
      </x:c>
      <x:c r="Q223" s="6" t="n">
        <x:f>MIN(O223+P223,'Debt strategy'!$E$11)</x:f>
        <x:v>0</x:v>
      </x:c>
      <x:c r="R223" s="27" t="n">
        <x:f>IF(O223+P223-Q223&lt;=0,99,1+SUM(IF(AND(C223+D223-E223&gt;0,OR(C223+D223-E223&lt;O223+P223-Q223,AND(C223+D223-E223=O223+P223-Q223,0&lt;2))),1,0),IF(AND(I223+J223-K223&gt;0,OR(I223+J223-K223&lt;O223+P223-Q223,AND(I223+J223-K223=O223+P223-Q223,1&lt;2))),1,0),IF(AND(U223+V223-W223&gt;0,OR(U223+V223-W223&lt;O223+P223-Q223,AND(U223+V223-W223=O223+P223-Q223,3&lt;2))),1,0),IF(AND(AA223+AB223-AC223&gt;0,OR(AA223+AB223-AC223&lt;O223+P223-Q223,AND(AA223+AB223-AC223=O223+P223-Q223,4&lt;2))),1,0)))</x:f>
        <x:v>99</x:v>
      </x:c>
      <x:c r="S223" s="6" t="n">
        <x:f>IF('Debt strategy'!$C$16&gt;0,0,MIN(O223+P223-Q223,MAX(0,'Debt strategy'!$C$5-SUM(E223,K223,Q223,W223,AC223)-SUM(IF(F223&lt;R223,C223+D223-E223,0),IF(L223&lt;R223,I223+J223-K223,0),IF(X223&lt;R223,U223+V223-W223,0),IF(AD223&lt;R223,AA223+AB223-AC223,0)))))</x:f>
        <x:v>0</x:v>
      </x:c>
      <x:c r="T223" s="6" t="n">
        <x:f>ROUND(MAX(0,O223+P223-Q223-S223),2)</x:f>
        <x:v>0</x:v>
      </x:c>
      <x:c r="U223" s="6" t="n">
        <x:f>Z222</x:f>
        <x:v>0</x:v>
      </x:c>
      <x:c r="V223" s="6" t="n">
        <x:f>ROUND(U223*'Debt strategy'!$D$12/12,2)</x:f>
        <x:v>0</x:v>
      </x:c>
      <x:c r="W223" s="6" t="n">
        <x:f>MIN(U223+V223,'Debt strategy'!$E$12)</x:f>
        <x:v>0</x:v>
      </x:c>
      <x:c r="X223" s="27" t="n">
        <x:f>IF(U223+V223-W223&lt;=0,99,1+SUM(IF(AND(C223+D223-E223&gt;0,OR(C223+D223-E223&lt;U223+V223-W223,AND(C223+D223-E223=U223+V223-W223,0&lt;3))),1,0),IF(AND(I223+J223-K223&gt;0,OR(I223+J223-K223&lt;U223+V223-W223,AND(I223+J223-K223=U223+V223-W223,1&lt;3))),1,0),IF(AND(O223+P223-Q223&gt;0,OR(O223+P223-Q223&lt;U223+V223-W223,AND(O223+P223-Q223=U223+V223-W223,2&lt;3))),1,0),IF(AND(AA223+AB223-AC223&gt;0,OR(AA223+AB223-AC223&lt;U223+V223-W223,AND(AA223+AB223-AC223=U223+V223-W223,4&lt;3))),1,0)))</x:f>
        <x:v>99</x:v>
      </x:c>
      <x:c r="Y223" s="6" t="n">
        <x:f>IF('Debt strategy'!$C$16&gt;0,0,MIN(U223+V223-W223,MAX(0,'Debt strategy'!$C$5-SUM(E223,K223,Q223,W223,AC223)-SUM(IF(F223&lt;X223,C223+D223-E223,0),IF(L223&lt;X223,I223+J223-K223,0),IF(R223&lt;X223,O223+P223-Q223,0),IF(AD223&lt;X223,AA223+AB223-AC223,0)))))</x:f>
        <x:v>0</x:v>
      </x:c>
      <x:c r="Z223" s="6" t="n">
        <x:f>ROUND(MAX(0,U223+V223-W223-Y223),2)</x:f>
        <x:v>0</x:v>
      </x:c>
      <x:c r="AA223" s="6" t="n">
        <x:f>AF222</x:f>
        <x:v>0</x:v>
      </x:c>
      <x:c r="AB223" s="6" t="n">
        <x:f>ROUND(AA223*'Debt strategy'!$D$13/12,2)</x:f>
        <x:v>0</x:v>
      </x:c>
      <x:c r="AC223" s="6" t="n">
        <x:f>MIN(AA223+AB223,'Debt strategy'!$E$13)</x:f>
        <x:v>0</x:v>
      </x:c>
      <x:c r="AD223" s="27" t="n">
        <x:f>IF(AA223+AB223-AC223&lt;=0,99,1+SUM(IF(AND(C223+D223-E223&gt;0,OR(C223+D223-E223&lt;AA223+AB223-AC223,AND(C223+D223-E223=AA223+AB223-AC223,0&lt;4))),1,0),IF(AND(I223+J223-K223&gt;0,OR(I223+J223-K223&lt;AA223+AB223-AC223,AND(I223+J223-K223=AA223+AB223-AC223,1&lt;4))),1,0),IF(AND(O223+P223-Q223&gt;0,OR(O223+P223-Q223&lt;AA223+AB223-AC223,AND(O223+P223-Q223=AA223+AB223-AC223,2&lt;4))),1,0),IF(AND(U223+V223-W223&gt;0,OR(U223+V223-W223&lt;AA223+AB223-AC223,AND(U223+V223-W223=AA223+AB223-AC223,3&lt;4))),1,0)))</x:f>
        <x:v>99</x:v>
      </x:c>
      <x:c r="AE223" s="6" t="n">
        <x:f>IF('Debt strategy'!$C$16&gt;0,0,MIN(AA223+AB223-AC223,MAX(0,'Debt strategy'!$C$5-SUM(E223,K223,Q223,W223,AC223)-SUM(IF(F223&lt;AD223,C223+D223-E223,0),IF(L223&lt;AD223,I223+J223-K223,0),IF(R223&lt;AD223,O223+P223-Q223,0),IF(X223&lt;AD223,U223+V223-W223,0)))))</x:f>
        <x:v>0</x:v>
      </x:c>
      <x:c r="AF223" s="6" t="n">
        <x:f>ROUND(MAX(0,AA223+AB223-AC223-AE223),2)</x:f>
        <x:v>0</x:v>
      </x:c>
      <x:c r="AG223" s="6" t="n">
        <x:f>SUM(H223,N223,T223,Z223,AF223)</x:f>
        <x:v>0</x:v>
      </x:c>
      <x:c r="AH223" s="6" t="n">
        <x:f>SUM(D223,J223,P223,V223,AB223)+AH222</x:f>
        <x:v>1353.9499999999996</x:v>
      </x:c>
      <x:c r="AI223" s="2"/>
    </x:row>
    <x:row r="224" ht="23" customHeight="1">
      <x:c r="B224" s="2" t="n">
        <x:f>216</x:f>
        <x:v>216</x:v>
      </x:c>
      <x:c r="C224" s="6" t="n">
        <x:f>H223</x:f>
        <x:v>0</x:v>
      </x:c>
      <x:c r="D224" s="6" t="n">
        <x:f>ROUND(C224*'Debt strategy'!$D$9/12,2)</x:f>
        <x:v>0</x:v>
      </x:c>
      <x:c r="E224" s="6" t="n">
        <x:f>MIN(C224+D224,'Debt strategy'!$E$9)</x:f>
        <x:v>0</x:v>
      </x:c>
      <x:c r="F224" s="27" t="n">
        <x:f>IF(C224+D224-E224&lt;=0,99,1+SUM(IF(AND(I224+J224-K224&gt;0,OR(I224+J224-K224&lt;C224+D224-E224,AND(I224+J224-K224=C224+D224-E224,1&lt;0))),1,0),IF(AND(O224+P224-Q224&gt;0,OR(O224+P224-Q224&lt;C224+D224-E224,AND(O224+P224-Q224=C224+D224-E224,2&lt;0))),1,0),IF(AND(U224+V224-W224&gt;0,OR(U224+V224-W224&lt;C224+D224-E224,AND(U224+V224-W224=C224+D224-E224,3&lt;0))),1,0),IF(AND(AA224+AB224-AC224&gt;0,OR(AA224+AB224-AC224&lt;C224+D224-E224,AND(AA224+AB224-AC224=C224+D224-E224,4&lt;0))),1,0)))</x:f>
        <x:v>99</x:v>
      </x:c>
      <x:c r="G224" s="6" t="n">
        <x:f>IF('Debt strategy'!$C$16&gt;0,0,MIN(C224+D224-E224,MAX(0,'Debt strategy'!$C$5-SUM(E224,K224,Q224,W224,AC224)-SUM(IF(L224&lt;F224,I224+J224-K224,0),IF(R224&lt;F224,O224+P224-Q224,0),IF(X224&lt;F224,U224+V224-W224,0),IF(AD224&lt;F224,AA224+AB224-AC224,0)))))</x:f>
        <x:v>0</x:v>
      </x:c>
      <x:c r="H224" s="6" t="n">
        <x:f>ROUND(MAX(0,C224+D224-E224-G224),2)</x:f>
        <x:v>0</x:v>
      </x:c>
      <x:c r="I224" s="6" t="n">
        <x:f>N223</x:f>
        <x:v>0</x:v>
      </x:c>
      <x:c r="J224" s="6" t="n">
        <x:f>ROUND(I224*'Debt strategy'!$D$10/12,2)</x:f>
        <x:v>0</x:v>
      </x:c>
      <x:c r="K224" s="6" t="n">
        <x:f>MIN(I224+J224,'Debt strategy'!$E$10)</x:f>
        <x:v>0</x:v>
      </x:c>
      <x:c r="L224" s="27" t="n">
        <x:f>IF(I224+J224-K224&lt;=0,99,1+SUM(IF(AND(C224+D224-E224&gt;0,OR(C224+D224-E224&lt;I224+J224-K224,AND(C224+D224-E224=I224+J224-K224,0&lt;1))),1,0),IF(AND(O224+P224-Q224&gt;0,OR(O224+P224-Q224&lt;I224+J224-K224,AND(O224+P224-Q224=I224+J224-K224,2&lt;1))),1,0),IF(AND(U224+V224-W224&gt;0,OR(U224+V224-W224&lt;I224+J224-K224,AND(U224+V224-W224=I224+J224-K224,3&lt;1))),1,0),IF(AND(AA224+AB224-AC224&gt;0,OR(AA224+AB224-AC224&lt;I224+J224-K224,AND(AA224+AB224-AC224=I224+J224-K224,4&lt;1))),1,0)))</x:f>
        <x:v>99</x:v>
      </x:c>
      <x:c r="M224" s="6" t="n">
        <x:f>IF('Debt strategy'!$C$16&gt;0,0,MIN(I224+J224-K224,MAX(0,'Debt strategy'!$C$5-SUM(E224,K224,Q224,W224,AC224)-SUM(IF(F224&lt;L224,C224+D224-E224,0),IF(R224&lt;L224,O224+P224-Q224,0),IF(X224&lt;L224,U224+V224-W224,0),IF(AD224&lt;L224,AA224+AB224-AC224,0)))))</x:f>
        <x:v>0</x:v>
      </x:c>
      <x:c r="N224" s="6" t="n">
        <x:f>ROUND(MAX(0,I224+J224-K224-M224),2)</x:f>
        <x:v>0</x:v>
      </x:c>
      <x:c r="O224" s="6" t="n">
        <x:f>T223</x:f>
        <x:v>0</x:v>
      </x:c>
      <x:c r="P224" s="6" t="n">
        <x:f>ROUND(O224*'Debt strategy'!$D$11/12,2)</x:f>
        <x:v>0</x:v>
      </x:c>
      <x:c r="Q224" s="6" t="n">
        <x:f>MIN(O224+P224,'Debt strategy'!$E$11)</x:f>
        <x:v>0</x:v>
      </x:c>
      <x:c r="R224" s="27" t="n">
        <x:f>IF(O224+P224-Q224&lt;=0,99,1+SUM(IF(AND(C224+D224-E224&gt;0,OR(C224+D224-E224&lt;O224+P224-Q224,AND(C224+D224-E224=O224+P224-Q224,0&lt;2))),1,0),IF(AND(I224+J224-K224&gt;0,OR(I224+J224-K224&lt;O224+P224-Q224,AND(I224+J224-K224=O224+P224-Q224,1&lt;2))),1,0),IF(AND(U224+V224-W224&gt;0,OR(U224+V224-W224&lt;O224+P224-Q224,AND(U224+V224-W224=O224+P224-Q224,3&lt;2))),1,0),IF(AND(AA224+AB224-AC224&gt;0,OR(AA224+AB224-AC224&lt;O224+P224-Q224,AND(AA224+AB224-AC224=O224+P224-Q224,4&lt;2))),1,0)))</x:f>
        <x:v>99</x:v>
      </x:c>
      <x:c r="S224" s="6" t="n">
        <x:f>IF('Debt strategy'!$C$16&gt;0,0,MIN(O224+P224-Q224,MAX(0,'Debt strategy'!$C$5-SUM(E224,K224,Q224,W224,AC224)-SUM(IF(F224&lt;R224,C224+D224-E224,0),IF(L224&lt;R224,I224+J224-K224,0),IF(X224&lt;R224,U224+V224-W224,0),IF(AD224&lt;R224,AA224+AB224-AC224,0)))))</x:f>
        <x:v>0</x:v>
      </x:c>
      <x:c r="T224" s="6" t="n">
        <x:f>ROUND(MAX(0,O224+P224-Q224-S224),2)</x:f>
        <x:v>0</x:v>
      </x:c>
      <x:c r="U224" s="6" t="n">
        <x:f>Z223</x:f>
        <x:v>0</x:v>
      </x:c>
      <x:c r="V224" s="6" t="n">
        <x:f>ROUND(U224*'Debt strategy'!$D$12/12,2)</x:f>
        <x:v>0</x:v>
      </x:c>
      <x:c r="W224" s="6" t="n">
        <x:f>MIN(U224+V224,'Debt strategy'!$E$12)</x:f>
        <x:v>0</x:v>
      </x:c>
      <x:c r="X224" s="27" t="n">
        <x:f>IF(U224+V224-W224&lt;=0,99,1+SUM(IF(AND(C224+D224-E224&gt;0,OR(C224+D224-E224&lt;U224+V224-W224,AND(C224+D224-E224=U224+V224-W224,0&lt;3))),1,0),IF(AND(I224+J224-K224&gt;0,OR(I224+J224-K224&lt;U224+V224-W224,AND(I224+J224-K224=U224+V224-W224,1&lt;3))),1,0),IF(AND(O224+P224-Q224&gt;0,OR(O224+P224-Q224&lt;U224+V224-W224,AND(O224+P224-Q224=U224+V224-W224,2&lt;3))),1,0),IF(AND(AA224+AB224-AC224&gt;0,OR(AA224+AB224-AC224&lt;U224+V224-W224,AND(AA224+AB224-AC224=U224+V224-W224,4&lt;3))),1,0)))</x:f>
        <x:v>99</x:v>
      </x:c>
      <x:c r="Y224" s="6" t="n">
        <x:f>IF('Debt strategy'!$C$16&gt;0,0,MIN(U224+V224-W224,MAX(0,'Debt strategy'!$C$5-SUM(E224,K224,Q224,W224,AC224)-SUM(IF(F224&lt;X224,C224+D224-E224,0),IF(L224&lt;X224,I224+J224-K224,0),IF(R224&lt;X224,O224+P224-Q224,0),IF(AD224&lt;X224,AA224+AB224-AC224,0)))))</x:f>
        <x:v>0</x:v>
      </x:c>
      <x:c r="Z224" s="6" t="n">
        <x:f>ROUND(MAX(0,U224+V224-W224-Y224),2)</x:f>
        <x:v>0</x:v>
      </x:c>
      <x:c r="AA224" s="6" t="n">
        <x:f>AF223</x:f>
        <x:v>0</x:v>
      </x:c>
      <x:c r="AB224" s="6" t="n">
        <x:f>ROUND(AA224*'Debt strategy'!$D$13/12,2)</x:f>
        <x:v>0</x:v>
      </x:c>
      <x:c r="AC224" s="6" t="n">
        <x:f>MIN(AA224+AB224,'Debt strategy'!$E$13)</x:f>
        <x:v>0</x:v>
      </x:c>
      <x:c r="AD224" s="27" t="n">
        <x:f>IF(AA224+AB224-AC224&lt;=0,99,1+SUM(IF(AND(C224+D224-E224&gt;0,OR(C224+D224-E224&lt;AA224+AB224-AC224,AND(C224+D224-E224=AA224+AB224-AC224,0&lt;4))),1,0),IF(AND(I224+J224-K224&gt;0,OR(I224+J224-K224&lt;AA224+AB224-AC224,AND(I224+J224-K224=AA224+AB224-AC224,1&lt;4))),1,0),IF(AND(O224+P224-Q224&gt;0,OR(O224+P224-Q224&lt;AA224+AB224-AC224,AND(O224+P224-Q224=AA224+AB224-AC224,2&lt;4))),1,0),IF(AND(U224+V224-W224&gt;0,OR(U224+V224-W224&lt;AA224+AB224-AC224,AND(U224+V224-W224=AA224+AB224-AC224,3&lt;4))),1,0)))</x:f>
        <x:v>99</x:v>
      </x:c>
      <x:c r="AE224" s="6" t="n">
        <x:f>IF('Debt strategy'!$C$16&gt;0,0,MIN(AA224+AB224-AC224,MAX(0,'Debt strategy'!$C$5-SUM(E224,K224,Q224,W224,AC224)-SUM(IF(F224&lt;AD224,C224+D224-E224,0),IF(L224&lt;AD224,I224+J224-K224,0),IF(R224&lt;AD224,O224+P224-Q224,0),IF(X224&lt;AD224,U224+V224-W224,0)))))</x:f>
        <x:v>0</x:v>
      </x:c>
      <x:c r="AF224" s="6" t="n">
        <x:f>ROUND(MAX(0,AA224+AB224-AC224-AE224),2)</x:f>
        <x:v>0</x:v>
      </x:c>
      <x:c r="AG224" s="6" t="n">
        <x:f>SUM(H224,N224,T224,Z224,AF224)</x:f>
        <x:v>0</x:v>
      </x:c>
      <x:c r="AH224" s="6" t="n">
        <x:f>SUM(D224,J224,P224,V224,AB224)+AH223</x:f>
        <x:v>1353.9499999999996</x:v>
      </x:c>
      <x:c r="AI224" s="2"/>
    </x:row>
    <x:row r="225" ht="23" customHeight="1">
      <x:c r="B225" s="2" t="n">
        <x:f>217</x:f>
        <x:v>217</x:v>
      </x:c>
      <x:c r="C225" s="6" t="n">
        <x:f>H224</x:f>
        <x:v>0</x:v>
      </x:c>
      <x:c r="D225" s="6" t="n">
        <x:f>ROUND(C225*'Debt strategy'!$D$9/12,2)</x:f>
        <x:v>0</x:v>
      </x:c>
      <x:c r="E225" s="6" t="n">
        <x:f>MIN(C225+D225,'Debt strategy'!$E$9)</x:f>
        <x:v>0</x:v>
      </x:c>
      <x:c r="F225" s="27" t="n">
        <x:f>IF(C225+D225-E225&lt;=0,99,1+SUM(IF(AND(I225+J225-K225&gt;0,OR(I225+J225-K225&lt;C225+D225-E225,AND(I225+J225-K225=C225+D225-E225,1&lt;0))),1,0),IF(AND(O225+P225-Q225&gt;0,OR(O225+P225-Q225&lt;C225+D225-E225,AND(O225+P225-Q225=C225+D225-E225,2&lt;0))),1,0),IF(AND(U225+V225-W225&gt;0,OR(U225+V225-W225&lt;C225+D225-E225,AND(U225+V225-W225=C225+D225-E225,3&lt;0))),1,0),IF(AND(AA225+AB225-AC225&gt;0,OR(AA225+AB225-AC225&lt;C225+D225-E225,AND(AA225+AB225-AC225=C225+D225-E225,4&lt;0))),1,0)))</x:f>
        <x:v>99</x:v>
      </x:c>
      <x:c r="G225" s="6" t="n">
        <x:f>IF('Debt strategy'!$C$16&gt;0,0,MIN(C225+D225-E225,MAX(0,'Debt strategy'!$C$5-SUM(E225,K225,Q225,W225,AC225)-SUM(IF(L225&lt;F225,I225+J225-K225,0),IF(R225&lt;F225,O225+P225-Q225,0),IF(X225&lt;F225,U225+V225-W225,0),IF(AD225&lt;F225,AA225+AB225-AC225,0)))))</x:f>
        <x:v>0</x:v>
      </x:c>
      <x:c r="H225" s="6" t="n">
        <x:f>ROUND(MAX(0,C225+D225-E225-G225),2)</x:f>
        <x:v>0</x:v>
      </x:c>
      <x:c r="I225" s="6" t="n">
        <x:f>N224</x:f>
        <x:v>0</x:v>
      </x:c>
      <x:c r="J225" s="6" t="n">
        <x:f>ROUND(I225*'Debt strategy'!$D$10/12,2)</x:f>
        <x:v>0</x:v>
      </x:c>
      <x:c r="K225" s="6" t="n">
        <x:f>MIN(I225+J225,'Debt strategy'!$E$10)</x:f>
        <x:v>0</x:v>
      </x:c>
      <x:c r="L225" s="27" t="n">
        <x:f>IF(I225+J225-K225&lt;=0,99,1+SUM(IF(AND(C225+D225-E225&gt;0,OR(C225+D225-E225&lt;I225+J225-K225,AND(C225+D225-E225=I225+J225-K225,0&lt;1))),1,0),IF(AND(O225+P225-Q225&gt;0,OR(O225+P225-Q225&lt;I225+J225-K225,AND(O225+P225-Q225=I225+J225-K225,2&lt;1))),1,0),IF(AND(U225+V225-W225&gt;0,OR(U225+V225-W225&lt;I225+J225-K225,AND(U225+V225-W225=I225+J225-K225,3&lt;1))),1,0),IF(AND(AA225+AB225-AC225&gt;0,OR(AA225+AB225-AC225&lt;I225+J225-K225,AND(AA225+AB225-AC225=I225+J225-K225,4&lt;1))),1,0)))</x:f>
        <x:v>99</x:v>
      </x:c>
      <x:c r="M225" s="6" t="n">
        <x:f>IF('Debt strategy'!$C$16&gt;0,0,MIN(I225+J225-K225,MAX(0,'Debt strategy'!$C$5-SUM(E225,K225,Q225,W225,AC225)-SUM(IF(F225&lt;L225,C225+D225-E225,0),IF(R225&lt;L225,O225+P225-Q225,0),IF(X225&lt;L225,U225+V225-W225,0),IF(AD225&lt;L225,AA225+AB225-AC225,0)))))</x:f>
        <x:v>0</x:v>
      </x:c>
      <x:c r="N225" s="6" t="n">
        <x:f>ROUND(MAX(0,I225+J225-K225-M225),2)</x:f>
        <x:v>0</x:v>
      </x:c>
      <x:c r="O225" s="6" t="n">
        <x:f>T224</x:f>
        <x:v>0</x:v>
      </x:c>
      <x:c r="P225" s="6" t="n">
        <x:f>ROUND(O225*'Debt strategy'!$D$11/12,2)</x:f>
        <x:v>0</x:v>
      </x:c>
      <x:c r="Q225" s="6" t="n">
        <x:f>MIN(O225+P225,'Debt strategy'!$E$11)</x:f>
        <x:v>0</x:v>
      </x:c>
      <x:c r="R225" s="27" t="n">
        <x:f>IF(O225+P225-Q225&lt;=0,99,1+SUM(IF(AND(C225+D225-E225&gt;0,OR(C225+D225-E225&lt;O225+P225-Q225,AND(C225+D225-E225=O225+P225-Q225,0&lt;2))),1,0),IF(AND(I225+J225-K225&gt;0,OR(I225+J225-K225&lt;O225+P225-Q225,AND(I225+J225-K225=O225+P225-Q225,1&lt;2))),1,0),IF(AND(U225+V225-W225&gt;0,OR(U225+V225-W225&lt;O225+P225-Q225,AND(U225+V225-W225=O225+P225-Q225,3&lt;2))),1,0),IF(AND(AA225+AB225-AC225&gt;0,OR(AA225+AB225-AC225&lt;O225+P225-Q225,AND(AA225+AB225-AC225=O225+P225-Q225,4&lt;2))),1,0)))</x:f>
        <x:v>99</x:v>
      </x:c>
      <x:c r="S225" s="6" t="n">
        <x:f>IF('Debt strategy'!$C$16&gt;0,0,MIN(O225+P225-Q225,MAX(0,'Debt strategy'!$C$5-SUM(E225,K225,Q225,W225,AC225)-SUM(IF(F225&lt;R225,C225+D225-E225,0),IF(L225&lt;R225,I225+J225-K225,0),IF(X225&lt;R225,U225+V225-W225,0),IF(AD225&lt;R225,AA225+AB225-AC225,0)))))</x:f>
        <x:v>0</x:v>
      </x:c>
      <x:c r="T225" s="6" t="n">
        <x:f>ROUND(MAX(0,O225+P225-Q225-S225),2)</x:f>
        <x:v>0</x:v>
      </x:c>
      <x:c r="U225" s="6" t="n">
        <x:f>Z224</x:f>
        <x:v>0</x:v>
      </x:c>
      <x:c r="V225" s="6" t="n">
        <x:f>ROUND(U225*'Debt strategy'!$D$12/12,2)</x:f>
        <x:v>0</x:v>
      </x:c>
      <x:c r="W225" s="6" t="n">
        <x:f>MIN(U225+V225,'Debt strategy'!$E$12)</x:f>
        <x:v>0</x:v>
      </x:c>
      <x:c r="X225" s="27" t="n">
        <x:f>IF(U225+V225-W225&lt;=0,99,1+SUM(IF(AND(C225+D225-E225&gt;0,OR(C225+D225-E225&lt;U225+V225-W225,AND(C225+D225-E225=U225+V225-W225,0&lt;3))),1,0),IF(AND(I225+J225-K225&gt;0,OR(I225+J225-K225&lt;U225+V225-W225,AND(I225+J225-K225=U225+V225-W225,1&lt;3))),1,0),IF(AND(O225+P225-Q225&gt;0,OR(O225+P225-Q225&lt;U225+V225-W225,AND(O225+P225-Q225=U225+V225-W225,2&lt;3))),1,0),IF(AND(AA225+AB225-AC225&gt;0,OR(AA225+AB225-AC225&lt;U225+V225-W225,AND(AA225+AB225-AC225=U225+V225-W225,4&lt;3))),1,0)))</x:f>
        <x:v>99</x:v>
      </x:c>
      <x:c r="Y225" s="6" t="n">
        <x:f>IF('Debt strategy'!$C$16&gt;0,0,MIN(U225+V225-W225,MAX(0,'Debt strategy'!$C$5-SUM(E225,K225,Q225,W225,AC225)-SUM(IF(F225&lt;X225,C225+D225-E225,0),IF(L225&lt;X225,I225+J225-K225,0),IF(R225&lt;X225,O225+P225-Q225,0),IF(AD225&lt;X225,AA225+AB225-AC225,0)))))</x:f>
        <x:v>0</x:v>
      </x:c>
      <x:c r="Z225" s="6" t="n">
        <x:f>ROUND(MAX(0,U225+V225-W225-Y225),2)</x:f>
        <x:v>0</x:v>
      </x:c>
      <x:c r="AA225" s="6" t="n">
        <x:f>AF224</x:f>
        <x:v>0</x:v>
      </x:c>
      <x:c r="AB225" s="6" t="n">
        <x:f>ROUND(AA225*'Debt strategy'!$D$13/12,2)</x:f>
        <x:v>0</x:v>
      </x:c>
      <x:c r="AC225" s="6" t="n">
        <x:f>MIN(AA225+AB225,'Debt strategy'!$E$13)</x:f>
        <x:v>0</x:v>
      </x:c>
      <x:c r="AD225" s="27" t="n">
        <x:f>IF(AA225+AB225-AC225&lt;=0,99,1+SUM(IF(AND(C225+D225-E225&gt;0,OR(C225+D225-E225&lt;AA225+AB225-AC225,AND(C225+D225-E225=AA225+AB225-AC225,0&lt;4))),1,0),IF(AND(I225+J225-K225&gt;0,OR(I225+J225-K225&lt;AA225+AB225-AC225,AND(I225+J225-K225=AA225+AB225-AC225,1&lt;4))),1,0),IF(AND(O225+P225-Q225&gt;0,OR(O225+P225-Q225&lt;AA225+AB225-AC225,AND(O225+P225-Q225=AA225+AB225-AC225,2&lt;4))),1,0),IF(AND(U225+V225-W225&gt;0,OR(U225+V225-W225&lt;AA225+AB225-AC225,AND(U225+V225-W225=AA225+AB225-AC225,3&lt;4))),1,0)))</x:f>
        <x:v>99</x:v>
      </x:c>
      <x:c r="AE225" s="6" t="n">
        <x:f>IF('Debt strategy'!$C$16&gt;0,0,MIN(AA225+AB225-AC225,MAX(0,'Debt strategy'!$C$5-SUM(E225,K225,Q225,W225,AC225)-SUM(IF(F225&lt;AD225,C225+D225-E225,0),IF(L225&lt;AD225,I225+J225-K225,0),IF(R225&lt;AD225,O225+P225-Q225,0),IF(X225&lt;AD225,U225+V225-W225,0)))))</x:f>
        <x:v>0</x:v>
      </x:c>
      <x:c r="AF225" s="6" t="n">
        <x:f>ROUND(MAX(0,AA225+AB225-AC225-AE225),2)</x:f>
        <x:v>0</x:v>
      </x:c>
      <x:c r="AG225" s="6" t="n">
        <x:f>SUM(H225,N225,T225,Z225,AF225)</x:f>
        <x:v>0</x:v>
      </x:c>
      <x:c r="AH225" s="6" t="n">
        <x:f>SUM(D225,J225,P225,V225,AB225)+AH224</x:f>
        <x:v>1353.9499999999996</x:v>
      </x:c>
      <x:c r="AI225" s="2"/>
    </x:row>
    <x:row r="226" ht="23" customHeight="1">
      <x:c r="B226" s="2" t="n">
        <x:f>218</x:f>
        <x:v>218</x:v>
      </x:c>
      <x:c r="C226" s="6" t="n">
        <x:f>H225</x:f>
        <x:v>0</x:v>
      </x:c>
      <x:c r="D226" s="6" t="n">
        <x:f>ROUND(C226*'Debt strategy'!$D$9/12,2)</x:f>
        <x:v>0</x:v>
      </x:c>
      <x:c r="E226" s="6" t="n">
        <x:f>MIN(C226+D226,'Debt strategy'!$E$9)</x:f>
        <x:v>0</x:v>
      </x:c>
      <x:c r="F226" s="27" t="n">
        <x:f>IF(C226+D226-E226&lt;=0,99,1+SUM(IF(AND(I226+J226-K226&gt;0,OR(I226+J226-K226&lt;C226+D226-E226,AND(I226+J226-K226=C226+D226-E226,1&lt;0))),1,0),IF(AND(O226+P226-Q226&gt;0,OR(O226+P226-Q226&lt;C226+D226-E226,AND(O226+P226-Q226=C226+D226-E226,2&lt;0))),1,0),IF(AND(U226+V226-W226&gt;0,OR(U226+V226-W226&lt;C226+D226-E226,AND(U226+V226-W226=C226+D226-E226,3&lt;0))),1,0),IF(AND(AA226+AB226-AC226&gt;0,OR(AA226+AB226-AC226&lt;C226+D226-E226,AND(AA226+AB226-AC226=C226+D226-E226,4&lt;0))),1,0)))</x:f>
        <x:v>99</x:v>
      </x:c>
      <x:c r="G226" s="6" t="n">
        <x:f>IF('Debt strategy'!$C$16&gt;0,0,MIN(C226+D226-E226,MAX(0,'Debt strategy'!$C$5-SUM(E226,K226,Q226,W226,AC226)-SUM(IF(L226&lt;F226,I226+J226-K226,0),IF(R226&lt;F226,O226+P226-Q226,0),IF(X226&lt;F226,U226+V226-W226,0),IF(AD226&lt;F226,AA226+AB226-AC226,0)))))</x:f>
        <x:v>0</x:v>
      </x:c>
      <x:c r="H226" s="6" t="n">
        <x:f>ROUND(MAX(0,C226+D226-E226-G226),2)</x:f>
        <x:v>0</x:v>
      </x:c>
      <x:c r="I226" s="6" t="n">
        <x:f>N225</x:f>
        <x:v>0</x:v>
      </x:c>
      <x:c r="J226" s="6" t="n">
        <x:f>ROUND(I226*'Debt strategy'!$D$10/12,2)</x:f>
        <x:v>0</x:v>
      </x:c>
      <x:c r="K226" s="6" t="n">
        <x:f>MIN(I226+J226,'Debt strategy'!$E$10)</x:f>
        <x:v>0</x:v>
      </x:c>
      <x:c r="L226" s="27" t="n">
        <x:f>IF(I226+J226-K226&lt;=0,99,1+SUM(IF(AND(C226+D226-E226&gt;0,OR(C226+D226-E226&lt;I226+J226-K226,AND(C226+D226-E226=I226+J226-K226,0&lt;1))),1,0),IF(AND(O226+P226-Q226&gt;0,OR(O226+P226-Q226&lt;I226+J226-K226,AND(O226+P226-Q226=I226+J226-K226,2&lt;1))),1,0),IF(AND(U226+V226-W226&gt;0,OR(U226+V226-W226&lt;I226+J226-K226,AND(U226+V226-W226=I226+J226-K226,3&lt;1))),1,0),IF(AND(AA226+AB226-AC226&gt;0,OR(AA226+AB226-AC226&lt;I226+J226-K226,AND(AA226+AB226-AC226=I226+J226-K226,4&lt;1))),1,0)))</x:f>
        <x:v>99</x:v>
      </x:c>
      <x:c r="M226" s="6" t="n">
        <x:f>IF('Debt strategy'!$C$16&gt;0,0,MIN(I226+J226-K226,MAX(0,'Debt strategy'!$C$5-SUM(E226,K226,Q226,W226,AC226)-SUM(IF(F226&lt;L226,C226+D226-E226,0),IF(R226&lt;L226,O226+P226-Q226,0),IF(X226&lt;L226,U226+V226-W226,0),IF(AD226&lt;L226,AA226+AB226-AC226,0)))))</x:f>
        <x:v>0</x:v>
      </x:c>
      <x:c r="N226" s="6" t="n">
        <x:f>ROUND(MAX(0,I226+J226-K226-M226),2)</x:f>
        <x:v>0</x:v>
      </x:c>
      <x:c r="O226" s="6" t="n">
        <x:f>T225</x:f>
        <x:v>0</x:v>
      </x:c>
      <x:c r="P226" s="6" t="n">
        <x:f>ROUND(O226*'Debt strategy'!$D$11/12,2)</x:f>
        <x:v>0</x:v>
      </x:c>
      <x:c r="Q226" s="6" t="n">
        <x:f>MIN(O226+P226,'Debt strategy'!$E$11)</x:f>
        <x:v>0</x:v>
      </x:c>
      <x:c r="R226" s="27" t="n">
        <x:f>IF(O226+P226-Q226&lt;=0,99,1+SUM(IF(AND(C226+D226-E226&gt;0,OR(C226+D226-E226&lt;O226+P226-Q226,AND(C226+D226-E226=O226+P226-Q226,0&lt;2))),1,0),IF(AND(I226+J226-K226&gt;0,OR(I226+J226-K226&lt;O226+P226-Q226,AND(I226+J226-K226=O226+P226-Q226,1&lt;2))),1,0),IF(AND(U226+V226-W226&gt;0,OR(U226+V226-W226&lt;O226+P226-Q226,AND(U226+V226-W226=O226+P226-Q226,3&lt;2))),1,0),IF(AND(AA226+AB226-AC226&gt;0,OR(AA226+AB226-AC226&lt;O226+P226-Q226,AND(AA226+AB226-AC226=O226+P226-Q226,4&lt;2))),1,0)))</x:f>
        <x:v>99</x:v>
      </x:c>
      <x:c r="S226" s="6" t="n">
        <x:f>IF('Debt strategy'!$C$16&gt;0,0,MIN(O226+P226-Q226,MAX(0,'Debt strategy'!$C$5-SUM(E226,K226,Q226,W226,AC226)-SUM(IF(F226&lt;R226,C226+D226-E226,0),IF(L226&lt;R226,I226+J226-K226,0),IF(X226&lt;R226,U226+V226-W226,0),IF(AD226&lt;R226,AA226+AB226-AC226,0)))))</x:f>
        <x:v>0</x:v>
      </x:c>
      <x:c r="T226" s="6" t="n">
        <x:f>ROUND(MAX(0,O226+P226-Q226-S226),2)</x:f>
        <x:v>0</x:v>
      </x:c>
      <x:c r="U226" s="6" t="n">
        <x:f>Z225</x:f>
        <x:v>0</x:v>
      </x:c>
      <x:c r="V226" s="6" t="n">
        <x:f>ROUND(U226*'Debt strategy'!$D$12/12,2)</x:f>
        <x:v>0</x:v>
      </x:c>
      <x:c r="W226" s="6" t="n">
        <x:f>MIN(U226+V226,'Debt strategy'!$E$12)</x:f>
        <x:v>0</x:v>
      </x:c>
      <x:c r="X226" s="27" t="n">
        <x:f>IF(U226+V226-W226&lt;=0,99,1+SUM(IF(AND(C226+D226-E226&gt;0,OR(C226+D226-E226&lt;U226+V226-W226,AND(C226+D226-E226=U226+V226-W226,0&lt;3))),1,0),IF(AND(I226+J226-K226&gt;0,OR(I226+J226-K226&lt;U226+V226-W226,AND(I226+J226-K226=U226+V226-W226,1&lt;3))),1,0),IF(AND(O226+P226-Q226&gt;0,OR(O226+P226-Q226&lt;U226+V226-W226,AND(O226+P226-Q226=U226+V226-W226,2&lt;3))),1,0),IF(AND(AA226+AB226-AC226&gt;0,OR(AA226+AB226-AC226&lt;U226+V226-W226,AND(AA226+AB226-AC226=U226+V226-W226,4&lt;3))),1,0)))</x:f>
        <x:v>99</x:v>
      </x:c>
      <x:c r="Y226" s="6" t="n">
        <x:f>IF('Debt strategy'!$C$16&gt;0,0,MIN(U226+V226-W226,MAX(0,'Debt strategy'!$C$5-SUM(E226,K226,Q226,W226,AC226)-SUM(IF(F226&lt;X226,C226+D226-E226,0),IF(L226&lt;X226,I226+J226-K226,0),IF(R226&lt;X226,O226+P226-Q226,0),IF(AD226&lt;X226,AA226+AB226-AC226,0)))))</x:f>
        <x:v>0</x:v>
      </x:c>
      <x:c r="Z226" s="6" t="n">
        <x:f>ROUND(MAX(0,U226+V226-W226-Y226),2)</x:f>
        <x:v>0</x:v>
      </x:c>
      <x:c r="AA226" s="6" t="n">
        <x:f>AF225</x:f>
        <x:v>0</x:v>
      </x:c>
      <x:c r="AB226" s="6" t="n">
        <x:f>ROUND(AA226*'Debt strategy'!$D$13/12,2)</x:f>
        <x:v>0</x:v>
      </x:c>
      <x:c r="AC226" s="6" t="n">
        <x:f>MIN(AA226+AB226,'Debt strategy'!$E$13)</x:f>
        <x:v>0</x:v>
      </x:c>
      <x:c r="AD226" s="27" t="n">
        <x:f>IF(AA226+AB226-AC226&lt;=0,99,1+SUM(IF(AND(C226+D226-E226&gt;0,OR(C226+D226-E226&lt;AA226+AB226-AC226,AND(C226+D226-E226=AA226+AB226-AC226,0&lt;4))),1,0),IF(AND(I226+J226-K226&gt;0,OR(I226+J226-K226&lt;AA226+AB226-AC226,AND(I226+J226-K226=AA226+AB226-AC226,1&lt;4))),1,0),IF(AND(O226+P226-Q226&gt;0,OR(O226+P226-Q226&lt;AA226+AB226-AC226,AND(O226+P226-Q226=AA226+AB226-AC226,2&lt;4))),1,0),IF(AND(U226+V226-W226&gt;0,OR(U226+V226-W226&lt;AA226+AB226-AC226,AND(U226+V226-W226=AA226+AB226-AC226,3&lt;4))),1,0)))</x:f>
        <x:v>99</x:v>
      </x:c>
      <x:c r="AE226" s="6" t="n">
        <x:f>IF('Debt strategy'!$C$16&gt;0,0,MIN(AA226+AB226-AC226,MAX(0,'Debt strategy'!$C$5-SUM(E226,K226,Q226,W226,AC226)-SUM(IF(F226&lt;AD226,C226+D226-E226,0),IF(L226&lt;AD226,I226+J226-K226,0),IF(R226&lt;AD226,O226+P226-Q226,0),IF(X226&lt;AD226,U226+V226-W226,0)))))</x:f>
        <x:v>0</x:v>
      </x:c>
      <x:c r="AF226" s="6" t="n">
        <x:f>ROUND(MAX(0,AA226+AB226-AC226-AE226),2)</x:f>
        <x:v>0</x:v>
      </x:c>
      <x:c r="AG226" s="6" t="n">
        <x:f>SUM(H226,N226,T226,Z226,AF226)</x:f>
        <x:v>0</x:v>
      </x:c>
      <x:c r="AH226" s="6" t="n">
        <x:f>SUM(D226,J226,P226,V226,AB226)+AH225</x:f>
        <x:v>1353.9499999999996</x:v>
      </x:c>
      <x:c r="AI226" s="2"/>
    </x:row>
    <x:row r="227" ht="23" customHeight="1">
      <x:c r="B227" s="2" t="n">
        <x:f>219</x:f>
        <x:v>219</x:v>
      </x:c>
      <x:c r="C227" s="6" t="n">
        <x:f>H226</x:f>
        <x:v>0</x:v>
      </x:c>
      <x:c r="D227" s="6" t="n">
        <x:f>ROUND(C227*'Debt strategy'!$D$9/12,2)</x:f>
        <x:v>0</x:v>
      </x:c>
      <x:c r="E227" s="6" t="n">
        <x:f>MIN(C227+D227,'Debt strategy'!$E$9)</x:f>
        <x:v>0</x:v>
      </x:c>
      <x:c r="F227" s="27" t="n">
        <x:f>IF(C227+D227-E227&lt;=0,99,1+SUM(IF(AND(I227+J227-K227&gt;0,OR(I227+J227-K227&lt;C227+D227-E227,AND(I227+J227-K227=C227+D227-E227,1&lt;0))),1,0),IF(AND(O227+P227-Q227&gt;0,OR(O227+P227-Q227&lt;C227+D227-E227,AND(O227+P227-Q227=C227+D227-E227,2&lt;0))),1,0),IF(AND(U227+V227-W227&gt;0,OR(U227+V227-W227&lt;C227+D227-E227,AND(U227+V227-W227=C227+D227-E227,3&lt;0))),1,0),IF(AND(AA227+AB227-AC227&gt;0,OR(AA227+AB227-AC227&lt;C227+D227-E227,AND(AA227+AB227-AC227=C227+D227-E227,4&lt;0))),1,0)))</x:f>
        <x:v>99</x:v>
      </x:c>
      <x:c r="G227" s="6" t="n">
        <x:f>IF('Debt strategy'!$C$16&gt;0,0,MIN(C227+D227-E227,MAX(0,'Debt strategy'!$C$5-SUM(E227,K227,Q227,W227,AC227)-SUM(IF(L227&lt;F227,I227+J227-K227,0),IF(R227&lt;F227,O227+P227-Q227,0),IF(X227&lt;F227,U227+V227-W227,0),IF(AD227&lt;F227,AA227+AB227-AC227,0)))))</x:f>
        <x:v>0</x:v>
      </x:c>
      <x:c r="H227" s="6" t="n">
        <x:f>ROUND(MAX(0,C227+D227-E227-G227),2)</x:f>
        <x:v>0</x:v>
      </x:c>
      <x:c r="I227" s="6" t="n">
        <x:f>N226</x:f>
        <x:v>0</x:v>
      </x:c>
      <x:c r="J227" s="6" t="n">
        <x:f>ROUND(I227*'Debt strategy'!$D$10/12,2)</x:f>
        <x:v>0</x:v>
      </x:c>
      <x:c r="K227" s="6" t="n">
        <x:f>MIN(I227+J227,'Debt strategy'!$E$10)</x:f>
        <x:v>0</x:v>
      </x:c>
      <x:c r="L227" s="27" t="n">
        <x:f>IF(I227+J227-K227&lt;=0,99,1+SUM(IF(AND(C227+D227-E227&gt;0,OR(C227+D227-E227&lt;I227+J227-K227,AND(C227+D227-E227=I227+J227-K227,0&lt;1))),1,0),IF(AND(O227+P227-Q227&gt;0,OR(O227+P227-Q227&lt;I227+J227-K227,AND(O227+P227-Q227=I227+J227-K227,2&lt;1))),1,0),IF(AND(U227+V227-W227&gt;0,OR(U227+V227-W227&lt;I227+J227-K227,AND(U227+V227-W227=I227+J227-K227,3&lt;1))),1,0),IF(AND(AA227+AB227-AC227&gt;0,OR(AA227+AB227-AC227&lt;I227+J227-K227,AND(AA227+AB227-AC227=I227+J227-K227,4&lt;1))),1,0)))</x:f>
        <x:v>99</x:v>
      </x:c>
      <x:c r="M227" s="6" t="n">
        <x:f>IF('Debt strategy'!$C$16&gt;0,0,MIN(I227+J227-K227,MAX(0,'Debt strategy'!$C$5-SUM(E227,K227,Q227,W227,AC227)-SUM(IF(F227&lt;L227,C227+D227-E227,0),IF(R227&lt;L227,O227+P227-Q227,0),IF(X227&lt;L227,U227+V227-W227,0),IF(AD227&lt;L227,AA227+AB227-AC227,0)))))</x:f>
        <x:v>0</x:v>
      </x:c>
      <x:c r="N227" s="6" t="n">
        <x:f>ROUND(MAX(0,I227+J227-K227-M227),2)</x:f>
        <x:v>0</x:v>
      </x:c>
      <x:c r="O227" s="6" t="n">
        <x:f>T226</x:f>
        <x:v>0</x:v>
      </x:c>
      <x:c r="P227" s="6" t="n">
        <x:f>ROUND(O227*'Debt strategy'!$D$11/12,2)</x:f>
        <x:v>0</x:v>
      </x:c>
      <x:c r="Q227" s="6" t="n">
        <x:f>MIN(O227+P227,'Debt strategy'!$E$11)</x:f>
        <x:v>0</x:v>
      </x:c>
      <x:c r="R227" s="27" t="n">
        <x:f>IF(O227+P227-Q227&lt;=0,99,1+SUM(IF(AND(C227+D227-E227&gt;0,OR(C227+D227-E227&lt;O227+P227-Q227,AND(C227+D227-E227=O227+P227-Q227,0&lt;2))),1,0),IF(AND(I227+J227-K227&gt;0,OR(I227+J227-K227&lt;O227+P227-Q227,AND(I227+J227-K227=O227+P227-Q227,1&lt;2))),1,0),IF(AND(U227+V227-W227&gt;0,OR(U227+V227-W227&lt;O227+P227-Q227,AND(U227+V227-W227=O227+P227-Q227,3&lt;2))),1,0),IF(AND(AA227+AB227-AC227&gt;0,OR(AA227+AB227-AC227&lt;O227+P227-Q227,AND(AA227+AB227-AC227=O227+P227-Q227,4&lt;2))),1,0)))</x:f>
        <x:v>99</x:v>
      </x:c>
      <x:c r="S227" s="6" t="n">
        <x:f>IF('Debt strategy'!$C$16&gt;0,0,MIN(O227+P227-Q227,MAX(0,'Debt strategy'!$C$5-SUM(E227,K227,Q227,W227,AC227)-SUM(IF(F227&lt;R227,C227+D227-E227,0),IF(L227&lt;R227,I227+J227-K227,0),IF(X227&lt;R227,U227+V227-W227,0),IF(AD227&lt;R227,AA227+AB227-AC227,0)))))</x:f>
        <x:v>0</x:v>
      </x:c>
      <x:c r="T227" s="6" t="n">
        <x:f>ROUND(MAX(0,O227+P227-Q227-S227),2)</x:f>
        <x:v>0</x:v>
      </x:c>
      <x:c r="U227" s="6" t="n">
        <x:f>Z226</x:f>
        <x:v>0</x:v>
      </x:c>
      <x:c r="V227" s="6" t="n">
        <x:f>ROUND(U227*'Debt strategy'!$D$12/12,2)</x:f>
        <x:v>0</x:v>
      </x:c>
      <x:c r="W227" s="6" t="n">
        <x:f>MIN(U227+V227,'Debt strategy'!$E$12)</x:f>
        <x:v>0</x:v>
      </x:c>
      <x:c r="X227" s="27" t="n">
        <x:f>IF(U227+V227-W227&lt;=0,99,1+SUM(IF(AND(C227+D227-E227&gt;0,OR(C227+D227-E227&lt;U227+V227-W227,AND(C227+D227-E227=U227+V227-W227,0&lt;3))),1,0),IF(AND(I227+J227-K227&gt;0,OR(I227+J227-K227&lt;U227+V227-W227,AND(I227+J227-K227=U227+V227-W227,1&lt;3))),1,0),IF(AND(O227+P227-Q227&gt;0,OR(O227+P227-Q227&lt;U227+V227-W227,AND(O227+P227-Q227=U227+V227-W227,2&lt;3))),1,0),IF(AND(AA227+AB227-AC227&gt;0,OR(AA227+AB227-AC227&lt;U227+V227-W227,AND(AA227+AB227-AC227=U227+V227-W227,4&lt;3))),1,0)))</x:f>
        <x:v>99</x:v>
      </x:c>
      <x:c r="Y227" s="6" t="n">
        <x:f>IF('Debt strategy'!$C$16&gt;0,0,MIN(U227+V227-W227,MAX(0,'Debt strategy'!$C$5-SUM(E227,K227,Q227,W227,AC227)-SUM(IF(F227&lt;X227,C227+D227-E227,0),IF(L227&lt;X227,I227+J227-K227,0),IF(R227&lt;X227,O227+P227-Q227,0),IF(AD227&lt;X227,AA227+AB227-AC227,0)))))</x:f>
        <x:v>0</x:v>
      </x:c>
      <x:c r="Z227" s="6" t="n">
        <x:f>ROUND(MAX(0,U227+V227-W227-Y227),2)</x:f>
        <x:v>0</x:v>
      </x:c>
      <x:c r="AA227" s="6" t="n">
        <x:f>AF226</x:f>
        <x:v>0</x:v>
      </x:c>
      <x:c r="AB227" s="6" t="n">
        <x:f>ROUND(AA227*'Debt strategy'!$D$13/12,2)</x:f>
        <x:v>0</x:v>
      </x:c>
      <x:c r="AC227" s="6" t="n">
        <x:f>MIN(AA227+AB227,'Debt strategy'!$E$13)</x:f>
        <x:v>0</x:v>
      </x:c>
      <x:c r="AD227" s="27" t="n">
        <x:f>IF(AA227+AB227-AC227&lt;=0,99,1+SUM(IF(AND(C227+D227-E227&gt;0,OR(C227+D227-E227&lt;AA227+AB227-AC227,AND(C227+D227-E227=AA227+AB227-AC227,0&lt;4))),1,0),IF(AND(I227+J227-K227&gt;0,OR(I227+J227-K227&lt;AA227+AB227-AC227,AND(I227+J227-K227=AA227+AB227-AC227,1&lt;4))),1,0),IF(AND(O227+P227-Q227&gt;0,OR(O227+P227-Q227&lt;AA227+AB227-AC227,AND(O227+P227-Q227=AA227+AB227-AC227,2&lt;4))),1,0),IF(AND(U227+V227-W227&gt;0,OR(U227+V227-W227&lt;AA227+AB227-AC227,AND(U227+V227-W227=AA227+AB227-AC227,3&lt;4))),1,0)))</x:f>
        <x:v>99</x:v>
      </x:c>
      <x:c r="AE227" s="6" t="n">
        <x:f>IF('Debt strategy'!$C$16&gt;0,0,MIN(AA227+AB227-AC227,MAX(0,'Debt strategy'!$C$5-SUM(E227,K227,Q227,W227,AC227)-SUM(IF(F227&lt;AD227,C227+D227-E227,0),IF(L227&lt;AD227,I227+J227-K227,0),IF(R227&lt;AD227,O227+P227-Q227,0),IF(X227&lt;AD227,U227+V227-W227,0)))))</x:f>
        <x:v>0</x:v>
      </x:c>
      <x:c r="AF227" s="6" t="n">
        <x:f>ROUND(MAX(0,AA227+AB227-AC227-AE227),2)</x:f>
        <x:v>0</x:v>
      </x:c>
      <x:c r="AG227" s="6" t="n">
        <x:f>SUM(H227,N227,T227,Z227,AF227)</x:f>
        <x:v>0</x:v>
      </x:c>
      <x:c r="AH227" s="6" t="n">
        <x:f>SUM(D227,J227,P227,V227,AB227)+AH226</x:f>
        <x:v>1353.9499999999996</x:v>
      </x:c>
      <x:c r="AI227" s="2"/>
    </x:row>
    <x:row r="228" ht="23" customHeight="1">
      <x:c r="B228" s="2" t="n">
        <x:f>220</x:f>
        <x:v>220</x:v>
      </x:c>
      <x:c r="C228" s="6" t="n">
        <x:f>H227</x:f>
        <x:v>0</x:v>
      </x:c>
      <x:c r="D228" s="6" t="n">
        <x:f>ROUND(C228*'Debt strategy'!$D$9/12,2)</x:f>
        <x:v>0</x:v>
      </x:c>
      <x:c r="E228" s="6" t="n">
        <x:f>MIN(C228+D228,'Debt strategy'!$E$9)</x:f>
        <x:v>0</x:v>
      </x:c>
      <x:c r="F228" s="27" t="n">
        <x:f>IF(C228+D228-E228&lt;=0,99,1+SUM(IF(AND(I228+J228-K228&gt;0,OR(I228+J228-K228&lt;C228+D228-E228,AND(I228+J228-K228=C228+D228-E228,1&lt;0))),1,0),IF(AND(O228+P228-Q228&gt;0,OR(O228+P228-Q228&lt;C228+D228-E228,AND(O228+P228-Q228=C228+D228-E228,2&lt;0))),1,0),IF(AND(U228+V228-W228&gt;0,OR(U228+V228-W228&lt;C228+D228-E228,AND(U228+V228-W228=C228+D228-E228,3&lt;0))),1,0),IF(AND(AA228+AB228-AC228&gt;0,OR(AA228+AB228-AC228&lt;C228+D228-E228,AND(AA228+AB228-AC228=C228+D228-E228,4&lt;0))),1,0)))</x:f>
        <x:v>99</x:v>
      </x:c>
      <x:c r="G228" s="6" t="n">
        <x:f>IF('Debt strategy'!$C$16&gt;0,0,MIN(C228+D228-E228,MAX(0,'Debt strategy'!$C$5-SUM(E228,K228,Q228,W228,AC228)-SUM(IF(L228&lt;F228,I228+J228-K228,0),IF(R228&lt;F228,O228+P228-Q228,0),IF(X228&lt;F228,U228+V228-W228,0),IF(AD228&lt;F228,AA228+AB228-AC228,0)))))</x:f>
        <x:v>0</x:v>
      </x:c>
      <x:c r="H228" s="6" t="n">
        <x:f>ROUND(MAX(0,C228+D228-E228-G228),2)</x:f>
        <x:v>0</x:v>
      </x:c>
      <x:c r="I228" s="6" t="n">
        <x:f>N227</x:f>
        <x:v>0</x:v>
      </x:c>
      <x:c r="J228" s="6" t="n">
        <x:f>ROUND(I228*'Debt strategy'!$D$10/12,2)</x:f>
        <x:v>0</x:v>
      </x:c>
      <x:c r="K228" s="6" t="n">
        <x:f>MIN(I228+J228,'Debt strategy'!$E$10)</x:f>
        <x:v>0</x:v>
      </x:c>
      <x:c r="L228" s="27" t="n">
        <x:f>IF(I228+J228-K228&lt;=0,99,1+SUM(IF(AND(C228+D228-E228&gt;0,OR(C228+D228-E228&lt;I228+J228-K228,AND(C228+D228-E228=I228+J228-K228,0&lt;1))),1,0),IF(AND(O228+P228-Q228&gt;0,OR(O228+P228-Q228&lt;I228+J228-K228,AND(O228+P228-Q228=I228+J228-K228,2&lt;1))),1,0),IF(AND(U228+V228-W228&gt;0,OR(U228+V228-W228&lt;I228+J228-K228,AND(U228+V228-W228=I228+J228-K228,3&lt;1))),1,0),IF(AND(AA228+AB228-AC228&gt;0,OR(AA228+AB228-AC228&lt;I228+J228-K228,AND(AA228+AB228-AC228=I228+J228-K228,4&lt;1))),1,0)))</x:f>
        <x:v>99</x:v>
      </x:c>
      <x:c r="M228" s="6" t="n">
        <x:f>IF('Debt strategy'!$C$16&gt;0,0,MIN(I228+J228-K228,MAX(0,'Debt strategy'!$C$5-SUM(E228,K228,Q228,W228,AC228)-SUM(IF(F228&lt;L228,C228+D228-E228,0),IF(R228&lt;L228,O228+P228-Q228,0),IF(X228&lt;L228,U228+V228-W228,0),IF(AD228&lt;L228,AA228+AB228-AC228,0)))))</x:f>
        <x:v>0</x:v>
      </x:c>
      <x:c r="N228" s="6" t="n">
        <x:f>ROUND(MAX(0,I228+J228-K228-M228),2)</x:f>
        <x:v>0</x:v>
      </x:c>
      <x:c r="O228" s="6" t="n">
        <x:f>T227</x:f>
        <x:v>0</x:v>
      </x:c>
      <x:c r="P228" s="6" t="n">
        <x:f>ROUND(O228*'Debt strategy'!$D$11/12,2)</x:f>
        <x:v>0</x:v>
      </x:c>
      <x:c r="Q228" s="6" t="n">
        <x:f>MIN(O228+P228,'Debt strategy'!$E$11)</x:f>
        <x:v>0</x:v>
      </x:c>
      <x:c r="R228" s="27" t="n">
        <x:f>IF(O228+P228-Q228&lt;=0,99,1+SUM(IF(AND(C228+D228-E228&gt;0,OR(C228+D228-E228&lt;O228+P228-Q228,AND(C228+D228-E228=O228+P228-Q228,0&lt;2))),1,0),IF(AND(I228+J228-K228&gt;0,OR(I228+J228-K228&lt;O228+P228-Q228,AND(I228+J228-K228=O228+P228-Q228,1&lt;2))),1,0),IF(AND(U228+V228-W228&gt;0,OR(U228+V228-W228&lt;O228+P228-Q228,AND(U228+V228-W228=O228+P228-Q228,3&lt;2))),1,0),IF(AND(AA228+AB228-AC228&gt;0,OR(AA228+AB228-AC228&lt;O228+P228-Q228,AND(AA228+AB228-AC228=O228+P228-Q228,4&lt;2))),1,0)))</x:f>
        <x:v>99</x:v>
      </x:c>
      <x:c r="S228" s="6" t="n">
        <x:f>IF('Debt strategy'!$C$16&gt;0,0,MIN(O228+P228-Q228,MAX(0,'Debt strategy'!$C$5-SUM(E228,K228,Q228,W228,AC228)-SUM(IF(F228&lt;R228,C228+D228-E228,0),IF(L228&lt;R228,I228+J228-K228,0),IF(X228&lt;R228,U228+V228-W228,0),IF(AD228&lt;R228,AA228+AB228-AC228,0)))))</x:f>
        <x:v>0</x:v>
      </x:c>
      <x:c r="T228" s="6" t="n">
        <x:f>ROUND(MAX(0,O228+P228-Q228-S228),2)</x:f>
        <x:v>0</x:v>
      </x:c>
      <x:c r="U228" s="6" t="n">
        <x:f>Z227</x:f>
        <x:v>0</x:v>
      </x:c>
      <x:c r="V228" s="6" t="n">
        <x:f>ROUND(U228*'Debt strategy'!$D$12/12,2)</x:f>
        <x:v>0</x:v>
      </x:c>
      <x:c r="W228" s="6" t="n">
        <x:f>MIN(U228+V228,'Debt strategy'!$E$12)</x:f>
        <x:v>0</x:v>
      </x:c>
      <x:c r="X228" s="27" t="n">
        <x:f>IF(U228+V228-W228&lt;=0,99,1+SUM(IF(AND(C228+D228-E228&gt;0,OR(C228+D228-E228&lt;U228+V228-W228,AND(C228+D228-E228=U228+V228-W228,0&lt;3))),1,0),IF(AND(I228+J228-K228&gt;0,OR(I228+J228-K228&lt;U228+V228-W228,AND(I228+J228-K228=U228+V228-W228,1&lt;3))),1,0),IF(AND(O228+P228-Q228&gt;0,OR(O228+P228-Q228&lt;U228+V228-W228,AND(O228+P228-Q228=U228+V228-W228,2&lt;3))),1,0),IF(AND(AA228+AB228-AC228&gt;0,OR(AA228+AB228-AC228&lt;U228+V228-W228,AND(AA228+AB228-AC228=U228+V228-W228,4&lt;3))),1,0)))</x:f>
        <x:v>99</x:v>
      </x:c>
      <x:c r="Y228" s="6" t="n">
        <x:f>IF('Debt strategy'!$C$16&gt;0,0,MIN(U228+V228-W228,MAX(0,'Debt strategy'!$C$5-SUM(E228,K228,Q228,W228,AC228)-SUM(IF(F228&lt;X228,C228+D228-E228,0),IF(L228&lt;X228,I228+J228-K228,0),IF(R228&lt;X228,O228+P228-Q228,0),IF(AD228&lt;X228,AA228+AB228-AC228,0)))))</x:f>
        <x:v>0</x:v>
      </x:c>
      <x:c r="Z228" s="6" t="n">
        <x:f>ROUND(MAX(0,U228+V228-W228-Y228),2)</x:f>
        <x:v>0</x:v>
      </x:c>
      <x:c r="AA228" s="6" t="n">
        <x:f>AF227</x:f>
        <x:v>0</x:v>
      </x:c>
      <x:c r="AB228" s="6" t="n">
        <x:f>ROUND(AA228*'Debt strategy'!$D$13/12,2)</x:f>
        <x:v>0</x:v>
      </x:c>
      <x:c r="AC228" s="6" t="n">
        <x:f>MIN(AA228+AB228,'Debt strategy'!$E$13)</x:f>
        <x:v>0</x:v>
      </x:c>
      <x:c r="AD228" s="27" t="n">
        <x:f>IF(AA228+AB228-AC228&lt;=0,99,1+SUM(IF(AND(C228+D228-E228&gt;0,OR(C228+D228-E228&lt;AA228+AB228-AC228,AND(C228+D228-E228=AA228+AB228-AC228,0&lt;4))),1,0),IF(AND(I228+J228-K228&gt;0,OR(I228+J228-K228&lt;AA228+AB228-AC228,AND(I228+J228-K228=AA228+AB228-AC228,1&lt;4))),1,0),IF(AND(O228+P228-Q228&gt;0,OR(O228+P228-Q228&lt;AA228+AB228-AC228,AND(O228+P228-Q228=AA228+AB228-AC228,2&lt;4))),1,0),IF(AND(U228+V228-W228&gt;0,OR(U228+V228-W228&lt;AA228+AB228-AC228,AND(U228+V228-W228=AA228+AB228-AC228,3&lt;4))),1,0)))</x:f>
        <x:v>99</x:v>
      </x:c>
      <x:c r="AE228" s="6" t="n">
        <x:f>IF('Debt strategy'!$C$16&gt;0,0,MIN(AA228+AB228-AC228,MAX(0,'Debt strategy'!$C$5-SUM(E228,K228,Q228,W228,AC228)-SUM(IF(F228&lt;AD228,C228+D228-E228,0),IF(L228&lt;AD228,I228+J228-K228,0),IF(R228&lt;AD228,O228+P228-Q228,0),IF(X228&lt;AD228,U228+V228-W228,0)))))</x:f>
        <x:v>0</x:v>
      </x:c>
      <x:c r="AF228" s="6" t="n">
        <x:f>ROUND(MAX(0,AA228+AB228-AC228-AE228),2)</x:f>
        <x:v>0</x:v>
      </x:c>
      <x:c r="AG228" s="6" t="n">
        <x:f>SUM(H228,N228,T228,Z228,AF228)</x:f>
        <x:v>0</x:v>
      </x:c>
      <x:c r="AH228" s="6" t="n">
        <x:f>SUM(D228,J228,P228,V228,AB228)+AH227</x:f>
        <x:v>1353.9499999999996</x:v>
      </x:c>
      <x:c r="AI228" s="2"/>
    </x:row>
    <x:row r="229" ht="23" customHeight="1">
      <x:c r="B229" s="2" t="n">
        <x:f>221</x:f>
        <x:v>221</x:v>
      </x:c>
      <x:c r="C229" s="6" t="n">
        <x:f>H228</x:f>
        <x:v>0</x:v>
      </x:c>
      <x:c r="D229" s="6" t="n">
        <x:f>ROUND(C229*'Debt strategy'!$D$9/12,2)</x:f>
        <x:v>0</x:v>
      </x:c>
      <x:c r="E229" s="6" t="n">
        <x:f>MIN(C229+D229,'Debt strategy'!$E$9)</x:f>
        <x:v>0</x:v>
      </x:c>
      <x:c r="F229" s="27" t="n">
        <x:f>IF(C229+D229-E229&lt;=0,99,1+SUM(IF(AND(I229+J229-K229&gt;0,OR(I229+J229-K229&lt;C229+D229-E229,AND(I229+J229-K229=C229+D229-E229,1&lt;0))),1,0),IF(AND(O229+P229-Q229&gt;0,OR(O229+P229-Q229&lt;C229+D229-E229,AND(O229+P229-Q229=C229+D229-E229,2&lt;0))),1,0),IF(AND(U229+V229-W229&gt;0,OR(U229+V229-W229&lt;C229+D229-E229,AND(U229+V229-W229=C229+D229-E229,3&lt;0))),1,0),IF(AND(AA229+AB229-AC229&gt;0,OR(AA229+AB229-AC229&lt;C229+D229-E229,AND(AA229+AB229-AC229=C229+D229-E229,4&lt;0))),1,0)))</x:f>
        <x:v>99</x:v>
      </x:c>
      <x:c r="G229" s="6" t="n">
        <x:f>IF('Debt strategy'!$C$16&gt;0,0,MIN(C229+D229-E229,MAX(0,'Debt strategy'!$C$5-SUM(E229,K229,Q229,W229,AC229)-SUM(IF(L229&lt;F229,I229+J229-K229,0),IF(R229&lt;F229,O229+P229-Q229,0),IF(X229&lt;F229,U229+V229-W229,0),IF(AD229&lt;F229,AA229+AB229-AC229,0)))))</x:f>
        <x:v>0</x:v>
      </x:c>
      <x:c r="H229" s="6" t="n">
        <x:f>ROUND(MAX(0,C229+D229-E229-G229),2)</x:f>
        <x:v>0</x:v>
      </x:c>
      <x:c r="I229" s="6" t="n">
        <x:f>N228</x:f>
        <x:v>0</x:v>
      </x:c>
      <x:c r="J229" s="6" t="n">
        <x:f>ROUND(I229*'Debt strategy'!$D$10/12,2)</x:f>
        <x:v>0</x:v>
      </x:c>
      <x:c r="K229" s="6" t="n">
        <x:f>MIN(I229+J229,'Debt strategy'!$E$10)</x:f>
        <x:v>0</x:v>
      </x:c>
      <x:c r="L229" s="27" t="n">
        <x:f>IF(I229+J229-K229&lt;=0,99,1+SUM(IF(AND(C229+D229-E229&gt;0,OR(C229+D229-E229&lt;I229+J229-K229,AND(C229+D229-E229=I229+J229-K229,0&lt;1))),1,0),IF(AND(O229+P229-Q229&gt;0,OR(O229+P229-Q229&lt;I229+J229-K229,AND(O229+P229-Q229=I229+J229-K229,2&lt;1))),1,0),IF(AND(U229+V229-W229&gt;0,OR(U229+V229-W229&lt;I229+J229-K229,AND(U229+V229-W229=I229+J229-K229,3&lt;1))),1,0),IF(AND(AA229+AB229-AC229&gt;0,OR(AA229+AB229-AC229&lt;I229+J229-K229,AND(AA229+AB229-AC229=I229+J229-K229,4&lt;1))),1,0)))</x:f>
        <x:v>99</x:v>
      </x:c>
      <x:c r="M229" s="6" t="n">
        <x:f>IF('Debt strategy'!$C$16&gt;0,0,MIN(I229+J229-K229,MAX(0,'Debt strategy'!$C$5-SUM(E229,K229,Q229,W229,AC229)-SUM(IF(F229&lt;L229,C229+D229-E229,0),IF(R229&lt;L229,O229+P229-Q229,0),IF(X229&lt;L229,U229+V229-W229,0),IF(AD229&lt;L229,AA229+AB229-AC229,0)))))</x:f>
        <x:v>0</x:v>
      </x:c>
      <x:c r="N229" s="6" t="n">
        <x:f>ROUND(MAX(0,I229+J229-K229-M229),2)</x:f>
        <x:v>0</x:v>
      </x:c>
      <x:c r="O229" s="6" t="n">
        <x:f>T228</x:f>
        <x:v>0</x:v>
      </x:c>
      <x:c r="P229" s="6" t="n">
        <x:f>ROUND(O229*'Debt strategy'!$D$11/12,2)</x:f>
        <x:v>0</x:v>
      </x:c>
      <x:c r="Q229" s="6" t="n">
        <x:f>MIN(O229+P229,'Debt strategy'!$E$11)</x:f>
        <x:v>0</x:v>
      </x:c>
      <x:c r="R229" s="27" t="n">
        <x:f>IF(O229+P229-Q229&lt;=0,99,1+SUM(IF(AND(C229+D229-E229&gt;0,OR(C229+D229-E229&lt;O229+P229-Q229,AND(C229+D229-E229=O229+P229-Q229,0&lt;2))),1,0),IF(AND(I229+J229-K229&gt;0,OR(I229+J229-K229&lt;O229+P229-Q229,AND(I229+J229-K229=O229+P229-Q229,1&lt;2))),1,0),IF(AND(U229+V229-W229&gt;0,OR(U229+V229-W229&lt;O229+P229-Q229,AND(U229+V229-W229=O229+P229-Q229,3&lt;2))),1,0),IF(AND(AA229+AB229-AC229&gt;0,OR(AA229+AB229-AC229&lt;O229+P229-Q229,AND(AA229+AB229-AC229=O229+P229-Q229,4&lt;2))),1,0)))</x:f>
        <x:v>99</x:v>
      </x:c>
      <x:c r="S229" s="6" t="n">
        <x:f>IF('Debt strategy'!$C$16&gt;0,0,MIN(O229+P229-Q229,MAX(0,'Debt strategy'!$C$5-SUM(E229,K229,Q229,W229,AC229)-SUM(IF(F229&lt;R229,C229+D229-E229,0),IF(L229&lt;R229,I229+J229-K229,0),IF(X229&lt;R229,U229+V229-W229,0),IF(AD229&lt;R229,AA229+AB229-AC229,0)))))</x:f>
        <x:v>0</x:v>
      </x:c>
      <x:c r="T229" s="6" t="n">
        <x:f>ROUND(MAX(0,O229+P229-Q229-S229),2)</x:f>
        <x:v>0</x:v>
      </x:c>
      <x:c r="U229" s="6" t="n">
        <x:f>Z228</x:f>
        <x:v>0</x:v>
      </x:c>
      <x:c r="V229" s="6" t="n">
        <x:f>ROUND(U229*'Debt strategy'!$D$12/12,2)</x:f>
        <x:v>0</x:v>
      </x:c>
      <x:c r="W229" s="6" t="n">
        <x:f>MIN(U229+V229,'Debt strategy'!$E$12)</x:f>
        <x:v>0</x:v>
      </x:c>
      <x:c r="X229" s="27" t="n">
        <x:f>IF(U229+V229-W229&lt;=0,99,1+SUM(IF(AND(C229+D229-E229&gt;0,OR(C229+D229-E229&lt;U229+V229-W229,AND(C229+D229-E229=U229+V229-W229,0&lt;3))),1,0),IF(AND(I229+J229-K229&gt;0,OR(I229+J229-K229&lt;U229+V229-W229,AND(I229+J229-K229=U229+V229-W229,1&lt;3))),1,0),IF(AND(O229+P229-Q229&gt;0,OR(O229+P229-Q229&lt;U229+V229-W229,AND(O229+P229-Q229=U229+V229-W229,2&lt;3))),1,0),IF(AND(AA229+AB229-AC229&gt;0,OR(AA229+AB229-AC229&lt;U229+V229-W229,AND(AA229+AB229-AC229=U229+V229-W229,4&lt;3))),1,0)))</x:f>
        <x:v>99</x:v>
      </x:c>
      <x:c r="Y229" s="6" t="n">
        <x:f>IF('Debt strategy'!$C$16&gt;0,0,MIN(U229+V229-W229,MAX(0,'Debt strategy'!$C$5-SUM(E229,K229,Q229,W229,AC229)-SUM(IF(F229&lt;X229,C229+D229-E229,0),IF(L229&lt;X229,I229+J229-K229,0),IF(R229&lt;X229,O229+P229-Q229,0),IF(AD229&lt;X229,AA229+AB229-AC229,0)))))</x:f>
        <x:v>0</x:v>
      </x:c>
      <x:c r="Z229" s="6" t="n">
        <x:f>ROUND(MAX(0,U229+V229-W229-Y229),2)</x:f>
        <x:v>0</x:v>
      </x:c>
      <x:c r="AA229" s="6" t="n">
        <x:f>AF228</x:f>
        <x:v>0</x:v>
      </x:c>
      <x:c r="AB229" s="6" t="n">
        <x:f>ROUND(AA229*'Debt strategy'!$D$13/12,2)</x:f>
        <x:v>0</x:v>
      </x:c>
      <x:c r="AC229" s="6" t="n">
        <x:f>MIN(AA229+AB229,'Debt strategy'!$E$13)</x:f>
        <x:v>0</x:v>
      </x:c>
      <x:c r="AD229" s="27" t="n">
        <x:f>IF(AA229+AB229-AC229&lt;=0,99,1+SUM(IF(AND(C229+D229-E229&gt;0,OR(C229+D229-E229&lt;AA229+AB229-AC229,AND(C229+D229-E229=AA229+AB229-AC229,0&lt;4))),1,0),IF(AND(I229+J229-K229&gt;0,OR(I229+J229-K229&lt;AA229+AB229-AC229,AND(I229+J229-K229=AA229+AB229-AC229,1&lt;4))),1,0),IF(AND(O229+P229-Q229&gt;0,OR(O229+P229-Q229&lt;AA229+AB229-AC229,AND(O229+P229-Q229=AA229+AB229-AC229,2&lt;4))),1,0),IF(AND(U229+V229-W229&gt;0,OR(U229+V229-W229&lt;AA229+AB229-AC229,AND(U229+V229-W229=AA229+AB229-AC229,3&lt;4))),1,0)))</x:f>
        <x:v>99</x:v>
      </x:c>
      <x:c r="AE229" s="6" t="n">
        <x:f>IF('Debt strategy'!$C$16&gt;0,0,MIN(AA229+AB229-AC229,MAX(0,'Debt strategy'!$C$5-SUM(E229,K229,Q229,W229,AC229)-SUM(IF(F229&lt;AD229,C229+D229-E229,0),IF(L229&lt;AD229,I229+J229-K229,0),IF(R229&lt;AD229,O229+P229-Q229,0),IF(X229&lt;AD229,U229+V229-W229,0)))))</x:f>
        <x:v>0</x:v>
      </x:c>
      <x:c r="AF229" s="6" t="n">
        <x:f>ROUND(MAX(0,AA229+AB229-AC229-AE229),2)</x:f>
        <x:v>0</x:v>
      </x:c>
      <x:c r="AG229" s="6" t="n">
        <x:f>SUM(H229,N229,T229,Z229,AF229)</x:f>
        <x:v>0</x:v>
      </x:c>
      <x:c r="AH229" s="6" t="n">
        <x:f>SUM(D229,J229,P229,V229,AB229)+AH228</x:f>
        <x:v>1353.9499999999996</x:v>
      </x:c>
      <x:c r="AI229" s="2"/>
    </x:row>
    <x:row r="230" ht="23" customHeight="1">
      <x:c r="B230" s="2" t="n">
        <x:f>222</x:f>
        <x:v>222</x:v>
      </x:c>
      <x:c r="C230" s="6" t="n">
        <x:f>H229</x:f>
        <x:v>0</x:v>
      </x:c>
      <x:c r="D230" s="6" t="n">
        <x:f>ROUND(C230*'Debt strategy'!$D$9/12,2)</x:f>
        <x:v>0</x:v>
      </x:c>
      <x:c r="E230" s="6" t="n">
        <x:f>MIN(C230+D230,'Debt strategy'!$E$9)</x:f>
        <x:v>0</x:v>
      </x:c>
      <x:c r="F230" s="27" t="n">
        <x:f>IF(C230+D230-E230&lt;=0,99,1+SUM(IF(AND(I230+J230-K230&gt;0,OR(I230+J230-K230&lt;C230+D230-E230,AND(I230+J230-K230=C230+D230-E230,1&lt;0))),1,0),IF(AND(O230+P230-Q230&gt;0,OR(O230+P230-Q230&lt;C230+D230-E230,AND(O230+P230-Q230=C230+D230-E230,2&lt;0))),1,0),IF(AND(U230+V230-W230&gt;0,OR(U230+V230-W230&lt;C230+D230-E230,AND(U230+V230-W230=C230+D230-E230,3&lt;0))),1,0),IF(AND(AA230+AB230-AC230&gt;0,OR(AA230+AB230-AC230&lt;C230+D230-E230,AND(AA230+AB230-AC230=C230+D230-E230,4&lt;0))),1,0)))</x:f>
        <x:v>99</x:v>
      </x:c>
      <x:c r="G230" s="6" t="n">
        <x:f>IF('Debt strategy'!$C$16&gt;0,0,MIN(C230+D230-E230,MAX(0,'Debt strategy'!$C$5-SUM(E230,K230,Q230,W230,AC230)-SUM(IF(L230&lt;F230,I230+J230-K230,0),IF(R230&lt;F230,O230+P230-Q230,0),IF(X230&lt;F230,U230+V230-W230,0),IF(AD230&lt;F230,AA230+AB230-AC230,0)))))</x:f>
        <x:v>0</x:v>
      </x:c>
      <x:c r="H230" s="6" t="n">
        <x:f>ROUND(MAX(0,C230+D230-E230-G230),2)</x:f>
        <x:v>0</x:v>
      </x:c>
      <x:c r="I230" s="6" t="n">
        <x:f>N229</x:f>
        <x:v>0</x:v>
      </x:c>
      <x:c r="J230" s="6" t="n">
        <x:f>ROUND(I230*'Debt strategy'!$D$10/12,2)</x:f>
        <x:v>0</x:v>
      </x:c>
      <x:c r="K230" s="6" t="n">
        <x:f>MIN(I230+J230,'Debt strategy'!$E$10)</x:f>
        <x:v>0</x:v>
      </x:c>
      <x:c r="L230" s="27" t="n">
        <x:f>IF(I230+J230-K230&lt;=0,99,1+SUM(IF(AND(C230+D230-E230&gt;0,OR(C230+D230-E230&lt;I230+J230-K230,AND(C230+D230-E230=I230+J230-K230,0&lt;1))),1,0),IF(AND(O230+P230-Q230&gt;0,OR(O230+P230-Q230&lt;I230+J230-K230,AND(O230+P230-Q230=I230+J230-K230,2&lt;1))),1,0),IF(AND(U230+V230-W230&gt;0,OR(U230+V230-W230&lt;I230+J230-K230,AND(U230+V230-W230=I230+J230-K230,3&lt;1))),1,0),IF(AND(AA230+AB230-AC230&gt;0,OR(AA230+AB230-AC230&lt;I230+J230-K230,AND(AA230+AB230-AC230=I230+J230-K230,4&lt;1))),1,0)))</x:f>
        <x:v>99</x:v>
      </x:c>
      <x:c r="M230" s="6" t="n">
        <x:f>IF('Debt strategy'!$C$16&gt;0,0,MIN(I230+J230-K230,MAX(0,'Debt strategy'!$C$5-SUM(E230,K230,Q230,W230,AC230)-SUM(IF(F230&lt;L230,C230+D230-E230,0),IF(R230&lt;L230,O230+P230-Q230,0),IF(X230&lt;L230,U230+V230-W230,0),IF(AD230&lt;L230,AA230+AB230-AC230,0)))))</x:f>
        <x:v>0</x:v>
      </x:c>
      <x:c r="N230" s="6" t="n">
        <x:f>ROUND(MAX(0,I230+J230-K230-M230),2)</x:f>
        <x:v>0</x:v>
      </x:c>
      <x:c r="O230" s="6" t="n">
        <x:f>T229</x:f>
        <x:v>0</x:v>
      </x:c>
      <x:c r="P230" s="6" t="n">
        <x:f>ROUND(O230*'Debt strategy'!$D$11/12,2)</x:f>
        <x:v>0</x:v>
      </x:c>
      <x:c r="Q230" s="6" t="n">
        <x:f>MIN(O230+P230,'Debt strategy'!$E$11)</x:f>
        <x:v>0</x:v>
      </x:c>
      <x:c r="R230" s="27" t="n">
        <x:f>IF(O230+P230-Q230&lt;=0,99,1+SUM(IF(AND(C230+D230-E230&gt;0,OR(C230+D230-E230&lt;O230+P230-Q230,AND(C230+D230-E230=O230+P230-Q230,0&lt;2))),1,0),IF(AND(I230+J230-K230&gt;0,OR(I230+J230-K230&lt;O230+P230-Q230,AND(I230+J230-K230=O230+P230-Q230,1&lt;2))),1,0),IF(AND(U230+V230-W230&gt;0,OR(U230+V230-W230&lt;O230+P230-Q230,AND(U230+V230-W230=O230+P230-Q230,3&lt;2))),1,0),IF(AND(AA230+AB230-AC230&gt;0,OR(AA230+AB230-AC230&lt;O230+P230-Q230,AND(AA230+AB230-AC230=O230+P230-Q230,4&lt;2))),1,0)))</x:f>
        <x:v>99</x:v>
      </x:c>
      <x:c r="S230" s="6" t="n">
        <x:f>IF('Debt strategy'!$C$16&gt;0,0,MIN(O230+P230-Q230,MAX(0,'Debt strategy'!$C$5-SUM(E230,K230,Q230,W230,AC230)-SUM(IF(F230&lt;R230,C230+D230-E230,0),IF(L230&lt;R230,I230+J230-K230,0),IF(X230&lt;R230,U230+V230-W230,0),IF(AD230&lt;R230,AA230+AB230-AC230,0)))))</x:f>
        <x:v>0</x:v>
      </x:c>
      <x:c r="T230" s="6" t="n">
        <x:f>ROUND(MAX(0,O230+P230-Q230-S230),2)</x:f>
        <x:v>0</x:v>
      </x:c>
      <x:c r="U230" s="6" t="n">
        <x:f>Z229</x:f>
        <x:v>0</x:v>
      </x:c>
      <x:c r="V230" s="6" t="n">
        <x:f>ROUND(U230*'Debt strategy'!$D$12/12,2)</x:f>
        <x:v>0</x:v>
      </x:c>
      <x:c r="W230" s="6" t="n">
        <x:f>MIN(U230+V230,'Debt strategy'!$E$12)</x:f>
        <x:v>0</x:v>
      </x:c>
      <x:c r="X230" s="27" t="n">
        <x:f>IF(U230+V230-W230&lt;=0,99,1+SUM(IF(AND(C230+D230-E230&gt;0,OR(C230+D230-E230&lt;U230+V230-W230,AND(C230+D230-E230=U230+V230-W230,0&lt;3))),1,0),IF(AND(I230+J230-K230&gt;0,OR(I230+J230-K230&lt;U230+V230-W230,AND(I230+J230-K230=U230+V230-W230,1&lt;3))),1,0),IF(AND(O230+P230-Q230&gt;0,OR(O230+P230-Q230&lt;U230+V230-W230,AND(O230+P230-Q230=U230+V230-W230,2&lt;3))),1,0),IF(AND(AA230+AB230-AC230&gt;0,OR(AA230+AB230-AC230&lt;U230+V230-W230,AND(AA230+AB230-AC230=U230+V230-W230,4&lt;3))),1,0)))</x:f>
        <x:v>99</x:v>
      </x:c>
      <x:c r="Y230" s="6" t="n">
        <x:f>IF('Debt strategy'!$C$16&gt;0,0,MIN(U230+V230-W230,MAX(0,'Debt strategy'!$C$5-SUM(E230,K230,Q230,W230,AC230)-SUM(IF(F230&lt;X230,C230+D230-E230,0),IF(L230&lt;X230,I230+J230-K230,0),IF(R230&lt;X230,O230+P230-Q230,0),IF(AD230&lt;X230,AA230+AB230-AC230,0)))))</x:f>
        <x:v>0</x:v>
      </x:c>
      <x:c r="Z230" s="6" t="n">
        <x:f>ROUND(MAX(0,U230+V230-W230-Y230),2)</x:f>
        <x:v>0</x:v>
      </x:c>
      <x:c r="AA230" s="6" t="n">
        <x:f>AF229</x:f>
        <x:v>0</x:v>
      </x:c>
      <x:c r="AB230" s="6" t="n">
        <x:f>ROUND(AA230*'Debt strategy'!$D$13/12,2)</x:f>
        <x:v>0</x:v>
      </x:c>
      <x:c r="AC230" s="6" t="n">
        <x:f>MIN(AA230+AB230,'Debt strategy'!$E$13)</x:f>
        <x:v>0</x:v>
      </x:c>
      <x:c r="AD230" s="27" t="n">
        <x:f>IF(AA230+AB230-AC230&lt;=0,99,1+SUM(IF(AND(C230+D230-E230&gt;0,OR(C230+D230-E230&lt;AA230+AB230-AC230,AND(C230+D230-E230=AA230+AB230-AC230,0&lt;4))),1,0),IF(AND(I230+J230-K230&gt;0,OR(I230+J230-K230&lt;AA230+AB230-AC230,AND(I230+J230-K230=AA230+AB230-AC230,1&lt;4))),1,0),IF(AND(O230+P230-Q230&gt;0,OR(O230+P230-Q230&lt;AA230+AB230-AC230,AND(O230+P230-Q230=AA230+AB230-AC230,2&lt;4))),1,0),IF(AND(U230+V230-W230&gt;0,OR(U230+V230-W230&lt;AA230+AB230-AC230,AND(U230+V230-W230=AA230+AB230-AC230,3&lt;4))),1,0)))</x:f>
        <x:v>99</x:v>
      </x:c>
      <x:c r="AE230" s="6" t="n">
        <x:f>IF('Debt strategy'!$C$16&gt;0,0,MIN(AA230+AB230-AC230,MAX(0,'Debt strategy'!$C$5-SUM(E230,K230,Q230,W230,AC230)-SUM(IF(F230&lt;AD230,C230+D230-E230,0),IF(L230&lt;AD230,I230+J230-K230,0),IF(R230&lt;AD230,O230+P230-Q230,0),IF(X230&lt;AD230,U230+V230-W230,0)))))</x:f>
        <x:v>0</x:v>
      </x:c>
      <x:c r="AF230" s="6" t="n">
        <x:f>ROUND(MAX(0,AA230+AB230-AC230-AE230),2)</x:f>
        <x:v>0</x:v>
      </x:c>
      <x:c r="AG230" s="6" t="n">
        <x:f>SUM(H230,N230,T230,Z230,AF230)</x:f>
        <x:v>0</x:v>
      </x:c>
      <x:c r="AH230" s="6" t="n">
        <x:f>SUM(D230,J230,P230,V230,AB230)+AH229</x:f>
        <x:v>1353.9499999999996</x:v>
      </x:c>
      <x:c r="AI230" s="2"/>
    </x:row>
    <x:row r="231" ht="23" customHeight="1">
      <x:c r="B231" s="2" t="n">
        <x:f>223</x:f>
        <x:v>223</x:v>
      </x:c>
      <x:c r="C231" s="6" t="n">
        <x:f>H230</x:f>
        <x:v>0</x:v>
      </x:c>
      <x:c r="D231" s="6" t="n">
        <x:f>ROUND(C231*'Debt strategy'!$D$9/12,2)</x:f>
        <x:v>0</x:v>
      </x:c>
      <x:c r="E231" s="6" t="n">
        <x:f>MIN(C231+D231,'Debt strategy'!$E$9)</x:f>
        <x:v>0</x:v>
      </x:c>
      <x:c r="F231" s="27" t="n">
        <x:f>IF(C231+D231-E231&lt;=0,99,1+SUM(IF(AND(I231+J231-K231&gt;0,OR(I231+J231-K231&lt;C231+D231-E231,AND(I231+J231-K231=C231+D231-E231,1&lt;0))),1,0),IF(AND(O231+P231-Q231&gt;0,OR(O231+P231-Q231&lt;C231+D231-E231,AND(O231+P231-Q231=C231+D231-E231,2&lt;0))),1,0),IF(AND(U231+V231-W231&gt;0,OR(U231+V231-W231&lt;C231+D231-E231,AND(U231+V231-W231=C231+D231-E231,3&lt;0))),1,0),IF(AND(AA231+AB231-AC231&gt;0,OR(AA231+AB231-AC231&lt;C231+D231-E231,AND(AA231+AB231-AC231=C231+D231-E231,4&lt;0))),1,0)))</x:f>
        <x:v>99</x:v>
      </x:c>
      <x:c r="G231" s="6" t="n">
        <x:f>IF('Debt strategy'!$C$16&gt;0,0,MIN(C231+D231-E231,MAX(0,'Debt strategy'!$C$5-SUM(E231,K231,Q231,W231,AC231)-SUM(IF(L231&lt;F231,I231+J231-K231,0),IF(R231&lt;F231,O231+P231-Q231,0),IF(X231&lt;F231,U231+V231-W231,0),IF(AD231&lt;F231,AA231+AB231-AC231,0)))))</x:f>
        <x:v>0</x:v>
      </x:c>
      <x:c r="H231" s="6" t="n">
        <x:f>ROUND(MAX(0,C231+D231-E231-G231),2)</x:f>
        <x:v>0</x:v>
      </x:c>
      <x:c r="I231" s="6" t="n">
        <x:f>N230</x:f>
        <x:v>0</x:v>
      </x:c>
      <x:c r="J231" s="6" t="n">
        <x:f>ROUND(I231*'Debt strategy'!$D$10/12,2)</x:f>
        <x:v>0</x:v>
      </x:c>
      <x:c r="K231" s="6" t="n">
        <x:f>MIN(I231+J231,'Debt strategy'!$E$10)</x:f>
        <x:v>0</x:v>
      </x:c>
      <x:c r="L231" s="27" t="n">
        <x:f>IF(I231+J231-K231&lt;=0,99,1+SUM(IF(AND(C231+D231-E231&gt;0,OR(C231+D231-E231&lt;I231+J231-K231,AND(C231+D231-E231=I231+J231-K231,0&lt;1))),1,0),IF(AND(O231+P231-Q231&gt;0,OR(O231+P231-Q231&lt;I231+J231-K231,AND(O231+P231-Q231=I231+J231-K231,2&lt;1))),1,0),IF(AND(U231+V231-W231&gt;0,OR(U231+V231-W231&lt;I231+J231-K231,AND(U231+V231-W231=I231+J231-K231,3&lt;1))),1,0),IF(AND(AA231+AB231-AC231&gt;0,OR(AA231+AB231-AC231&lt;I231+J231-K231,AND(AA231+AB231-AC231=I231+J231-K231,4&lt;1))),1,0)))</x:f>
        <x:v>99</x:v>
      </x:c>
      <x:c r="M231" s="6" t="n">
        <x:f>IF('Debt strategy'!$C$16&gt;0,0,MIN(I231+J231-K231,MAX(0,'Debt strategy'!$C$5-SUM(E231,K231,Q231,W231,AC231)-SUM(IF(F231&lt;L231,C231+D231-E231,0),IF(R231&lt;L231,O231+P231-Q231,0),IF(X231&lt;L231,U231+V231-W231,0),IF(AD231&lt;L231,AA231+AB231-AC231,0)))))</x:f>
        <x:v>0</x:v>
      </x:c>
      <x:c r="N231" s="6" t="n">
        <x:f>ROUND(MAX(0,I231+J231-K231-M231),2)</x:f>
        <x:v>0</x:v>
      </x:c>
      <x:c r="O231" s="6" t="n">
        <x:f>T230</x:f>
        <x:v>0</x:v>
      </x:c>
      <x:c r="P231" s="6" t="n">
        <x:f>ROUND(O231*'Debt strategy'!$D$11/12,2)</x:f>
        <x:v>0</x:v>
      </x:c>
      <x:c r="Q231" s="6" t="n">
        <x:f>MIN(O231+P231,'Debt strategy'!$E$11)</x:f>
        <x:v>0</x:v>
      </x:c>
      <x:c r="R231" s="27" t="n">
        <x:f>IF(O231+P231-Q231&lt;=0,99,1+SUM(IF(AND(C231+D231-E231&gt;0,OR(C231+D231-E231&lt;O231+P231-Q231,AND(C231+D231-E231=O231+P231-Q231,0&lt;2))),1,0),IF(AND(I231+J231-K231&gt;0,OR(I231+J231-K231&lt;O231+P231-Q231,AND(I231+J231-K231=O231+P231-Q231,1&lt;2))),1,0),IF(AND(U231+V231-W231&gt;0,OR(U231+V231-W231&lt;O231+P231-Q231,AND(U231+V231-W231=O231+P231-Q231,3&lt;2))),1,0),IF(AND(AA231+AB231-AC231&gt;0,OR(AA231+AB231-AC231&lt;O231+P231-Q231,AND(AA231+AB231-AC231=O231+P231-Q231,4&lt;2))),1,0)))</x:f>
        <x:v>99</x:v>
      </x:c>
      <x:c r="S231" s="6" t="n">
        <x:f>IF('Debt strategy'!$C$16&gt;0,0,MIN(O231+P231-Q231,MAX(0,'Debt strategy'!$C$5-SUM(E231,K231,Q231,W231,AC231)-SUM(IF(F231&lt;R231,C231+D231-E231,0),IF(L231&lt;R231,I231+J231-K231,0),IF(X231&lt;R231,U231+V231-W231,0),IF(AD231&lt;R231,AA231+AB231-AC231,0)))))</x:f>
        <x:v>0</x:v>
      </x:c>
      <x:c r="T231" s="6" t="n">
        <x:f>ROUND(MAX(0,O231+P231-Q231-S231),2)</x:f>
        <x:v>0</x:v>
      </x:c>
      <x:c r="U231" s="6" t="n">
        <x:f>Z230</x:f>
        <x:v>0</x:v>
      </x:c>
      <x:c r="V231" s="6" t="n">
        <x:f>ROUND(U231*'Debt strategy'!$D$12/12,2)</x:f>
        <x:v>0</x:v>
      </x:c>
      <x:c r="W231" s="6" t="n">
        <x:f>MIN(U231+V231,'Debt strategy'!$E$12)</x:f>
        <x:v>0</x:v>
      </x:c>
      <x:c r="X231" s="27" t="n">
        <x:f>IF(U231+V231-W231&lt;=0,99,1+SUM(IF(AND(C231+D231-E231&gt;0,OR(C231+D231-E231&lt;U231+V231-W231,AND(C231+D231-E231=U231+V231-W231,0&lt;3))),1,0),IF(AND(I231+J231-K231&gt;0,OR(I231+J231-K231&lt;U231+V231-W231,AND(I231+J231-K231=U231+V231-W231,1&lt;3))),1,0),IF(AND(O231+P231-Q231&gt;0,OR(O231+P231-Q231&lt;U231+V231-W231,AND(O231+P231-Q231=U231+V231-W231,2&lt;3))),1,0),IF(AND(AA231+AB231-AC231&gt;0,OR(AA231+AB231-AC231&lt;U231+V231-W231,AND(AA231+AB231-AC231=U231+V231-W231,4&lt;3))),1,0)))</x:f>
        <x:v>99</x:v>
      </x:c>
      <x:c r="Y231" s="6" t="n">
        <x:f>IF('Debt strategy'!$C$16&gt;0,0,MIN(U231+V231-W231,MAX(0,'Debt strategy'!$C$5-SUM(E231,K231,Q231,W231,AC231)-SUM(IF(F231&lt;X231,C231+D231-E231,0),IF(L231&lt;X231,I231+J231-K231,0),IF(R231&lt;X231,O231+P231-Q231,0),IF(AD231&lt;X231,AA231+AB231-AC231,0)))))</x:f>
        <x:v>0</x:v>
      </x:c>
      <x:c r="Z231" s="6" t="n">
        <x:f>ROUND(MAX(0,U231+V231-W231-Y231),2)</x:f>
        <x:v>0</x:v>
      </x:c>
      <x:c r="AA231" s="6" t="n">
        <x:f>AF230</x:f>
        <x:v>0</x:v>
      </x:c>
      <x:c r="AB231" s="6" t="n">
        <x:f>ROUND(AA231*'Debt strategy'!$D$13/12,2)</x:f>
        <x:v>0</x:v>
      </x:c>
      <x:c r="AC231" s="6" t="n">
        <x:f>MIN(AA231+AB231,'Debt strategy'!$E$13)</x:f>
        <x:v>0</x:v>
      </x:c>
      <x:c r="AD231" s="27" t="n">
        <x:f>IF(AA231+AB231-AC231&lt;=0,99,1+SUM(IF(AND(C231+D231-E231&gt;0,OR(C231+D231-E231&lt;AA231+AB231-AC231,AND(C231+D231-E231=AA231+AB231-AC231,0&lt;4))),1,0),IF(AND(I231+J231-K231&gt;0,OR(I231+J231-K231&lt;AA231+AB231-AC231,AND(I231+J231-K231=AA231+AB231-AC231,1&lt;4))),1,0),IF(AND(O231+P231-Q231&gt;0,OR(O231+P231-Q231&lt;AA231+AB231-AC231,AND(O231+P231-Q231=AA231+AB231-AC231,2&lt;4))),1,0),IF(AND(U231+V231-W231&gt;0,OR(U231+V231-W231&lt;AA231+AB231-AC231,AND(U231+V231-W231=AA231+AB231-AC231,3&lt;4))),1,0)))</x:f>
        <x:v>99</x:v>
      </x:c>
      <x:c r="AE231" s="6" t="n">
        <x:f>IF('Debt strategy'!$C$16&gt;0,0,MIN(AA231+AB231-AC231,MAX(0,'Debt strategy'!$C$5-SUM(E231,K231,Q231,W231,AC231)-SUM(IF(F231&lt;AD231,C231+D231-E231,0),IF(L231&lt;AD231,I231+J231-K231,0),IF(R231&lt;AD231,O231+P231-Q231,0),IF(X231&lt;AD231,U231+V231-W231,0)))))</x:f>
        <x:v>0</x:v>
      </x:c>
      <x:c r="AF231" s="6" t="n">
        <x:f>ROUND(MAX(0,AA231+AB231-AC231-AE231),2)</x:f>
        <x:v>0</x:v>
      </x:c>
      <x:c r="AG231" s="6" t="n">
        <x:f>SUM(H231,N231,T231,Z231,AF231)</x:f>
        <x:v>0</x:v>
      </x:c>
      <x:c r="AH231" s="6" t="n">
        <x:f>SUM(D231,J231,P231,V231,AB231)+AH230</x:f>
        <x:v>1353.9499999999996</x:v>
      </x:c>
      <x:c r="AI231" s="2"/>
    </x:row>
    <x:row r="232" ht="23" customHeight="1">
      <x:c r="B232" s="2" t="n">
        <x:f>224</x:f>
        <x:v>224</x:v>
      </x:c>
      <x:c r="C232" s="6" t="n">
        <x:f>H231</x:f>
        <x:v>0</x:v>
      </x:c>
      <x:c r="D232" s="6" t="n">
        <x:f>ROUND(C232*'Debt strategy'!$D$9/12,2)</x:f>
        <x:v>0</x:v>
      </x:c>
      <x:c r="E232" s="6" t="n">
        <x:f>MIN(C232+D232,'Debt strategy'!$E$9)</x:f>
        <x:v>0</x:v>
      </x:c>
      <x:c r="F232" s="27" t="n">
        <x:f>IF(C232+D232-E232&lt;=0,99,1+SUM(IF(AND(I232+J232-K232&gt;0,OR(I232+J232-K232&lt;C232+D232-E232,AND(I232+J232-K232=C232+D232-E232,1&lt;0))),1,0),IF(AND(O232+P232-Q232&gt;0,OR(O232+P232-Q232&lt;C232+D232-E232,AND(O232+P232-Q232=C232+D232-E232,2&lt;0))),1,0),IF(AND(U232+V232-W232&gt;0,OR(U232+V232-W232&lt;C232+D232-E232,AND(U232+V232-W232=C232+D232-E232,3&lt;0))),1,0),IF(AND(AA232+AB232-AC232&gt;0,OR(AA232+AB232-AC232&lt;C232+D232-E232,AND(AA232+AB232-AC232=C232+D232-E232,4&lt;0))),1,0)))</x:f>
        <x:v>99</x:v>
      </x:c>
      <x:c r="G232" s="6" t="n">
        <x:f>IF('Debt strategy'!$C$16&gt;0,0,MIN(C232+D232-E232,MAX(0,'Debt strategy'!$C$5-SUM(E232,K232,Q232,W232,AC232)-SUM(IF(L232&lt;F232,I232+J232-K232,0),IF(R232&lt;F232,O232+P232-Q232,0),IF(X232&lt;F232,U232+V232-W232,0),IF(AD232&lt;F232,AA232+AB232-AC232,0)))))</x:f>
        <x:v>0</x:v>
      </x:c>
      <x:c r="H232" s="6" t="n">
        <x:f>ROUND(MAX(0,C232+D232-E232-G232),2)</x:f>
        <x:v>0</x:v>
      </x:c>
      <x:c r="I232" s="6" t="n">
        <x:f>N231</x:f>
        <x:v>0</x:v>
      </x:c>
      <x:c r="J232" s="6" t="n">
        <x:f>ROUND(I232*'Debt strategy'!$D$10/12,2)</x:f>
        <x:v>0</x:v>
      </x:c>
      <x:c r="K232" s="6" t="n">
        <x:f>MIN(I232+J232,'Debt strategy'!$E$10)</x:f>
        <x:v>0</x:v>
      </x:c>
      <x:c r="L232" s="27" t="n">
        <x:f>IF(I232+J232-K232&lt;=0,99,1+SUM(IF(AND(C232+D232-E232&gt;0,OR(C232+D232-E232&lt;I232+J232-K232,AND(C232+D232-E232=I232+J232-K232,0&lt;1))),1,0),IF(AND(O232+P232-Q232&gt;0,OR(O232+P232-Q232&lt;I232+J232-K232,AND(O232+P232-Q232=I232+J232-K232,2&lt;1))),1,0),IF(AND(U232+V232-W232&gt;0,OR(U232+V232-W232&lt;I232+J232-K232,AND(U232+V232-W232=I232+J232-K232,3&lt;1))),1,0),IF(AND(AA232+AB232-AC232&gt;0,OR(AA232+AB232-AC232&lt;I232+J232-K232,AND(AA232+AB232-AC232=I232+J232-K232,4&lt;1))),1,0)))</x:f>
        <x:v>99</x:v>
      </x:c>
      <x:c r="M232" s="6" t="n">
        <x:f>IF('Debt strategy'!$C$16&gt;0,0,MIN(I232+J232-K232,MAX(0,'Debt strategy'!$C$5-SUM(E232,K232,Q232,W232,AC232)-SUM(IF(F232&lt;L232,C232+D232-E232,0),IF(R232&lt;L232,O232+P232-Q232,0),IF(X232&lt;L232,U232+V232-W232,0),IF(AD232&lt;L232,AA232+AB232-AC232,0)))))</x:f>
        <x:v>0</x:v>
      </x:c>
      <x:c r="N232" s="6" t="n">
        <x:f>ROUND(MAX(0,I232+J232-K232-M232),2)</x:f>
        <x:v>0</x:v>
      </x:c>
      <x:c r="O232" s="6" t="n">
        <x:f>T231</x:f>
        <x:v>0</x:v>
      </x:c>
      <x:c r="P232" s="6" t="n">
        <x:f>ROUND(O232*'Debt strategy'!$D$11/12,2)</x:f>
        <x:v>0</x:v>
      </x:c>
      <x:c r="Q232" s="6" t="n">
        <x:f>MIN(O232+P232,'Debt strategy'!$E$11)</x:f>
        <x:v>0</x:v>
      </x:c>
      <x:c r="R232" s="27" t="n">
        <x:f>IF(O232+P232-Q232&lt;=0,99,1+SUM(IF(AND(C232+D232-E232&gt;0,OR(C232+D232-E232&lt;O232+P232-Q232,AND(C232+D232-E232=O232+P232-Q232,0&lt;2))),1,0),IF(AND(I232+J232-K232&gt;0,OR(I232+J232-K232&lt;O232+P232-Q232,AND(I232+J232-K232=O232+P232-Q232,1&lt;2))),1,0),IF(AND(U232+V232-W232&gt;0,OR(U232+V232-W232&lt;O232+P232-Q232,AND(U232+V232-W232=O232+P232-Q232,3&lt;2))),1,0),IF(AND(AA232+AB232-AC232&gt;0,OR(AA232+AB232-AC232&lt;O232+P232-Q232,AND(AA232+AB232-AC232=O232+P232-Q232,4&lt;2))),1,0)))</x:f>
        <x:v>99</x:v>
      </x:c>
      <x:c r="S232" s="6" t="n">
        <x:f>IF('Debt strategy'!$C$16&gt;0,0,MIN(O232+P232-Q232,MAX(0,'Debt strategy'!$C$5-SUM(E232,K232,Q232,W232,AC232)-SUM(IF(F232&lt;R232,C232+D232-E232,0),IF(L232&lt;R232,I232+J232-K232,0),IF(X232&lt;R232,U232+V232-W232,0),IF(AD232&lt;R232,AA232+AB232-AC232,0)))))</x:f>
        <x:v>0</x:v>
      </x:c>
      <x:c r="T232" s="6" t="n">
        <x:f>ROUND(MAX(0,O232+P232-Q232-S232),2)</x:f>
        <x:v>0</x:v>
      </x:c>
      <x:c r="U232" s="6" t="n">
        <x:f>Z231</x:f>
        <x:v>0</x:v>
      </x:c>
      <x:c r="V232" s="6" t="n">
        <x:f>ROUND(U232*'Debt strategy'!$D$12/12,2)</x:f>
        <x:v>0</x:v>
      </x:c>
      <x:c r="W232" s="6" t="n">
        <x:f>MIN(U232+V232,'Debt strategy'!$E$12)</x:f>
        <x:v>0</x:v>
      </x:c>
      <x:c r="X232" s="27" t="n">
        <x:f>IF(U232+V232-W232&lt;=0,99,1+SUM(IF(AND(C232+D232-E232&gt;0,OR(C232+D232-E232&lt;U232+V232-W232,AND(C232+D232-E232=U232+V232-W232,0&lt;3))),1,0),IF(AND(I232+J232-K232&gt;0,OR(I232+J232-K232&lt;U232+V232-W232,AND(I232+J232-K232=U232+V232-W232,1&lt;3))),1,0),IF(AND(O232+P232-Q232&gt;0,OR(O232+P232-Q232&lt;U232+V232-W232,AND(O232+P232-Q232=U232+V232-W232,2&lt;3))),1,0),IF(AND(AA232+AB232-AC232&gt;0,OR(AA232+AB232-AC232&lt;U232+V232-W232,AND(AA232+AB232-AC232=U232+V232-W232,4&lt;3))),1,0)))</x:f>
        <x:v>99</x:v>
      </x:c>
      <x:c r="Y232" s="6" t="n">
        <x:f>IF('Debt strategy'!$C$16&gt;0,0,MIN(U232+V232-W232,MAX(0,'Debt strategy'!$C$5-SUM(E232,K232,Q232,W232,AC232)-SUM(IF(F232&lt;X232,C232+D232-E232,0),IF(L232&lt;X232,I232+J232-K232,0),IF(R232&lt;X232,O232+P232-Q232,0),IF(AD232&lt;X232,AA232+AB232-AC232,0)))))</x:f>
        <x:v>0</x:v>
      </x:c>
      <x:c r="Z232" s="6" t="n">
        <x:f>ROUND(MAX(0,U232+V232-W232-Y232),2)</x:f>
        <x:v>0</x:v>
      </x:c>
      <x:c r="AA232" s="6" t="n">
        <x:f>AF231</x:f>
        <x:v>0</x:v>
      </x:c>
      <x:c r="AB232" s="6" t="n">
        <x:f>ROUND(AA232*'Debt strategy'!$D$13/12,2)</x:f>
        <x:v>0</x:v>
      </x:c>
      <x:c r="AC232" s="6" t="n">
        <x:f>MIN(AA232+AB232,'Debt strategy'!$E$13)</x:f>
        <x:v>0</x:v>
      </x:c>
      <x:c r="AD232" s="27" t="n">
        <x:f>IF(AA232+AB232-AC232&lt;=0,99,1+SUM(IF(AND(C232+D232-E232&gt;0,OR(C232+D232-E232&lt;AA232+AB232-AC232,AND(C232+D232-E232=AA232+AB232-AC232,0&lt;4))),1,0),IF(AND(I232+J232-K232&gt;0,OR(I232+J232-K232&lt;AA232+AB232-AC232,AND(I232+J232-K232=AA232+AB232-AC232,1&lt;4))),1,0),IF(AND(O232+P232-Q232&gt;0,OR(O232+P232-Q232&lt;AA232+AB232-AC232,AND(O232+P232-Q232=AA232+AB232-AC232,2&lt;4))),1,0),IF(AND(U232+V232-W232&gt;0,OR(U232+V232-W232&lt;AA232+AB232-AC232,AND(U232+V232-W232=AA232+AB232-AC232,3&lt;4))),1,0)))</x:f>
        <x:v>99</x:v>
      </x:c>
      <x:c r="AE232" s="6" t="n">
        <x:f>IF('Debt strategy'!$C$16&gt;0,0,MIN(AA232+AB232-AC232,MAX(0,'Debt strategy'!$C$5-SUM(E232,K232,Q232,W232,AC232)-SUM(IF(F232&lt;AD232,C232+D232-E232,0),IF(L232&lt;AD232,I232+J232-K232,0),IF(R232&lt;AD232,O232+P232-Q232,0),IF(X232&lt;AD232,U232+V232-W232,0)))))</x:f>
        <x:v>0</x:v>
      </x:c>
      <x:c r="AF232" s="6" t="n">
        <x:f>ROUND(MAX(0,AA232+AB232-AC232-AE232),2)</x:f>
        <x:v>0</x:v>
      </x:c>
      <x:c r="AG232" s="6" t="n">
        <x:f>SUM(H232,N232,T232,Z232,AF232)</x:f>
        <x:v>0</x:v>
      </x:c>
      <x:c r="AH232" s="6" t="n">
        <x:f>SUM(D232,J232,P232,V232,AB232)+AH231</x:f>
        <x:v>1353.9499999999996</x:v>
      </x:c>
      <x:c r="AI232" s="2"/>
    </x:row>
    <x:row r="233" ht="23" customHeight="1">
      <x:c r="B233" s="2" t="n">
        <x:f>225</x:f>
        <x:v>225</x:v>
      </x:c>
      <x:c r="C233" s="6" t="n">
        <x:f>H232</x:f>
        <x:v>0</x:v>
      </x:c>
      <x:c r="D233" s="6" t="n">
        <x:f>ROUND(C233*'Debt strategy'!$D$9/12,2)</x:f>
        <x:v>0</x:v>
      </x:c>
      <x:c r="E233" s="6" t="n">
        <x:f>MIN(C233+D233,'Debt strategy'!$E$9)</x:f>
        <x:v>0</x:v>
      </x:c>
      <x:c r="F233" s="27" t="n">
        <x:f>IF(C233+D233-E233&lt;=0,99,1+SUM(IF(AND(I233+J233-K233&gt;0,OR(I233+J233-K233&lt;C233+D233-E233,AND(I233+J233-K233=C233+D233-E233,1&lt;0))),1,0),IF(AND(O233+P233-Q233&gt;0,OR(O233+P233-Q233&lt;C233+D233-E233,AND(O233+P233-Q233=C233+D233-E233,2&lt;0))),1,0),IF(AND(U233+V233-W233&gt;0,OR(U233+V233-W233&lt;C233+D233-E233,AND(U233+V233-W233=C233+D233-E233,3&lt;0))),1,0),IF(AND(AA233+AB233-AC233&gt;0,OR(AA233+AB233-AC233&lt;C233+D233-E233,AND(AA233+AB233-AC233=C233+D233-E233,4&lt;0))),1,0)))</x:f>
        <x:v>99</x:v>
      </x:c>
      <x:c r="G233" s="6" t="n">
        <x:f>IF('Debt strategy'!$C$16&gt;0,0,MIN(C233+D233-E233,MAX(0,'Debt strategy'!$C$5-SUM(E233,K233,Q233,W233,AC233)-SUM(IF(L233&lt;F233,I233+J233-K233,0),IF(R233&lt;F233,O233+P233-Q233,0),IF(X233&lt;F233,U233+V233-W233,0),IF(AD233&lt;F233,AA233+AB233-AC233,0)))))</x:f>
        <x:v>0</x:v>
      </x:c>
      <x:c r="H233" s="6" t="n">
        <x:f>ROUND(MAX(0,C233+D233-E233-G233),2)</x:f>
        <x:v>0</x:v>
      </x:c>
      <x:c r="I233" s="6" t="n">
        <x:f>N232</x:f>
        <x:v>0</x:v>
      </x:c>
      <x:c r="J233" s="6" t="n">
        <x:f>ROUND(I233*'Debt strategy'!$D$10/12,2)</x:f>
        <x:v>0</x:v>
      </x:c>
      <x:c r="K233" s="6" t="n">
        <x:f>MIN(I233+J233,'Debt strategy'!$E$10)</x:f>
        <x:v>0</x:v>
      </x:c>
      <x:c r="L233" s="27" t="n">
        <x:f>IF(I233+J233-K233&lt;=0,99,1+SUM(IF(AND(C233+D233-E233&gt;0,OR(C233+D233-E233&lt;I233+J233-K233,AND(C233+D233-E233=I233+J233-K233,0&lt;1))),1,0),IF(AND(O233+P233-Q233&gt;0,OR(O233+P233-Q233&lt;I233+J233-K233,AND(O233+P233-Q233=I233+J233-K233,2&lt;1))),1,0),IF(AND(U233+V233-W233&gt;0,OR(U233+V233-W233&lt;I233+J233-K233,AND(U233+V233-W233=I233+J233-K233,3&lt;1))),1,0),IF(AND(AA233+AB233-AC233&gt;0,OR(AA233+AB233-AC233&lt;I233+J233-K233,AND(AA233+AB233-AC233=I233+J233-K233,4&lt;1))),1,0)))</x:f>
        <x:v>99</x:v>
      </x:c>
      <x:c r="M233" s="6" t="n">
        <x:f>IF('Debt strategy'!$C$16&gt;0,0,MIN(I233+J233-K233,MAX(0,'Debt strategy'!$C$5-SUM(E233,K233,Q233,W233,AC233)-SUM(IF(F233&lt;L233,C233+D233-E233,0),IF(R233&lt;L233,O233+P233-Q233,0),IF(X233&lt;L233,U233+V233-W233,0),IF(AD233&lt;L233,AA233+AB233-AC233,0)))))</x:f>
        <x:v>0</x:v>
      </x:c>
      <x:c r="N233" s="6" t="n">
        <x:f>ROUND(MAX(0,I233+J233-K233-M233),2)</x:f>
        <x:v>0</x:v>
      </x:c>
      <x:c r="O233" s="6" t="n">
        <x:f>T232</x:f>
        <x:v>0</x:v>
      </x:c>
      <x:c r="P233" s="6" t="n">
        <x:f>ROUND(O233*'Debt strategy'!$D$11/12,2)</x:f>
        <x:v>0</x:v>
      </x:c>
      <x:c r="Q233" s="6" t="n">
        <x:f>MIN(O233+P233,'Debt strategy'!$E$11)</x:f>
        <x:v>0</x:v>
      </x:c>
      <x:c r="R233" s="27" t="n">
        <x:f>IF(O233+P233-Q233&lt;=0,99,1+SUM(IF(AND(C233+D233-E233&gt;0,OR(C233+D233-E233&lt;O233+P233-Q233,AND(C233+D233-E233=O233+P233-Q233,0&lt;2))),1,0),IF(AND(I233+J233-K233&gt;0,OR(I233+J233-K233&lt;O233+P233-Q233,AND(I233+J233-K233=O233+P233-Q233,1&lt;2))),1,0),IF(AND(U233+V233-W233&gt;0,OR(U233+V233-W233&lt;O233+P233-Q233,AND(U233+V233-W233=O233+P233-Q233,3&lt;2))),1,0),IF(AND(AA233+AB233-AC233&gt;0,OR(AA233+AB233-AC233&lt;O233+P233-Q233,AND(AA233+AB233-AC233=O233+P233-Q233,4&lt;2))),1,0)))</x:f>
        <x:v>99</x:v>
      </x:c>
      <x:c r="S233" s="6" t="n">
        <x:f>IF('Debt strategy'!$C$16&gt;0,0,MIN(O233+P233-Q233,MAX(0,'Debt strategy'!$C$5-SUM(E233,K233,Q233,W233,AC233)-SUM(IF(F233&lt;R233,C233+D233-E233,0),IF(L233&lt;R233,I233+J233-K233,0),IF(X233&lt;R233,U233+V233-W233,0),IF(AD233&lt;R233,AA233+AB233-AC233,0)))))</x:f>
        <x:v>0</x:v>
      </x:c>
      <x:c r="T233" s="6" t="n">
        <x:f>ROUND(MAX(0,O233+P233-Q233-S233),2)</x:f>
        <x:v>0</x:v>
      </x:c>
      <x:c r="U233" s="6" t="n">
        <x:f>Z232</x:f>
        <x:v>0</x:v>
      </x:c>
      <x:c r="V233" s="6" t="n">
        <x:f>ROUND(U233*'Debt strategy'!$D$12/12,2)</x:f>
        <x:v>0</x:v>
      </x:c>
      <x:c r="W233" s="6" t="n">
        <x:f>MIN(U233+V233,'Debt strategy'!$E$12)</x:f>
        <x:v>0</x:v>
      </x:c>
      <x:c r="X233" s="27" t="n">
        <x:f>IF(U233+V233-W233&lt;=0,99,1+SUM(IF(AND(C233+D233-E233&gt;0,OR(C233+D233-E233&lt;U233+V233-W233,AND(C233+D233-E233=U233+V233-W233,0&lt;3))),1,0),IF(AND(I233+J233-K233&gt;0,OR(I233+J233-K233&lt;U233+V233-W233,AND(I233+J233-K233=U233+V233-W233,1&lt;3))),1,0),IF(AND(O233+P233-Q233&gt;0,OR(O233+P233-Q233&lt;U233+V233-W233,AND(O233+P233-Q233=U233+V233-W233,2&lt;3))),1,0),IF(AND(AA233+AB233-AC233&gt;0,OR(AA233+AB233-AC233&lt;U233+V233-W233,AND(AA233+AB233-AC233=U233+V233-W233,4&lt;3))),1,0)))</x:f>
        <x:v>99</x:v>
      </x:c>
      <x:c r="Y233" s="6" t="n">
        <x:f>IF('Debt strategy'!$C$16&gt;0,0,MIN(U233+V233-W233,MAX(0,'Debt strategy'!$C$5-SUM(E233,K233,Q233,W233,AC233)-SUM(IF(F233&lt;X233,C233+D233-E233,0),IF(L233&lt;X233,I233+J233-K233,0),IF(R233&lt;X233,O233+P233-Q233,0),IF(AD233&lt;X233,AA233+AB233-AC233,0)))))</x:f>
        <x:v>0</x:v>
      </x:c>
      <x:c r="Z233" s="6" t="n">
        <x:f>ROUND(MAX(0,U233+V233-W233-Y233),2)</x:f>
        <x:v>0</x:v>
      </x:c>
      <x:c r="AA233" s="6" t="n">
        <x:f>AF232</x:f>
        <x:v>0</x:v>
      </x:c>
      <x:c r="AB233" s="6" t="n">
        <x:f>ROUND(AA233*'Debt strategy'!$D$13/12,2)</x:f>
        <x:v>0</x:v>
      </x:c>
      <x:c r="AC233" s="6" t="n">
        <x:f>MIN(AA233+AB233,'Debt strategy'!$E$13)</x:f>
        <x:v>0</x:v>
      </x:c>
      <x:c r="AD233" s="27" t="n">
        <x:f>IF(AA233+AB233-AC233&lt;=0,99,1+SUM(IF(AND(C233+D233-E233&gt;0,OR(C233+D233-E233&lt;AA233+AB233-AC233,AND(C233+D233-E233=AA233+AB233-AC233,0&lt;4))),1,0),IF(AND(I233+J233-K233&gt;0,OR(I233+J233-K233&lt;AA233+AB233-AC233,AND(I233+J233-K233=AA233+AB233-AC233,1&lt;4))),1,0),IF(AND(O233+P233-Q233&gt;0,OR(O233+P233-Q233&lt;AA233+AB233-AC233,AND(O233+P233-Q233=AA233+AB233-AC233,2&lt;4))),1,0),IF(AND(U233+V233-W233&gt;0,OR(U233+V233-W233&lt;AA233+AB233-AC233,AND(U233+V233-W233=AA233+AB233-AC233,3&lt;4))),1,0)))</x:f>
        <x:v>99</x:v>
      </x:c>
      <x:c r="AE233" s="6" t="n">
        <x:f>IF('Debt strategy'!$C$16&gt;0,0,MIN(AA233+AB233-AC233,MAX(0,'Debt strategy'!$C$5-SUM(E233,K233,Q233,W233,AC233)-SUM(IF(F233&lt;AD233,C233+D233-E233,0),IF(L233&lt;AD233,I233+J233-K233,0),IF(R233&lt;AD233,O233+P233-Q233,0),IF(X233&lt;AD233,U233+V233-W233,0)))))</x:f>
        <x:v>0</x:v>
      </x:c>
      <x:c r="AF233" s="6" t="n">
        <x:f>ROUND(MAX(0,AA233+AB233-AC233-AE233),2)</x:f>
        <x:v>0</x:v>
      </x:c>
      <x:c r="AG233" s="6" t="n">
        <x:f>SUM(H233,N233,T233,Z233,AF233)</x:f>
        <x:v>0</x:v>
      </x:c>
      <x:c r="AH233" s="6" t="n">
        <x:f>SUM(D233,J233,P233,V233,AB233)+AH232</x:f>
        <x:v>1353.9499999999996</x:v>
      </x:c>
      <x:c r="AI233" s="2"/>
    </x:row>
    <x:row r="234" ht="23" customHeight="1">
      <x:c r="B234" s="2" t="n">
        <x:f>226</x:f>
        <x:v>226</x:v>
      </x:c>
      <x:c r="C234" s="6" t="n">
        <x:f>H233</x:f>
        <x:v>0</x:v>
      </x:c>
      <x:c r="D234" s="6" t="n">
        <x:f>ROUND(C234*'Debt strategy'!$D$9/12,2)</x:f>
        <x:v>0</x:v>
      </x:c>
      <x:c r="E234" s="6" t="n">
        <x:f>MIN(C234+D234,'Debt strategy'!$E$9)</x:f>
        <x:v>0</x:v>
      </x:c>
      <x:c r="F234" s="27" t="n">
        <x:f>IF(C234+D234-E234&lt;=0,99,1+SUM(IF(AND(I234+J234-K234&gt;0,OR(I234+J234-K234&lt;C234+D234-E234,AND(I234+J234-K234=C234+D234-E234,1&lt;0))),1,0),IF(AND(O234+P234-Q234&gt;0,OR(O234+P234-Q234&lt;C234+D234-E234,AND(O234+P234-Q234=C234+D234-E234,2&lt;0))),1,0),IF(AND(U234+V234-W234&gt;0,OR(U234+V234-W234&lt;C234+D234-E234,AND(U234+V234-W234=C234+D234-E234,3&lt;0))),1,0),IF(AND(AA234+AB234-AC234&gt;0,OR(AA234+AB234-AC234&lt;C234+D234-E234,AND(AA234+AB234-AC234=C234+D234-E234,4&lt;0))),1,0)))</x:f>
        <x:v>99</x:v>
      </x:c>
      <x:c r="G234" s="6" t="n">
        <x:f>IF('Debt strategy'!$C$16&gt;0,0,MIN(C234+D234-E234,MAX(0,'Debt strategy'!$C$5-SUM(E234,K234,Q234,W234,AC234)-SUM(IF(L234&lt;F234,I234+J234-K234,0),IF(R234&lt;F234,O234+P234-Q234,0),IF(X234&lt;F234,U234+V234-W234,0),IF(AD234&lt;F234,AA234+AB234-AC234,0)))))</x:f>
        <x:v>0</x:v>
      </x:c>
      <x:c r="H234" s="6" t="n">
        <x:f>ROUND(MAX(0,C234+D234-E234-G234),2)</x:f>
        <x:v>0</x:v>
      </x:c>
      <x:c r="I234" s="6" t="n">
        <x:f>N233</x:f>
        <x:v>0</x:v>
      </x:c>
      <x:c r="J234" s="6" t="n">
        <x:f>ROUND(I234*'Debt strategy'!$D$10/12,2)</x:f>
        <x:v>0</x:v>
      </x:c>
      <x:c r="K234" s="6" t="n">
        <x:f>MIN(I234+J234,'Debt strategy'!$E$10)</x:f>
        <x:v>0</x:v>
      </x:c>
      <x:c r="L234" s="27" t="n">
        <x:f>IF(I234+J234-K234&lt;=0,99,1+SUM(IF(AND(C234+D234-E234&gt;0,OR(C234+D234-E234&lt;I234+J234-K234,AND(C234+D234-E234=I234+J234-K234,0&lt;1))),1,0),IF(AND(O234+P234-Q234&gt;0,OR(O234+P234-Q234&lt;I234+J234-K234,AND(O234+P234-Q234=I234+J234-K234,2&lt;1))),1,0),IF(AND(U234+V234-W234&gt;0,OR(U234+V234-W234&lt;I234+J234-K234,AND(U234+V234-W234=I234+J234-K234,3&lt;1))),1,0),IF(AND(AA234+AB234-AC234&gt;0,OR(AA234+AB234-AC234&lt;I234+J234-K234,AND(AA234+AB234-AC234=I234+J234-K234,4&lt;1))),1,0)))</x:f>
        <x:v>99</x:v>
      </x:c>
      <x:c r="M234" s="6" t="n">
        <x:f>IF('Debt strategy'!$C$16&gt;0,0,MIN(I234+J234-K234,MAX(0,'Debt strategy'!$C$5-SUM(E234,K234,Q234,W234,AC234)-SUM(IF(F234&lt;L234,C234+D234-E234,0),IF(R234&lt;L234,O234+P234-Q234,0),IF(X234&lt;L234,U234+V234-W234,0),IF(AD234&lt;L234,AA234+AB234-AC234,0)))))</x:f>
        <x:v>0</x:v>
      </x:c>
      <x:c r="N234" s="6" t="n">
        <x:f>ROUND(MAX(0,I234+J234-K234-M234),2)</x:f>
        <x:v>0</x:v>
      </x:c>
      <x:c r="O234" s="6" t="n">
        <x:f>T233</x:f>
        <x:v>0</x:v>
      </x:c>
      <x:c r="P234" s="6" t="n">
        <x:f>ROUND(O234*'Debt strategy'!$D$11/12,2)</x:f>
        <x:v>0</x:v>
      </x:c>
      <x:c r="Q234" s="6" t="n">
        <x:f>MIN(O234+P234,'Debt strategy'!$E$11)</x:f>
        <x:v>0</x:v>
      </x:c>
      <x:c r="R234" s="27" t="n">
        <x:f>IF(O234+P234-Q234&lt;=0,99,1+SUM(IF(AND(C234+D234-E234&gt;0,OR(C234+D234-E234&lt;O234+P234-Q234,AND(C234+D234-E234=O234+P234-Q234,0&lt;2))),1,0),IF(AND(I234+J234-K234&gt;0,OR(I234+J234-K234&lt;O234+P234-Q234,AND(I234+J234-K234=O234+P234-Q234,1&lt;2))),1,0),IF(AND(U234+V234-W234&gt;0,OR(U234+V234-W234&lt;O234+P234-Q234,AND(U234+V234-W234=O234+P234-Q234,3&lt;2))),1,0),IF(AND(AA234+AB234-AC234&gt;0,OR(AA234+AB234-AC234&lt;O234+P234-Q234,AND(AA234+AB234-AC234=O234+P234-Q234,4&lt;2))),1,0)))</x:f>
        <x:v>99</x:v>
      </x:c>
      <x:c r="S234" s="6" t="n">
        <x:f>IF('Debt strategy'!$C$16&gt;0,0,MIN(O234+P234-Q234,MAX(0,'Debt strategy'!$C$5-SUM(E234,K234,Q234,W234,AC234)-SUM(IF(F234&lt;R234,C234+D234-E234,0),IF(L234&lt;R234,I234+J234-K234,0),IF(X234&lt;R234,U234+V234-W234,0),IF(AD234&lt;R234,AA234+AB234-AC234,0)))))</x:f>
        <x:v>0</x:v>
      </x:c>
      <x:c r="T234" s="6" t="n">
        <x:f>ROUND(MAX(0,O234+P234-Q234-S234),2)</x:f>
        <x:v>0</x:v>
      </x:c>
      <x:c r="U234" s="6" t="n">
        <x:f>Z233</x:f>
        <x:v>0</x:v>
      </x:c>
      <x:c r="V234" s="6" t="n">
        <x:f>ROUND(U234*'Debt strategy'!$D$12/12,2)</x:f>
        <x:v>0</x:v>
      </x:c>
      <x:c r="W234" s="6" t="n">
        <x:f>MIN(U234+V234,'Debt strategy'!$E$12)</x:f>
        <x:v>0</x:v>
      </x:c>
      <x:c r="X234" s="27" t="n">
        <x:f>IF(U234+V234-W234&lt;=0,99,1+SUM(IF(AND(C234+D234-E234&gt;0,OR(C234+D234-E234&lt;U234+V234-W234,AND(C234+D234-E234=U234+V234-W234,0&lt;3))),1,0),IF(AND(I234+J234-K234&gt;0,OR(I234+J234-K234&lt;U234+V234-W234,AND(I234+J234-K234=U234+V234-W234,1&lt;3))),1,0),IF(AND(O234+P234-Q234&gt;0,OR(O234+P234-Q234&lt;U234+V234-W234,AND(O234+P234-Q234=U234+V234-W234,2&lt;3))),1,0),IF(AND(AA234+AB234-AC234&gt;0,OR(AA234+AB234-AC234&lt;U234+V234-W234,AND(AA234+AB234-AC234=U234+V234-W234,4&lt;3))),1,0)))</x:f>
        <x:v>99</x:v>
      </x:c>
      <x:c r="Y234" s="6" t="n">
        <x:f>IF('Debt strategy'!$C$16&gt;0,0,MIN(U234+V234-W234,MAX(0,'Debt strategy'!$C$5-SUM(E234,K234,Q234,W234,AC234)-SUM(IF(F234&lt;X234,C234+D234-E234,0),IF(L234&lt;X234,I234+J234-K234,0),IF(R234&lt;X234,O234+P234-Q234,0),IF(AD234&lt;X234,AA234+AB234-AC234,0)))))</x:f>
        <x:v>0</x:v>
      </x:c>
      <x:c r="Z234" s="6" t="n">
        <x:f>ROUND(MAX(0,U234+V234-W234-Y234),2)</x:f>
        <x:v>0</x:v>
      </x:c>
      <x:c r="AA234" s="6" t="n">
        <x:f>AF233</x:f>
        <x:v>0</x:v>
      </x:c>
      <x:c r="AB234" s="6" t="n">
        <x:f>ROUND(AA234*'Debt strategy'!$D$13/12,2)</x:f>
        <x:v>0</x:v>
      </x:c>
      <x:c r="AC234" s="6" t="n">
        <x:f>MIN(AA234+AB234,'Debt strategy'!$E$13)</x:f>
        <x:v>0</x:v>
      </x:c>
      <x:c r="AD234" s="27" t="n">
        <x:f>IF(AA234+AB234-AC234&lt;=0,99,1+SUM(IF(AND(C234+D234-E234&gt;0,OR(C234+D234-E234&lt;AA234+AB234-AC234,AND(C234+D234-E234=AA234+AB234-AC234,0&lt;4))),1,0),IF(AND(I234+J234-K234&gt;0,OR(I234+J234-K234&lt;AA234+AB234-AC234,AND(I234+J234-K234=AA234+AB234-AC234,1&lt;4))),1,0),IF(AND(O234+P234-Q234&gt;0,OR(O234+P234-Q234&lt;AA234+AB234-AC234,AND(O234+P234-Q234=AA234+AB234-AC234,2&lt;4))),1,0),IF(AND(U234+V234-W234&gt;0,OR(U234+V234-W234&lt;AA234+AB234-AC234,AND(U234+V234-W234=AA234+AB234-AC234,3&lt;4))),1,0)))</x:f>
        <x:v>99</x:v>
      </x:c>
      <x:c r="AE234" s="6" t="n">
        <x:f>IF('Debt strategy'!$C$16&gt;0,0,MIN(AA234+AB234-AC234,MAX(0,'Debt strategy'!$C$5-SUM(E234,K234,Q234,W234,AC234)-SUM(IF(F234&lt;AD234,C234+D234-E234,0),IF(L234&lt;AD234,I234+J234-K234,0),IF(R234&lt;AD234,O234+P234-Q234,0),IF(X234&lt;AD234,U234+V234-W234,0)))))</x:f>
        <x:v>0</x:v>
      </x:c>
      <x:c r="AF234" s="6" t="n">
        <x:f>ROUND(MAX(0,AA234+AB234-AC234-AE234),2)</x:f>
        <x:v>0</x:v>
      </x:c>
      <x:c r="AG234" s="6" t="n">
        <x:f>SUM(H234,N234,T234,Z234,AF234)</x:f>
        <x:v>0</x:v>
      </x:c>
      <x:c r="AH234" s="6" t="n">
        <x:f>SUM(D234,J234,P234,V234,AB234)+AH233</x:f>
        <x:v>1353.9499999999996</x:v>
      </x:c>
      <x:c r="AI234" s="2"/>
    </x:row>
    <x:row r="235" ht="23" customHeight="1">
      <x:c r="B235" s="2" t="n">
        <x:f>227</x:f>
        <x:v>227</x:v>
      </x:c>
      <x:c r="C235" s="6" t="n">
        <x:f>H234</x:f>
        <x:v>0</x:v>
      </x:c>
      <x:c r="D235" s="6" t="n">
        <x:f>ROUND(C235*'Debt strategy'!$D$9/12,2)</x:f>
        <x:v>0</x:v>
      </x:c>
      <x:c r="E235" s="6" t="n">
        <x:f>MIN(C235+D235,'Debt strategy'!$E$9)</x:f>
        <x:v>0</x:v>
      </x:c>
      <x:c r="F235" s="27" t="n">
        <x:f>IF(C235+D235-E235&lt;=0,99,1+SUM(IF(AND(I235+J235-K235&gt;0,OR(I235+J235-K235&lt;C235+D235-E235,AND(I235+J235-K235=C235+D235-E235,1&lt;0))),1,0),IF(AND(O235+P235-Q235&gt;0,OR(O235+P235-Q235&lt;C235+D235-E235,AND(O235+P235-Q235=C235+D235-E235,2&lt;0))),1,0),IF(AND(U235+V235-W235&gt;0,OR(U235+V235-W235&lt;C235+D235-E235,AND(U235+V235-W235=C235+D235-E235,3&lt;0))),1,0),IF(AND(AA235+AB235-AC235&gt;0,OR(AA235+AB235-AC235&lt;C235+D235-E235,AND(AA235+AB235-AC235=C235+D235-E235,4&lt;0))),1,0)))</x:f>
        <x:v>99</x:v>
      </x:c>
      <x:c r="G235" s="6" t="n">
        <x:f>IF('Debt strategy'!$C$16&gt;0,0,MIN(C235+D235-E235,MAX(0,'Debt strategy'!$C$5-SUM(E235,K235,Q235,W235,AC235)-SUM(IF(L235&lt;F235,I235+J235-K235,0),IF(R235&lt;F235,O235+P235-Q235,0),IF(X235&lt;F235,U235+V235-W235,0),IF(AD235&lt;F235,AA235+AB235-AC235,0)))))</x:f>
        <x:v>0</x:v>
      </x:c>
      <x:c r="H235" s="6" t="n">
        <x:f>ROUND(MAX(0,C235+D235-E235-G235),2)</x:f>
        <x:v>0</x:v>
      </x:c>
      <x:c r="I235" s="6" t="n">
        <x:f>N234</x:f>
        <x:v>0</x:v>
      </x:c>
      <x:c r="J235" s="6" t="n">
        <x:f>ROUND(I235*'Debt strategy'!$D$10/12,2)</x:f>
        <x:v>0</x:v>
      </x:c>
      <x:c r="K235" s="6" t="n">
        <x:f>MIN(I235+J235,'Debt strategy'!$E$10)</x:f>
        <x:v>0</x:v>
      </x:c>
      <x:c r="L235" s="27" t="n">
        <x:f>IF(I235+J235-K235&lt;=0,99,1+SUM(IF(AND(C235+D235-E235&gt;0,OR(C235+D235-E235&lt;I235+J235-K235,AND(C235+D235-E235=I235+J235-K235,0&lt;1))),1,0),IF(AND(O235+P235-Q235&gt;0,OR(O235+P235-Q235&lt;I235+J235-K235,AND(O235+P235-Q235=I235+J235-K235,2&lt;1))),1,0),IF(AND(U235+V235-W235&gt;0,OR(U235+V235-W235&lt;I235+J235-K235,AND(U235+V235-W235=I235+J235-K235,3&lt;1))),1,0),IF(AND(AA235+AB235-AC235&gt;0,OR(AA235+AB235-AC235&lt;I235+J235-K235,AND(AA235+AB235-AC235=I235+J235-K235,4&lt;1))),1,0)))</x:f>
        <x:v>99</x:v>
      </x:c>
      <x:c r="M235" s="6" t="n">
        <x:f>IF('Debt strategy'!$C$16&gt;0,0,MIN(I235+J235-K235,MAX(0,'Debt strategy'!$C$5-SUM(E235,K235,Q235,W235,AC235)-SUM(IF(F235&lt;L235,C235+D235-E235,0),IF(R235&lt;L235,O235+P235-Q235,0),IF(X235&lt;L235,U235+V235-W235,0),IF(AD235&lt;L235,AA235+AB235-AC235,0)))))</x:f>
        <x:v>0</x:v>
      </x:c>
      <x:c r="N235" s="6" t="n">
        <x:f>ROUND(MAX(0,I235+J235-K235-M235),2)</x:f>
        <x:v>0</x:v>
      </x:c>
      <x:c r="O235" s="6" t="n">
        <x:f>T234</x:f>
        <x:v>0</x:v>
      </x:c>
      <x:c r="P235" s="6" t="n">
        <x:f>ROUND(O235*'Debt strategy'!$D$11/12,2)</x:f>
        <x:v>0</x:v>
      </x:c>
      <x:c r="Q235" s="6" t="n">
        <x:f>MIN(O235+P235,'Debt strategy'!$E$11)</x:f>
        <x:v>0</x:v>
      </x:c>
      <x:c r="R235" s="27" t="n">
        <x:f>IF(O235+P235-Q235&lt;=0,99,1+SUM(IF(AND(C235+D235-E235&gt;0,OR(C235+D235-E235&lt;O235+P235-Q235,AND(C235+D235-E235=O235+P235-Q235,0&lt;2))),1,0),IF(AND(I235+J235-K235&gt;0,OR(I235+J235-K235&lt;O235+P235-Q235,AND(I235+J235-K235=O235+P235-Q235,1&lt;2))),1,0),IF(AND(U235+V235-W235&gt;0,OR(U235+V235-W235&lt;O235+P235-Q235,AND(U235+V235-W235=O235+P235-Q235,3&lt;2))),1,0),IF(AND(AA235+AB235-AC235&gt;0,OR(AA235+AB235-AC235&lt;O235+P235-Q235,AND(AA235+AB235-AC235=O235+P235-Q235,4&lt;2))),1,0)))</x:f>
        <x:v>99</x:v>
      </x:c>
      <x:c r="S235" s="6" t="n">
        <x:f>IF('Debt strategy'!$C$16&gt;0,0,MIN(O235+P235-Q235,MAX(0,'Debt strategy'!$C$5-SUM(E235,K235,Q235,W235,AC235)-SUM(IF(F235&lt;R235,C235+D235-E235,0),IF(L235&lt;R235,I235+J235-K235,0),IF(X235&lt;R235,U235+V235-W235,0),IF(AD235&lt;R235,AA235+AB235-AC235,0)))))</x:f>
        <x:v>0</x:v>
      </x:c>
      <x:c r="T235" s="6" t="n">
        <x:f>ROUND(MAX(0,O235+P235-Q235-S235),2)</x:f>
        <x:v>0</x:v>
      </x:c>
      <x:c r="U235" s="6" t="n">
        <x:f>Z234</x:f>
        <x:v>0</x:v>
      </x:c>
      <x:c r="V235" s="6" t="n">
        <x:f>ROUND(U235*'Debt strategy'!$D$12/12,2)</x:f>
        <x:v>0</x:v>
      </x:c>
      <x:c r="W235" s="6" t="n">
        <x:f>MIN(U235+V235,'Debt strategy'!$E$12)</x:f>
        <x:v>0</x:v>
      </x:c>
      <x:c r="X235" s="27" t="n">
        <x:f>IF(U235+V235-W235&lt;=0,99,1+SUM(IF(AND(C235+D235-E235&gt;0,OR(C235+D235-E235&lt;U235+V235-W235,AND(C235+D235-E235=U235+V235-W235,0&lt;3))),1,0),IF(AND(I235+J235-K235&gt;0,OR(I235+J235-K235&lt;U235+V235-W235,AND(I235+J235-K235=U235+V235-W235,1&lt;3))),1,0),IF(AND(O235+P235-Q235&gt;0,OR(O235+P235-Q235&lt;U235+V235-W235,AND(O235+P235-Q235=U235+V235-W235,2&lt;3))),1,0),IF(AND(AA235+AB235-AC235&gt;0,OR(AA235+AB235-AC235&lt;U235+V235-W235,AND(AA235+AB235-AC235=U235+V235-W235,4&lt;3))),1,0)))</x:f>
        <x:v>99</x:v>
      </x:c>
      <x:c r="Y235" s="6" t="n">
        <x:f>IF('Debt strategy'!$C$16&gt;0,0,MIN(U235+V235-W235,MAX(0,'Debt strategy'!$C$5-SUM(E235,K235,Q235,W235,AC235)-SUM(IF(F235&lt;X235,C235+D235-E235,0),IF(L235&lt;X235,I235+J235-K235,0),IF(R235&lt;X235,O235+P235-Q235,0),IF(AD235&lt;X235,AA235+AB235-AC235,0)))))</x:f>
        <x:v>0</x:v>
      </x:c>
      <x:c r="Z235" s="6" t="n">
        <x:f>ROUND(MAX(0,U235+V235-W235-Y235),2)</x:f>
        <x:v>0</x:v>
      </x:c>
      <x:c r="AA235" s="6" t="n">
        <x:f>AF234</x:f>
        <x:v>0</x:v>
      </x:c>
      <x:c r="AB235" s="6" t="n">
        <x:f>ROUND(AA235*'Debt strategy'!$D$13/12,2)</x:f>
        <x:v>0</x:v>
      </x:c>
      <x:c r="AC235" s="6" t="n">
        <x:f>MIN(AA235+AB235,'Debt strategy'!$E$13)</x:f>
        <x:v>0</x:v>
      </x:c>
      <x:c r="AD235" s="27" t="n">
        <x:f>IF(AA235+AB235-AC235&lt;=0,99,1+SUM(IF(AND(C235+D235-E235&gt;0,OR(C235+D235-E235&lt;AA235+AB235-AC235,AND(C235+D235-E235=AA235+AB235-AC235,0&lt;4))),1,0),IF(AND(I235+J235-K235&gt;0,OR(I235+J235-K235&lt;AA235+AB235-AC235,AND(I235+J235-K235=AA235+AB235-AC235,1&lt;4))),1,0),IF(AND(O235+P235-Q235&gt;0,OR(O235+P235-Q235&lt;AA235+AB235-AC235,AND(O235+P235-Q235=AA235+AB235-AC235,2&lt;4))),1,0),IF(AND(U235+V235-W235&gt;0,OR(U235+V235-W235&lt;AA235+AB235-AC235,AND(U235+V235-W235=AA235+AB235-AC235,3&lt;4))),1,0)))</x:f>
        <x:v>99</x:v>
      </x:c>
      <x:c r="AE235" s="6" t="n">
        <x:f>IF('Debt strategy'!$C$16&gt;0,0,MIN(AA235+AB235-AC235,MAX(0,'Debt strategy'!$C$5-SUM(E235,K235,Q235,W235,AC235)-SUM(IF(F235&lt;AD235,C235+D235-E235,0),IF(L235&lt;AD235,I235+J235-K235,0),IF(R235&lt;AD235,O235+P235-Q235,0),IF(X235&lt;AD235,U235+V235-W235,0)))))</x:f>
        <x:v>0</x:v>
      </x:c>
      <x:c r="AF235" s="6" t="n">
        <x:f>ROUND(MAX(0,AA235+AB235-AC235-AE235),2)</x:f>
        <x:v>0</x:v>
      </x:c>
      <x:c r="AG235" s="6" t="n">
        <x:f>SUM(H235,N235,T235,Z235,AF235)</x:f>
        <x:v>0</x:v>
      </x:c>
      <x:c r="AH235" s="6" t="n">
        <x:f>SUM(D235,J235,P235,V235,AB235)+AH234</x:f>
        <x:v>1353.9499999999996</x:v>
      </x:c>
      <x:c r="AI235" s="2"/>
    </x:row>
    <x:row r="236" ht="23" customHeight="1">
      <x:c r="B236" s="2" t="n">
        <x:f>228</x:f>
        <x:v>228</x:v>
      </x:c>
      <x:c r="C236" s="6" t="n">
        <x:f>H235</x:f>
        <x:v>0</x:v>
      </x:c>
      <x:c r="D236" s="6" t="n">
        <x:f>ROUND(C236*'Debt strategy'!$D$9/12,2)</x:f>
        <x:v>0</x:v>
      </x:c>
      <x:c r="E236" s="6" t="n">
        <x:f>MIN(C236+D236,'Debt strategy'!$E$9)</x:f>
        <x:v>0</x:v>
      </x:c>
      <x:c r="F236" s="27" t="n">
        <x:f>IF(C236+D236-E236&lt;=0,99,1+SUM(IF(AND(I236+J236-K236&gt;0,OR(I236+J236-K236&lt;C236+D236-E236,AND(I236+J236-K236=C236+D236-E236,1&lt;0))),1,0),IF(AND(O236+P236-Q236&gt;0,OR(O236+P236-Q236&lt;C236+D236-E236,AND(O236+P236-Q236=C236+D236-E236,2&lt;0))),1,0),IF(AND(U236+V236-W236&gt;0,OR(U236+V236-W236&lt;C236+D236-E236,AND(U236+V236-W236=C236+D236-E236,3&lt;0))),1,0),IF(AND(AA236+AB236-AC236&gt;0,OR(AA236+AB236-AC236&lt;C236+D236-E236,AND(AA236+AB236-AC236=C236+D236-E236,4&lt;0))),1,0)))</x:f>
        <x:v>99</x:v>
      </x:c>
      <x:c r="G236" s="6" t="n">
        <x:f>IF('Debt strategy'!$C$16&gt;0,0,MIN(C236+D236-E236,MAX(0,'Debt strategy'!$C$5-SUM(E236,K236,Q236,W236,AC236)-SUM(IF(L236&lt;F236,I236+J236-K236,0),IF(R236&lt;F236,O236+P236-Q236,0),IF(X236&lt;F236,U236+V236-W236,0),IF(AD236&lt;F236,AA236+AB236-AC236,0)))))</x:f>
        <x:v>0</x:v>
      </x:c>
      <x:c r="H236" s="6" t="n">
        <x:f>ROUND(MAX(0,C236+D236-E236-G236),2)</x:f>
        <x:v>0</x:v>
      </x:c>
      <x:c r="I236" s="6" t="n">
        <x:f>N235</x:f>
        <x:v>0</x:v>
      </x:c>
      <x:c r="J236" s="6" t="n">
        <x:f>ROUND(I236*'Debt strategy'!$D$10/12,2)</x:f>
        <x:v>0</x:v>
      </x:c>
      <x:c r="K236" s="6" t="n">
        <x:f>MIN(I236+J236,'Debt strategy'!$E$10)</x:f>
        <x:v>0</x:v>
      </x:c>
      <x:c r="L236" s="27" t="n">
        <x:f>IF(I236+J236-K236&lt;=0,99,1+SUM(IF(AND(C236+D236-E236&gt;0,OR(C236+D236-E236&lt;I236+J236-K236,AND(C236+D236-E236=I236+J236-K236,0&lt;1))),1,0),IF(AND(O236+P236-Q236&gt;0,OR(O236+P236-Q236&lt;I236+J236-K236,AND(O236+P236-Q236=I236+J236-K236,2&lt;1))),1,0),IF(AND(U236+V236-W236&gt;0,OR(U236+V236-W236&lt;I236+J236-K236,AND(U236+V236-W236=I236+J236-K236,3&lt;1))),1,0),IF(AND(AA236+AB236-AC236&gt;0,OR(AA236+AB236-AC236&lt;I236+J236-K236,AND(AA236+AB236-AC236=I236+J236-K236,4&lt;1))),1,0)))</x:f>
        <x:v>99</x:v>
      </x:c>
      <x:c r="M236" s="6" t="n">
        <x:f>IF('Debt strategy'!$C$16&gt;0,0,MIN(I236+J236-K236,MAX(0,'Debt strategy'!$C$5-SUM(E236,K236,Q236,W236,AC236)-SUM(IF(F236&lt;L236,C236+D236-E236,0),IF(R236&lt;L236,O236+P236-Q236,0),IF(X236&lt;L236,U236+V236-W236,0),IF(AD236&lt;L236,AA236+AB236-AC236,0)))))</x:f>
        <x:v>0</x:v>
      </x:c>
      <x:c r="N236" s="6" t="n">
        <x:f>ROUND(MAX(0,I236+J236-K236-M236),2)</x:f>
        <x:v>0</x:v>
      </x:c>
      <x:c r="O236" s="6" t="n">
        <x:f>T235</x:f>
        <x:v>0</x:v>
      </x:c>
      <x:c r="P236" s="6" t="n">
        <x:f>ROUND(O236*'Debt strategy'!$D$11/12,2)</x:f>
        <x:v>0</x:v>
      </x:c>
      <x:c r="Q236" s="6" t="n">
        <x:f>MIN(O236+P236,'Debt strategy'!$E$11)</x:f>
        <x:v>0</x:v>
      </x:c>
      <x:c r="R236" s="27" t="n">
        <x:f>IF(O236+P236-Q236&lt;=0,99,1+SUM(IF(AND(C236+D236-E236&gt;0,OR(C236+D236-E236&lt;O236+P236-Q236,AND(C236+D236-E236=O236+P236-Q236,0&lt;2))),1,0),IF(AND(I236+J236-K236&gt;0,OR(I236+J236-K236&lt;O236+P236-Q236,AND(I236+J236-K236=O236+P236-Q236,1&lt;2))),1,0),IF(AND(U236+V236-W236&gt;0,OR(U236+V236-W236&lt;O236+P236-Q236,AND(U236+V236-W236=O236+P236-Q236,3&lt;2))),1,0),IF(AND(AA236+AB236-AC236&gt;0,OR(AA236+AB236-AC236&lt;O236+P236-Q236,AND(AA236+AB236-AC236=O236+P236-Q236,4&lt;2))),1,0)))</x:f>
        <x:v>99</x:v>
      </x:c>
      <x:c r="S236" s="6" t="n">
        <x:f>IF('Debt strategy'!$C$16&gt;0,0,MIN(O236+P236-Q236,MAX(0,'Debt strategy'!$C$5-SUM(E236,K236,Q236,W236,AC236)-SUM(IF(F236&lt;R236,C236+D236-E236,0),IF(L236&lt;R236,I236+J236-K236,0),IF(X236&lt;R236,U236+V236-W236,0),IF(AD236&lt;R236,AA236+AB236-AC236,0)))))</x:f>
        <x:v>0</x:v>
      </x:c>
      <x:c r="T236" s="6" t="n">
        <x:f>ROUND(MAX(0,O236+P236-Q236-S236),2)</x:f>
        <x:v>0</x:v>
      </x:c>
      <x:c r="U236" s="6" t="n">
        <x:f>Z235</x:f>
        <x:v>0</x:v>
      </x:c>
      <x:c r="V236" s="6" t="n">
        <x:f>ROUND(U236*'Debt strategy'!$D$12/12,2)</x:f>
        <x:v>0</x:v>
      </x:c>
      <x:c r="W236" s="6" t="n">
        <x:f>MIN(U236+V236,'Debt strategy'!$E$12)</x:f>
        <x:v>0</x:v>
      </x:c>
      <x:c r="X236" s="27" t="n">
        <x:f>IF(U236+V236-W236&lt;=0,99,1+SUM(IF(AND(C236+D236-E236&gt;0,OR(C236+D236-E236&lt;U236+V236-W236,AND(C236+D236-E236=U236+V236-W236,0&lt;3))),1,0),IF(AND(I236+J236-K236&gt;0,OR(I236+J236-K236&lt;U236+V236-W236,AND(I236+J236-K236=U236+V236-W236,1&lt;3))),1,0),IF(AND(O236+P236-Q236&gt;0,OR(O236+P236-Q236&lt;U236+V236-W236,AND(O236+P236-Q236=U236+V236-W236,2&lt;3))),1,0),IF(AND(AA236+AB236-AC236&gt;0,OR(AA236+AB236-AC236&lt;U236+V236-W236,AND(AA236+AB236-AC236=U236+V236-W236,4&lt;3))),1,0)))</x:f>
        <x:v>99</x:v>
      </x:c>
      <x:c r="Y236" s="6" t="n">
        <x:f>IF('Debt strategy'!$C$16&gt;0,0,MIN(U236+V236-W236,MAX(0,'Debt strategy'!$C$5-SUM(E236,K236,Q236,W236,AC236)-SUM(IF(F236&lt;X236,C236+D236-E236,0),IF(L236&lt;X236,I236+J236-K236,0),IF(R236&lt;X236,O236+P236-Q236,0),IF(AD236&lt;X236,AA236+AB236-AC236,0)))))</x:f>
        <x:v>0</x:v>
      </x:c>
      <x:c r="Z236" s="6" t="n">
        <x:f>ROUND(MAX(0,U236+V236-W236-Y236),2)</x:f>
        <x:v>0</x:v>
      </x:c>
      <x:c r="AA236" s="6" t="n">
        <x:f>AF235</x:f>
        <x:v>0</x:v>
      </x:c>
      <x:c r="AB236" s="6" t="n">
        <x:f>ROUND(AA236*'Debt strategy'!$D$13/12,2)</x:f>
        <x:v>0</x:v>
      </x:c>
      <x:c r="AC236" s="6" t="n">
        <x:f>MIN(AA236+AB236,'Debt strategy'!$E$13)</x:f>
        <x:v>0</x:v>
      </x:c>
      <x:c r="AD236" s="27" t="n">
        <x:f>IF(AA236+AB236-AC236&lt;=0,99,1+SUM(IF(AND(C236+D236-E236&gt;0,OR(C236+D236-E236&lt;AA236+AB236-AC236,AND(C236+D236-E236=AA236+AB236-AC236,0&lt;4))),1,0),IF(AND(I236+J236-K236&gt;0,OR(I236+J236-K236&lt;AA236+AB236-AC236,AND(I236+J236-K236=AA236+AB236-AC236,1&lt;4))),1,0),IF(AND(O236+P236-Q236&gt;0,OR(O236+P236-Q236&lt;AA236+AB236-AC236,AND(O236+P236-Q236=AA236+AB236-AC236,2&lt;4))),1,0),IF(AND(U236+V236-W236&gt;0,OR(U236+V236-W236&lt;AA236+AB236-AC236,AND(U236+V236-W236=AA236+AB236-AC236,3&lt;4))),1,0)))</x:f>
        <x:v>99</x:v>
      </x:c>
      <x:c r="AE236" s="6" t="n">
        <x:f>IF('Debt strategy'!$C$16&gt;0,0,MIN(AA236+AB236-AC236,MAX(0,'Debt strategy'!$C$5-SUM(E236,K236,Q236,W236,AC236)-SUM(IF(F236&lt;AD236,C236+D236-E236,0),IF(L236&lt;AD236,I236+J236-K236,0),IF(R236&lt;AD236,O236+P236-Q236,0),IF(X236&lt;AD236,U236+V236-W236,0)))))</x:f>
        <x:v>0</x:v>
      </x:c>
      <x:c r="AF236" s="6" t="n">
        <x:f>ROUND(MAX(0,AA236+AB236-AC236-AE236),2)</x:f>
        <x:v>0</x:v>
      </x:c>
      <x:c r="AG236" s="6" t="n">
        <x:f>SUM(H236,N236,T236,Z236,AF236)</x:f>
        <x:v>0</x:v>
      </x:c>
      <x:c r="AH236" s="6" t="n">
        <x:f>SUM(D236,J236,P236,V236,AB236)+AH235</x:f>
        <x:v>1353.9499999999996</x:v>
      </x:c>
      <x:c r="AI236" s="2"/>
    </x:row>
    <x:row r="237" ht="23" customHeight="1">
      <x:c r="B237" s="2" t="n">
        <x:f>229</x:f>
        <x:v>229</x:v>
      </x:c>
      <x:c r="C237" s="6" t="n">
        <x:f>H236</x:f>
        <x:v>0</x:v>
      </x:c>
      <x:c r="D237" s="6" t="n">
        <x:f>ROUND(C237*'Debt strategy'!$D$9/12,2)</x:f>
        <x:v>0</x:v>
      </x:c>
      <x:c r="E237" s="6" t="n">
        <x:f>MIN(C237+D237,'Debt strategy'!$E$9)</x:f>
        <x:v>0</x:v>
      </x:c>
      <x:c r="F237" s="27" t="n">
        <x:f>IF(C237+D237-E237&lt;=0,99,1+SUM(IF(AND(I237+J237-K237&gt;0,OR(I237+J237-K237&lt;C237+D237-E237,AND(I237+J237-K237=C237+D237-E237,1&lt;0))),1,0),IF(AND(O237+P237-Q237&gt;0,OR(O237+P237-Q237&lt;C237+D237-E237,AND(O237+P237-Q237=C237+D237-E237,2&lt;0))),1,0),IF(AND(U237+V237-W237&gt;0,OR(U237+V237-W237&lt;C237+D237-E237,AND(U237+V237-W237=C237+D237-E237,3&lt;0))),1,0),IF(AND(AA237+AB237-AC237&gt;0,OR(AA237+AB237-AC237&lt;C237+D237-E237,AND(AA237+AB237-AC237=C237+D237-E237,4&lt;0))),1,0)))</x:f>
        <x:v>99</x:v>
      </x:c>
      <x:c r="G237" s="6" t="n">
        <x:f>IF('Debt strategy'!$C$16&gt;0,0,MIN(C237+D237-E237,MAX(0,'Debt strategy'!$C$5-SUM(E237,K237,Q237,W237,AC237)-SUM(IF(L237&lt;F237,I237+J237-K237,0),IF(R237&lt;F237,O237+P237-Q237,0),IF(X237&lt;F237,U237+V237-W237,0),IF(AD237&lt;F237,AA237+AB237-AC237,0)))))</x:f>
        <x:v>0</x:v>
      </x:c>
      <x:c r="H237" s="6" t="n">
        <x:f>ROUND(MAX(0,C237+D237-E237-G237),2)</x:f>
        <x:v>0</x:v>
      </x:c>
      <x:c r="I237" s="6" t="n">
        <x:f>N236</x:f>
        <x:v>0</x:v>
      </x:c>
      <x:c r="J237" s="6" t="n">
        <x:f>ROUND(I237*'Debt strategy'!$D$10/12,2)</x:f>
        <x:v>0</x:v>
      </x:c>
      <x:c r="K237" s="6" t="n">
        <x:f>MIN(I237+J237,'Debt strategy'!$E$10)</x:f>
        <x:v>0</x:v>
      </x:c>
      <x:c r="L237" s="27" t="n">
        <x:f>IF(I237+J237-K237&lt;=0,99,1+SUM(IF(AND(C237+D237-E237&gt;0,OR(C237+D237-E237&lt;I237+J237-K237,AND(C237+D237-E237=I237+J237-K237,0&lt;1))),1,0),IF(AND(O237+P237-Q237&gt;0,OR(O237+P237-Q237&lt;I237+J237-K237,AND(O237+P237-Q237=I237+J237-K237,2&lt;1))),1,0),IF(AND(U237+V237-W237&gt;0,OR(U237+V237-W237&lt;I237+J237-K237,AND(U237+V237-W237=I237+J237-K237,3&lt;1))),1,0),IF(AND(AA237+AB237-AC237&gt;0,OR(AA237+AB237-AC237&lt;I237+J237-K237,AND(AA237+AB237-AC237=I237+J237-K237,4&lt;1))),1,0)))</x:f>
        <x:v>99</x:v>
      </x:c>
      <x:c r="M237" s="6" t="n">
        <x:f>IF('Debt strategy'!$C$16&gt;0,0,MIN(I237+J237-K237,MAX(0,'Debt strategy'!$C$5-SUM(E237,K237,Q237,W237,AC237)-SUM(IF(F237&lt;L237,C237+D237-E237,0),IF(R237&lt;L237,O237+P237-Q237,0),IF(X237&lt;L237,U237+V237-W237,0),IF(AD237&lt;L237,AA237+AB237-AC237,0)))))</x:f>
        <x:v>0</x:v>
      </x:c>
      <x:c r="N237" s="6" t="n">
        <x:f>ROUND(MAX(0,I237+J237-K237-M237),2)</x:f>
        <x:v>0</x:v>
      </x:c>
      <x:c r="O237" s="6" t="n">
        <x:f>T236</x:f>
        <x:v>0</x:v>
      </x:c>
      <x:c r="P237" s="6" t="n">
        <x:f>ROUND(O237*'Debt strategy'!$D$11/12,2)</x:f>
        <x:v>0</x:v>
      </x:c>
      <x:c r="Q237" s="6" t="n">
        <x:f>MIN(O237+P237,'Debt strategy'!$E$11)</x:f>
        <x:v>0</x:v>
      </x:c>
      <x:c r="R237" s="27" t="n">
        <x:f>IF(O237+P237-Q237&lt;=0,99,1+SUM(IF(AND(C237+D237-E237&gt;0,OR(C237+D237-E237&lt;O237+P237-Q237,AND(C237+D237-E237=O237+P237-Q237,0&lt;2))),1,0),IF(AND(I237+J237-K237&gt;0,OR(I237+J237-K237&lt;O237+P237-Q237,AND(I237+J237-K237=O237+P237-Q237,1&lt;2))),1,0),IF(AND(U237+V237-W237&gt;0,OR(U237+V237-W237&lt;O237+P237-Q237,AND(U237+V237-W237=O237+P237-Q237,3&lt;2))),1,0),IF(AND(AA237+AB237-AC237&gt;0,OR(AA237+AB237-AC237&lt;O237+P237-Q237,AND(AA237+AB237-AC237=O237+P237-Q237,4&lt;2))),1,0)))</x:f>
        <x:v>99</x:v>
      </x:c>
      <x:c r="S237" s="6" t="n">
        <x:f>IF('Debt strategy'!$C$16&gt;0,0,MIN(O237+P237-Q237,MAX(0,'Debt strategy'!$C$5-SUM(E237,K237,Q237,W237,AC237)-SUM(IF(F237&lt;R237,C237+D237-E237,0),IF(L237&lt;R237,I237+J237-K237,0),IF(X237&lt;R237,U237+V237-W237,0),IF(AD237&lt;R237,AA237+AB237-AC237,0)))))</x:f>
        <x:v>0</x:v>
      </x:c>
      <x:c r="T237" s="6" t="n">
        <x:f>ROUND(MAX(0,O237+P237-Q237-S237),2)</x:f>
        <x:v>0</x:v>
      </x:c>
      <x:c r="U237" s="6" t="n">
        <x:f>Z236</x:f>
        <x:v>0</x:v>
      </x:c>
      <x:c r="V237" s="6" t="n">
        <x:f>ROUND(U237*'Debt strategy'!$D$12/12,2)</x:f>
        <x:v>0</x:v>
      </x:c>
      <x:c r="W237" s="6" t="n">
        <x:f>MIN(U237+V237,'Debt strategy'!$E$12)</x:f>
        <x:v>0</x:v>
      </x:c>
      <x:c r="X237" s="27" t="n">
        <x:f>IF(U237+V237-W237&lt;=0,99,1+SUM(IF(AND(C237+D237-E237&gt;0,OR(C237+D237-E237&lt;U237+V237-W237,AND(C237+D237-E237=U237+V237-W237,0&lt;3))),1,0),IF(AND(I237+J237-K237&gt;0,OR(I237+J237-K237&lt;U237+V237-W237,AND(I237+J237-K237=U237+V237-W237,1&lt;3))),1,0),IF(AND(O237+P237-Q237&gt;0,OR(O237+P237-Q237&lt;U237+V237-W237,AND(O237+P237-Q237=U237+V237-W237,2&lt;3))),1,0),IF(AND(AA237+AB237-AC237&gt;0,OR(AA237+AB237-AC237&lt;U237+V237-W237,AND(AA237+AB237-AC237=U237+V237-W237,4&lt;3))),1,0)))</x:f>
        <x:v>99</x:v>
      </x:c>
      <x:c r="Y237" s="6" t="n">
        <x:f>IF('Debt strategy'!$C$16&gt;0,0,MIN(U237+V237-W237,MAX(0,'Debt strategy'!$C$5-SUM(E237,K237,Q237,W237,AC237)-SUM(IF(F237&lt;X237,C237+D237-E237,0),IF(L237&lt;X237,I237+J237-K237,0),IF(R237&lt;X237,O237+P237-Q237,0),IF(AD237&lt;X237,AA237+AB237-AC237,0)))))</x:f>
        <x:v>0</x:v>
      </x:c>
      <x:c r="Z237" s="6" t="n">
        <x:f>ROUND(MAX(0,U237+V237-W237-Y237),2)</x:f>
        <x:v>0</x:v>
      </x:c>
      <x:c r="AA237" s="6" t="n">
        <x:f>AF236</x:f>
        <x:v>0</x:v>
      </x:c>
      <x:c r="AB237" s="6" t="n">
        <x:f>ROUND(AA237*'Debt strategy'!$D$13/12,2)</x:f>
        <x:v>0</x:v>
      </x:c>
      <x:c r="AC237" s="6" t="n">
        <x:f>MIN(AA237+AB237,'Debt strategy'!$E$13)</x:f>
        <x:v>0</x:v>
      </x:c>
      <x:c r="AD237" s="27" t="n">
        <x:f>IF(AA237+AB237-AC237&lt;=0,99,1+SUM(IF(AND(C237+D237-E237&gt;0,OR(C237+D237-E237&lt;AA237+AB237-AC237,AND(C237+D237-E237=AA237+AB237-AC237,0&lt;4))),1,0),IF(AND(I237+J237-K237&gt;0,OR(I237+J237-K237&lt;AA237+AB237-AC237,AND(I237+J237-K237=AA237+AB237-AC237,1&lt;4))),1,0),IF(AND(O237+P237-Q237&gt;0,OR(O237+P237-Q237&lt;AA237+AB237-AC237,AND(O237+P237-Q237=AA237+AB237-AC237,2&lt;4))),1,0),IF(AND(U237+V237-W237&gt;0,OR(U237+V237-W237&lt;AA237+AB237-AC237,AND(U237+V237-W237=AA237+AB237-AC237,3&lt;4))),1,0)))</x:f>
        <x:v>99</x:v>
      </x:c>
      <x:c r="AE237" s="6" t="n">
        <x:f>IF('Debt strategy'!$C$16&gt;0,0,MIN(AA237+AB237-AC237,MAX(0,'Debt strategy'!$C$5-SUM(E237,K237,Q237,W237,AC237)-SUM(IF(F237&lt;AD237,C237+D237-E237,0),IF(L237&lt;AD237,I237+J237-K237,0),IF(R237&lt;AD237,O237+P237-Q237,0),IF(X237&lt;AD237,U237+V237-W237,0)))))</x:f>
        <x:v>0</x:v>
      </x:c>
      <x:c r="AF237" s="6" t="n">
        <x:f>ROUND(MAX(0,AA237+AB237-AC237-AE237),2)</x:f>
        <x:v>0</x:v>
      </x:c>
      <x:c r="AG237" s="6" t="n">
        <x:f>SUM(H237,N237,T237,Z237,AF237)</x:f>
        <x:v>0</x:v>
      </x:c>
      <x:c r="AH237" s="6" t="n">
        <x:f>SUM(D237,J237,P237,V237,AB237)+AH236</x:f>
        <x:v>1353.9499999999996</x:v>
      </x:c>
      <x:c r="AI237" s="2"/>
    </x:row>
    <x:row r="238" ht="23" customHeight="1">
      <x:c r="B238" s="2" t="n">
        <x:f>230</x:f>
        <x:v>230</x:v>
      </x:c>
      <x:c r="C238" s="6" t="n">
        <x:f>H237</x:f>
        <x:v>0</x:v>
      </x:c>
      <x:c r="D238" s="6" t="n">
        <x:f>ROUND(C238*'Debt strategy'!$D$9/12,2)</x:f>
        <x:v>0</x:v>
      </x:c>
      <x:c r="E238" s="6" t="n">
        <x:f>MIN(C238+D238,'Debt strategy'!$E$9)</x:f>
        <x:v>0</x:v>
      </x:c>
      <x:c r="F238" s="27" t="n">
        <x:f>IF(C238+D238-E238&lt;=0,99,1+SUM(IF(AND(I238+J238-K238&gt;0,OR(I238+J238-K238&lt;C238+D238-E238,AND(I238+J238-K238=C238+D238-E238,1&lt;0))),1,0),IF(AND(O238+P238-Q238&gt;0,OR(O238+P238-Q238&lt;C238+D238-E238,AND(O238+P238-Q238=C238+D238-E238,2&lt;0))),1,0),IF(AND(U238+V238-W238&gt;0,OR(U238+V238-W238&lt;C238+D238-E238,AND(U238+V238-W238=C238+D238-E238,3&lt;0))),1,0),IF(AND(AA238+AB238-AC238&gt;0,OR(AA238+AB238-AC238&lt;C238+D238-E238,AND(AA238+AB238-AC238=C238+D238-E238,4&lt;0))),1,0)))</x:f>
        <x:v>99</x:v>
      </x:c>
      <x:c r="G238" s="6" t="n">
        <x:f>IF('Debt strategy'!$C$16&gt;0,0,MIN(C238+D238-E238,MAX(0,'Debt strategy'!$C$5-SUM(E238,K238,Q238,W238,AC238)-SUM(IF(L238&lt;F238,I238+J238-K238,0),IF(R238&lt;F238,O238+P238-Q238,0),IF(X238&lt;F238,U238+V238-W238,0),IF(AD238&lt;F238,AA238+AB238-AC238,0)))))</x:f>
        <x:v>0</x:v>
      </x:c>
      <x:c r="H238" s="6" t="n">
        <x:f>ROUND(MAX(0,C238+D238-E238-G238),2)</x:f>
        <x:v>0</x:v>
      </x:c>
      <x:c r="I238" s="6" t="n">
        <x:f>N237</x:f>
        <x:v>0</x:v>
      </x:c>
      <x:c r="J238" s="6" t="n">
        <x:f>ROUND(I238*'Debt strategy'!$D$10/12,2)</x:f>
        <x:v>0</x:v>
      </x:c>
      <x:c r="K238" s="6" t="n">
        <x:f>MIN(I238+J238,'Debt strategy'!$E$10)</x:f>
        <x:v>0</x:v>
      </x:c>
      <x:c r="L238" s="27" t="n">
        <x:f>IF(I238+J238-K238&lt;=0,99,1+SUM(IF(AND(C238+D238-E238&gt;0,OR(C238+D238-E238&lt;I238+J238-K238,AND(C238+D238-E238=I238+J238-K238,0&lt;1))),1,0),IF(AND(O238+P238-Q238&gt;0,OR(O238+P238-Q238&lt;I238+J238-K238,AND(O238+P238-Q238=I238+J238-K238,2&lt;1))),1,0),IF(AND(U238+V238-W238&gt;0,OR(U238+V238-W238&lt;I238+J238-K238,AND(U238+V238-W238=I238+J238-K238,3&lt;1))),1,0),IF(AND(AA238+AB238-AC238&gt;0,OR(AA238+AB238-AC238&lt;I238+J238-K238,AND(AA238+AB238-AC238=I238+J238-K238,4&lt;1))),1,0)))</x:f>
        <x:v>99</x:v>
      </x:c>
      <x:c r="M238" s="6" t="n">
        <x:f>IF('Debt strategy'!$C$16&gt;0,0,MIN(I238+J238-K238,MAX(0,'Debt strategy'!$C$5-SUM(E238,K238,Q238,W238,AC238)-SUM(IF(F238&lt;L238,C238+D238-E238,0),IF(R238&lt;L238,O238+P238-Q238,0),IF(X238&lt;L238,U238+V238-W238,0),IF(AD238&lt;L238,AA238+AB238-AC238,0)))))</x:f>
        <x:v>0</x:v>
      </x:c>
      <x:c r="N238" s="6" t="n">
        <x:f>ROUND(MAX(0,I238+J238-K238-M238),2)</x:f>
        <x:v>0</x:v>
      </x:c>
      <x:c r="O238" s="6" t="n">
        <x:f>T237</x:f>
        <x:v>0</x:v>
      </x:c>
      <x:c r="P238" s="6" t="n">
        <x:f>ROUND(O238*'Debt strategy'!$D$11/12,2)</x:f>
        <x:v>0</x:v>
      </x:c>
      <x:c r="Q238" s="6" t="n">
        <x:f>MIN(O238+P238,'Debt strategy'!$E$11)</x:f>
        <x:v>0</x:v>
      </x:c>
      <x:c r="R238" s="27" t="n">
        <x:f>IF(O238+P238-Q238&lt;=0,99,1+SUM(IF(AND(C238+D238-E238&gt;0,OR(C238+D238-E238&lt;O238+P238-Q238,AND(C238+D238-E238=O238+P238-Q238,0&lt;2))),1,0),IF(AND(I238+J238-K238&gt;0,OR(I238+J238-K238&lt;O238+P238-Q238,AND(I238+J238-K238=O238+P238-Q238,1&lt;2))),1,0),IF(AND(U238+V238-W238&gt;0,OR(U238+V238-W238&lt;O238+P238-Q238,AND(U238+V238-W238=O238+P238-Q238,3&lt;2))),1,0),IF(AND(AA238+AB238-AC238&gt;0,OR(AA238+AB238-AC238&lt;O238+P238-Q238,AND(AA238+AB238-AC238=O238+P238-Q238,4&lt;2))),1,0)))</x:f>
        <x:v>99</x:v>
      </x:c>
      <x:c r="S238" s="6" t="n">
        <x:f>IF('Debt strategy'!$C$16&gt;0,0,MIN(O238+P238-Q238,MAX(0,'Debt strategy'!$C$5-SUM(E238,K238,Q238,W238,AC238)-SUM(IF(F238&lt;R238,C238+D238-E238,0),IF(L238&lt;R238,I238+J238-K238,0),IF(X238&lt;R238,U238+V238-W238,0),IF(AD238&lt;R238,AA238+AB238-AC238,0)))))</x:f>
        <x:v>0</x:v>
      </x:c>
      <x:c r="T238" s="6" t="n">
        <x:f>ROUND(MAX(0,O238+P238-Q238-S238),2)</x:f>
        <x:v>0</x:v>
      </x:c>
      <x:c r="U238" s="6" t="n">
        <x:f>Z237</x:f>
        <x:v>0</x:v>
      </x:c>
      <x:c r="V238" s="6" t="n">
        <x:f>ROUND(U238*'Debt strategy'!$D$12/12,2)</x:f>
        <x:v>0</x:v>
      </x:c>
      <x:c r="W238" s="6" t="n">
        <x:f>MIN(U238+V238,'Debt strategy'!$E$12)</x:f>
        <x:v>0</x:v>
      </x:c>
      <x:c r="X238" s="27" t="n">
        <x:f>IF(U238+V238-W238&lt;=0,99,1+SUM(IF(AND(C238+D238-E238&gt;0,OR(C238+D238-E238&lt;U238+V238-W238,AND(C238+D238-E238=U238+V238-W238,0&lt;3))),1,0),IF(AND(I238+J238-K238&gt;0,OR(I238+J238-K238&lt;U238+V238-W238,AND(I238+J238-K238=U238+V238-W238,1&lt;3))),1,0),IF(AND(O238+P238-Q238&gt;0,OR(O238+P238-Q238&lt;U238+V238-W238,AND(O238+P238-Q238=U238+V238-W238,2&lt;3))),1,0),IF(AND(AA238+AB238-AC238&gt;0,OR(AA238+AB238-AC238&lt;U238+V238-W238,AND(AA238+AB238-AC238=U238+V238-W238,4&lt;3))),1,0)))</x:f>
        <x:v>99</x:v>
      </x:c>
      <x:c r="Y238" s="6" t="n">
        <x:f>IF('Debt strategy'!$C$16&gt;0,0,MIN(U238+V238-W238,MAX(0,'Debt strategy'!$C$5-SUM(E238,K238,Q238,W238,AC238)-SUM(IF(F238&lt;X238,C238+D238-E238,0),IF(L238&lt;X238,I238+J238-K238,0),IF(R238&lt;X238,O238+P238-Q238,0),IF(AD238&lt;X238,AA238+AB238-AC238,0)))))</x:f>
        <x:v>0</x:v>
      </x:c>
      <x:c r="Z238" s="6" t="n">
        <x:f>ROUND(MAX(0,U238+V238-W238-Y238),2)</x:f>
        <x:v>0</x:v>
      </x:c>
      <x:c r="AA238" s="6" t="n">
        <x:f>AF237</x:f>
        <x:v>0</x:v>
      </x:c>
      <x:c r="AB238" s="6" t="n">
        <x:f>ROUND(AA238*'Debt strategy'!$D$13/12,2)</x:f>
        <x:v>0</x:v>
      </x:c>
      <x:c r="AC238" s="6" t="n">
        <x:f>MIN(AA238+AB238,'Debt strategy'!$E$13)</x:f>
        <x:v>0</x:v>
      </x:c>
      <x:c r="AD238" s="27" t="n">
        <x:f>IF(AA238+AB238-AC238&lt;=0,99,1+SUM(IF(AND(C238+D238-E238&gt;0,OR(C238+D238-E238&lt;AA238+AB238-AC238,AND(C238+D238-E238=AA238+AB238-AC238,0&lt;4))),1,0),IF(AND(I238+J238-K238&gt;0,OR(I238+J238-K238&lt;AA238+AB238-AC238,AND(I238+J238-K238=AA238+AB238-AC238,1&lt;4))),1,0),IF(AND(O238+P238-Q238&gt;0,OR(O238+P238-Q238&lt;AA238+AB238-AC238,AND(O238+P238-Q238=AA238+AB238-AC238,2&lt;4))),1,0),IF(AND(U238+V238-W238&gt;0,OR(U238+V238-W238&lt;AA238+AB238-AC238,AND(U238+V238-W238=AA238+AB238-AC238,3&lt;4))),1,0)))</x:f>
        <x:v>99</x:v>
      </x:c>
      <x:c r="AE238" s="6" t="n">
        <x:f>IF('Debt strategy'!$C$16&gt;0,0,MIN(AA238+AB238-AC238,MAX(0,'Debt strategy'!$C$5-SUM(E238,K238,Q238,W238,AC238)-SUM(IF(F238&lt;AD238,C238+D238-E238,0),IF(L238&lt;AD238,I238+J238-K238,0),IF(R238&lt;AD238,O238+P238-Q238,0),IF(X238&lt;AD238,U238+V238-W238,0)))))</x:f>
        <x:v>0</x:v>
      </x:c>
      <x:c r="AF238" s="6" t="n">
        <x:f>ROUND(MAX(0,AA238+AB238-AC238-AE238),2)</x:f>
        <x:v>0</x:v>
      </x:c>
      <x:c r="AG238" s="6" t="n">
        <x:f>SUM(H238,N238,T238,Z238,AF238)</x:f>
        <x:v>0</x:v>
      </x:c>
      <x:c r="AH238" s="6" t="n">
        <x:f>SUM(D238,J238,P238,V238,AB238)+AH237</x:f>
        <x:v>1353.9499999999996</x:v>
      </x:c>
      <x:c r="AI238" s="2"/>
    </x:row>
    <x:row r="239" ht="23" customHeight="1">
      <x:c r="B239" s="2" t="n">
        <x:f>231</x:f>
        <x:v>231</x:v>
      </x:c>
      <x:c r="C239" s="6" t="n">
        <x:f>H238</x:f>
        <x:v>0</x:v>
      </x:c>
      <x:c r="D239" s="6" t="n">
        <x:f>ROUND(C239*'Debt strategy'!$D$9/12,2)</x:f>
        <x:v>0</x:v>
      </x:c>
      <x:c r="E239" s="6" t="n">
        <x:f>MIN(C239+D239,'Debt strategy'!$E$9)</x:f>
        <x:v>0</x:v>
      </x:c>
      <x:c r="F239" s="27" t="n">
        <x:f>IF(C239+D239-E239&lt;=0,99,1+SUM(IF(AND(I239+J239-K239&gt;0,OR(I239+J239-K239&lt;C239+D239-E239,AND(I239+J239-K239=C239+D239-E239,1&lt;0))),1,0),IF(AND(O239+P239-Q239&gt;0,OR(O239+P239-Q239&lt;C239+D239-E239,AND(O239+P239-Q239=C239+D239-E239,2&lt;0))),1,0),IF(AND(U239+V239-W239&gt;0,OR(U239+V239-W239&lt;C239+D239-E239,AND(U239+V239-W239=C239+D239-E239,3&lt;0))),1,0),IF(AND(AA239+AB239-AC239&gt;0,OR(AA239+AB239-AC239&lt;C239+D239-E239,AND(AA239+AB239-AC239=C239+D239-E239,4&lt;0))),1,0)))</x:f>
        <x:v>99</x:v>
      </x:c>
      <x:c r="G239" s="6" t="n">
        <x:f>IF('Debt strategy'!$C$16&gt;0,0,MIN(C239+D239-E239,MAX(0,'Debt strategy'!$C$5-SUM(E239,K239,Q239,W239,AC239)-SUM(IF(L239&lt;F239,I239+J239-K239,0),IF(R239&lt;F239,O239+P239-Q239,0),IF(X239&lt;F239,U239+V239-W239,0),IF(AD239&lt;F239,AA239+AB239-AC239,0)))))</x:f>
        <x:v>0</x:v>
      </x:c>
      <x:c r="H239" s="6" t="n">
        <x:f>ROUND(MAX(0,C239+D239-E239-G239),2)</x:f>
        <x:v>0</x:v>
      </x:c>
      <x:c r="I239" s="6" t="n">
        <x:f>N238</x:f>
        <x:v>0</x:v>
      </x:c>
      <x:c r="J239" s="6" t="n">
        <x:f>ROUND(I239*'Debt strategy'!$D$10/12,2)</x:f>
        <x:v>0</x:v>
      </x:c>
      <x:c r="K239" s="6" t="n">
        <x:f>MIN(I239+J239,'Debt strategy'!$E$10)</x:f>
        <x:v>0</x:v>
      </x:c>
      <x:c r="L239" s="27" t="n">
        <x:f>IF(I239+J239-K239&lt;=0,99,1+SUM(IF(AND(C239+D239-E239&gt;0,OR(C239+D239-E239&lt;I239+J239-K239,AND(C239+D239-E239=I239+J239-K239,0&lt;1))),1,0),IF(AND(O239+P239-Q239&gt;0,OR(O239+P239-Q239&lt;I239+J239-K239,AND(O239+P239-Q239=I239+J239-K239,2&lt;1))),1,0),IF(AND(U239+V239-W239&gt;0,OR(U239+V239-W239&lt;I239+J239-K239,AND(U239+V239-W239=I239+J239-K239,3&lt;1))),1,0),IF(AND(AA239+AB239-AC239&gt;0,OR(AA239+AB239-AC239&lt;I239+J239-K239,AND(AA239+AB239-AC239=I239+J239-K239,4&lt;1))),1,0)))</x:f>
        <x:v>99</x:v>
      </x:c>
      <x:c r="M239" s="6" t="n">
        <x:f>IF('Debt strategy'!$C$16&gt;0,0,MIN(I239+J239-K239,MAX(0,'Debt strategy'!$C$5-SUM(E239,K239,Q239,W239,AC239)-SUM(IF(F239&lt;L239,C239+D239-E239,0),IF(R239&lt;L239,O239+P239-Q239,0),IF(X239&lt;L239,U239+V239-W239,0),IF(AD239&lt;L239,AA239+AB239-AC239,0)))))</x:f>
        <x:v>0</x:v>
      </x:c>
      <x:c r="N239" s="6" t="n">
        <x:f>ROUND(MAX(0,I239+J239-K239-M239),2)</x:f>
        <x:v>0</x:v>
      </x:c>
      <x:c r="O239" s="6" t="n">
        <x:f>T238</x:f>
        <x:v>0</x:v>
      </x:c>
      <x:c r="P239" s="6" t="n">
        <x:f>ROUND(O239*'Debt strategy'!$D$11/12,2)</x:f>
        <x:v>0</x:v>
      </x:c>
      <x:c r="Q239" s="6" t="n">
        <x:f>MIN(O239+P239,'Debt strategy'!$E$11)</x:f>
        <x:v>0</x:v>
      </x:c>
      <x:c r="R239" s="27" t="n">
        <x:f>IF(O239+P239-Q239&lt;=0,99,1+SUM(IF(AND(C239+D239-E239&gt;0,OR(C239+D239-E239&lt;O239+P239-Q239,AND(C239+D239-E239=O239+P239-Q239,0&lt;2))),1,0),IF(AND(I239+J239-K239&gt;0,OR(I239+J239-K239&lt;O239+P239-Q239,AND(I239+J239-K239=O239+P239-Q239,1&lt;2))),1,0),IF(AND(U239+V239-W239&gt;0,OR(U239+V239-W239&lt;O239+P239-Q239,AND(U239+V239-W239=O239+P239-Q239,3&lt;2))),1,0),IF(AND(AA239+AB239-AC239&gt;0,OR(AA239+AB239-AC239&lt;O239+P239-Q239,AND(AA239+AB239-AC239=O239+P239-Q239,4&lt;2))),1,0)))</x:f>
        <x:v>99</x:v>
      </x:c>
      <x:c r="S239" s="6" t="n">
        <x:f>IF('Debt strategy'!$C$16&gt;0,0,MIN(O239+P239-Q239,MAX(0,'Debt strategy'!$C$5-SUM(E239,K239,Q239,W239,AC239)-SUM(IF(F239&lt;R239,C239+D239-E239,0),IF(L239&lt;R239,I239+J239-K239,0),IF(X239&lt;R239,U239+V239-W239,0),IF(AD239&lt;R239,AA239+AB239-AC239,0)))))</x:f>
        <x:v>0</x:v>
      </x:c>
      <x:c r="T239" s="6" t="n">
        <x:f>ROUND(MAX(0,O239+P239-Q239-S239),2)</x:f>
        <x:v>0</x:v>
      </x:c>
      <x:c r="U239" s="6" t="n">
        <x:f>Z238</x:f>
        <x:v>0</x:v>
      </x:c>
      <x:c r="V239" s="6" t="n">
        <x:f>ROUND(U239*'Debt strategy'!$D$12/12,2)</x:f>
        <x:v>0</x:v>
      </x:c>
      <x:c r="W239" s="6" t="n">
        <x:f>MIN(U239+V239,'Debt strategy'!$E$12)</x:f>
        <x:v>0</x:v>
      </x:c>
      <x:c r="X239" s="27" t="n">
        <x:f>IF(U239+V239-W239&lt;=0,99,1+SUM(IF(AND(C239+D239-E239&gt;0,OR(C239+D239-E239&lt;U239+V239-W239,AND(C239+D239-E239=U239+V239-W239,0&lt;3))),1,0),IF(AND(I239+J239-K239&gt;0,OR(I239+J239-K239&lt;U239+V239-W239,AND(I239+J239-K239=U239+V239-W239,1&lt;3))),1,0),IF(AND(O239+P239-Q239&gt;0,OR(O239+P239-Q239&lt;U239+V239-W239,AND(O239+P239-Q239=U239+V239-W239,2&lt;3))),1,0),IF(AND(AA239+AB239-AC239&gt;0,OR(AA239+AB239-AC239&lt;U239+V239-W239,AND(AA239+AB239-AC239=U239+V239-W239,4&lt;3))),1,0)))</x:f>
        <x:v>99</x:v>
      </x:c>
      <x:c r="Y239" s="6" t="n">
        <x:f>IF('Debt strategy'!$C$16&gt;0,0,MIN(U239+V239-W239,MAX(0,'Debt strategy'!$C$5-SUM(E239,K239,Q239,W239,AC239)-SUM(IF(F239&lt;X239,C239+D239-E239,0),IF(L239&lt;X239,I239+J239-K239,0),IF(R239&lt;X239,O239+P239-Q239,0),IF(AD239&lt;X239,AA239+AB239-AC239,0)))))</x:f>
        <x:v>0</x:v>
      </x:c>
      <x:c r="Z239" s="6" t="n">
        <x:f>ROUND(MAX(0,U239+V239-W239-Y239),2)</x:f>
        <x:v>0</x:v>
      </x:c>
      <x:c r="AA239" s="6" t="n">
        <x:f>AF238</x:f>
        <x:v>0</x:v>
      </x:c>
      <x:c r="AB239" s="6" t="n">
        <x:f>ROUND(AA239*'Debt strategy'!$D$13/12,2)</x:f>
        <x:v>0</x:v>
      </x:c>
      <x:c r="AC239" s="6" t="n">
        <x:f>MIN(AA239+AB239,'Debt strategy'!$E$13)</x:f>
        <x:v>0</x:v>
      </x:c>
      <x:c r="AD239" s="27" t="n">
        <x:f>IF(AA239+AB239-AC239&lt;=0,99,1+SUM(IF(AND(C239+D239-E239&gt;0,OR(C239+D239-E239&lt;AA239+AB239-AC239,AND(C239+D239-E239=AA239+AB239-AC239,0&lt;4))),1,0),IF(AND(I239+J239-K239&gt;0,OR(I239+J239-K239&lt;AA239+AB239-AC239,AND(I239+J239-K239=AA239+AB239-AC239,1&lt;4))),1,0),IF(AND(O239+P239-Q239&gt;0,OR(O239+P239-Q239&lt;AA239+AB239-AC239,AND(O239+P239-Q239=AA239+AB239-AC239,2&lt;4))),1,0),IF(AND(U239+V239-W239&gt;0,OR(U239+V239-W239&lt;AA239+AB239-AC239,AND(U239+V239-W239=AA239+AB239-AC239,3&lt;4))),1,0)))</x:f>
        <x:v>99</x:v>
      </x:c>
      <x:c r="AE239" s="6" t="n">
        <x:f>IF('Debt strategy'!$C$16&gt;0,0,MIN(AA239+AB239-AC239,MAX(0,'Debt strategy'!$C$5-SUM(E239,K239,Q239,W239,AC239)-SUM(IF(F239&lt;AD239,C239+D239-E239,0),IF(L239&lt;AD239,I239+J239-K239,0),IF(R239&lt;AD239,O239+P239-Q239,0),IF(X239&lt;AD239,U239+V239-W239,0)))))</x:f>
        <x:v>0</x:v>
      </x:c>
      <x:c r="AF239" s="6" t="n">
        <x:f>ROUND(MAX(0,AA239+AB239-AC239-AE239),2)</x:f>
        <x:v>0</x:v>
      </x:c>
      <x:c r="AG239" s="6" t="n">
        <x:f>SUM(H239,N239,T239,Z239,AF239)</x:f>
        <x:v>0</x:v>
      </x:c>
      <x:c r="AH239" s="6" t="n">
        <x:f>SUM(D239,J239,P239,V239,AB239)+AH238</x:f>
        <x:v>1353.9499999999996</x:v>
      </x:c>
      <x:c r="AI239" s="2"/>
    </x:row>
    <x:row r="240" ht="23" customHeight="1">
      <x:c r="B240" s="2" t="n">
        <x:f>232</x:f>
        <x:v>232</x:v>
      </x:c>
      <x:c r="C240" s="6" t="n">
        <x:f>H239</x:f>
        <x:v>0</x:v>
      </x:c>
      <x:c r="D240" s="6" t="n">
        <x:f>ROUND(C240*'Debt strategy'!$D$9/12,2)</x:f>
        <x:v>0</x:v>
      </x:c>
      <x:c r="E240" s="6" t="n">
        <x:f>MIN(C240+D240,'Debt strategy'!$E$9)</x:f>
        <x:v>0</x:v>
      </x:c>
      <x:c r="F240" s="27" t="n">
        <x:f>IF(C240+D240-E240&lt;=0,99,1+SUM(IF(AND(I240+J240-K240&gt;0,OR(I240+J240-K240&lt;C240+D240-E240,AND(I240+J240-K240=C240+D240-E240,1&lt;0))),1,0),IF(AND(O240+P240-Q240&gt;0,OR(O240+P240-Q240&lt;C240+D240-E240,AND(O240+P240-Q240=C240+D240-E240,2&lt;0))),1,0),IF(AND(U240+V240-W240&gt;0,OR(U240+V240-W240&lt;C240+D240-E240,AND(U240+V240-W240=C240+D240-E240,3&lt;0))),1,0),IF(AND(AA240+AB240-AC240&gt;0,OR(AA240+AB240-AC240&lt;C240+D240-E240,AND(AA240+AB240-AC240=C240+D240-E240,4&lt;0))),1,0)))</x:f>
        <x:v>99</x:v>
      </x:c>
      <x:c r="G240" s="6" t="n">
        <x:f>IF('Debt strategy'!$C$16&gt;0,0,MIN(C240+D240-E240,MAX(0,'Debt strategy'!$C$5-SUM(E240,K240,Q240,W240,AC240)-SUM(IF(L240&lt;F240,I240+J240-K240,0),IF(R240&lt;F240,O240+P240-Q240,0),IF(X240&lt;F240,U240+V240-W240,0),IF(AD240&lt;F240,AA240+AB240-AC240,0)))))</x:f>
        <x:v>0</x:v>
      </x:c>
      <x:c r="H240" s="6" t="n">
        <x:f>ROUND(MAX(0,C240+D240-E240-G240),2)</x:f>
        <x:v>0</x:v>
      </x:c>
      <x:c r="I240" s="6" t="n">
        <x:f>N239</x:f>
        <x:v>0</x:v>
      </x:c>
      <x:c r="J240" s="6" t="n">
        <x:f>ROUND(I240*'Debt strategy'!$D$10/12,2)</x:f>
        <x:v>0</x:v>
      </x:c>
      <x:c r="K240" s="6" t="n">
        <x:f>MIN(I240+J240,'Debt strategy'!$E$10)</x:f>
        <x:v>0</x:v>
      </x:c>
      <x:c r="L240" s="27" t="n">
        <x:f>IF(I240+J240-K240&lt;=0,99,1+SUM(IF(AND(C240+D240-E240&gt;0,OR(C240+D240-E240&lt;I240+J240-K240,AND(C240+D240-E240=I240+J240-K240,0&lt;1))),1,0),IF(AND(O240+P240-Q240&gt;0,OR(O240+P240-Q240&lt;I240+J240-K240,AND(O240+P240-Q240=I240+J240-K240,2&lt;1))),1,0),IF(AND(U240+V240-W240&gt;0,OR(U240+V240-W240&lt;I240+J240-K240,AND(U240+V240-W240=I240+J240-K240,3&lt;1))),1,0),IF(AND(AA240+AB240-AC240&gt;0,OR(AA240+AB240-AC240&lt;I240+J240-K240,AND(AA240+AB240-AC240=I240+J240-K240,4&lt;1))),1,0)))</x:f>
        <x:v>99</x:v>
      </x:c>
      <x:c r="M240" s="6" t="n">
        <x:f>IF('Debt strategy'!$C$16&gt;0,0,MIN(I240+J240-K240,MAX(0,'Debt strategy'!$C$5-SUM(E240,K240,Q240,W240,AC240)-SUM(IF(F240&lt;L240,C240+D240-E240,0),IF(R240&lt;L240,O240+P240-Q240,0),IF(X240&lt;L240,U240+V240-W240,0),IF(AD240&lt;L240,AA240+AB240-AC240,0)))))</x:f>
        <x:v>0</x:v>
      </x:c>
      <x:c r="N240" s="6" t="n">
        <x:f>ROUND(MAX(0,I240+J240-K240-M240),2)</x:f>
        <x:v>0</x:v>
      </x:c>
      <x:c r="O240" s="6" t="n">
        <x:f>T239</x:f>
        <x:v>0</x:v>
      </x:c>
      <x:c r="P240" s="6" t="n">
        <x:f>ROUND(O240*'Debt strategy'!$D$11/12,2)</x:f>
        <x:v>0</x:v>
      </x:c>
      <x:c r="Q240" s="6" t="n">
        <x:f>MIN(O240+P240,'Debt strategy'!$E$11)</x:f>
        <x:v>0</x:v>
      </x:c>
      <x:c r="R240" s="27" t="n">
        <x:f>IF(O240+P240-Q240&lt;=0,99,1+SUM(IF(AND(C240+D240-E240&gt;0,OR(C240+D240-E240&lt;O240+P240-Q240,AND(C240+D240-E240=O240+P240-Q240,0&lt;2))),1,0),IF(AND(I240+J240-K240&gt;0,OR(I240+J240-K240&lt;O240+P240-Q240,AND(I240+J240-K240=O240+P240-Q240,1&lt;2))),1,0),IF(AND(U240+V240-W240&gt;0,OR(U240+V240-W240&lt;O240+P240-Q240,AND(U240+V240-W240=O240+P240-Q240,3&lt;2))),1,0),IF(AND(AA240+AB240-AC240&gt;0,OR(AA240+AB240-AC240&lt;O240+P240-Q240,AND(AA240+AB240-AC240=O240+P240-Q240,4&lt;2))),1,0)))</x:f>
        <x:v>99</x:v>
      </x:c>
      <x:c r="S240" s="6" t="n">
        <x:f>IF('Debt strategy'!$C$16&gt;0,0,MIN(O240+P240-Q240,MAX(0,'Debt strategy'!$C$5-SUM(E240,K240,Q240,W240,AC240)-SUM(IF(F240&lt;R240,C240+D240-E240,0),IF(L240&lt;R240,I240+J240-K240,0),IF(X240&lt;R240,U240+V240-W240,0),IF(AD240&lt;R240,AA240+AB240-AC240,0)))))</x:f>
        <x:v>0</x:v>
      </x:c>
      <x:c r="T240" s="6" t="n">
        <x:f>ROUND(MAX(0,O240+P240-Q240-S240),2)</x:f>
        <x:v>0</x:v>
      </x:c>
      <x:c r="U240" s="6" t="n">
        <x:f>Z239</x:f>
        <x:v>0</x:v>
      </x:c>
      <x:c r="V240" s="6" t="n">
        <x:f>ROUND(U240*'Debt strategy'!$D$12/12,2)</x:f>
        <x:v>0</x:v>
      </x:c>
      <x:c r="W240" s="6" t="n">
        <x:f>MIN(U240+V240,'Debt strategy'!$E$12)</x:f>
        <x:v>0</x:v>
      </x:c>
      <x:c r="X240" s="27" t="n">
        <x:f>IF(U240+V240-W240&lt;=0,99,1+SUM(IF(AND(C240+D240-E240&gt;0,OR(C240+D240-E240&lt;U240+V240-W240,AND(C240+D240-E240=U240+V240-W240,0&lt;3))),1,0),IF(AND(I240+J240-K240&gt;0,OR(I240+J240-K240&lt;U240+V240-W240,AND(I240+J240-K240=U240+V240-W240,1&lt;3))),1,0),IF(AND(O240+P240-Q240&gt;0,OR(O240+P240-Q240&lt;U240+V240-W240,AND(O240+P240-Q240=U240+V240-W240,2&lt;3))),1,0),IF(AND(AA240+AB240-AC240&gt;0,OR(AA240+AB240-AC240&lt;U240+V240-W240,AND(AA240+AB240-AC240=U240+V240-W240,4&lt;3))),1,0)))</x:f>
        <x:v>99</x:v>
      </x:c>
      <x:c r="Y240" s="6" t="n">
        <x:f>IF('Debt strategy'!$C$16&gt;0,0,MIN(U240+V240-W240,MAX(0,'Debt strategy'!$C$5-SUM(E240,K240,Q240,W240,AC240)-SUM(IF(F240&lt;X240,C240+D240-E240,0),IF(L240&lt;X240,I240+J240-K240,0),IF(R240&lt;X240,O240+P240-Q240,0),IF(AD240&lt;X240,AA240+AB240-AC240,0)))))</x:f>
        <x:v>0</x:v>
      </x:c>
      <x:c r="Z240" s="6" t="n">
        <x:f>ROUND(MAX(0,U240+V240-W240-Y240),2)</x:f>
        <x:v>0</x:v>
      </x:c>
      <x:c r="AA240" s="6" t="n">
        <x:f>AF239</x:f>
        <x:v>0</x:v>
      </x:c>
      <x:c r="AB240" s="6" t="n">
        <x:f>ROUND(AA240*'Debt strategy'!$D$13/12,2)</x:f>
        <x:v>0</x:v>
      </x:c>
      <x:c r="AC240" s="6" t="n">
        <x:f>MIN(AA240+AB240,'Debt strategy'!$E$13)</x:f>
        <x:v>0</x:v>
      </x:c>
      <x:c r="AD240" s="27" t="n">
        <x:f>IF(AA240+AB240-AC240&lt;=0,99,1+SUM(IF(AND(C240+D240-E240&gt;0,OR(C240+D240-E240&lt;AA240+AB240-AC240,AND(C240+D240-E240=AA240+AB240-AC240,0&lt;4))),1,0),IF(AND(I240+J240-K240&gt;0,OR(I240+J240-K240&lt;AA240+AB240-AC240,AND(I240+J240-K240=AA240+AB240-AC240,1&lt;4))),1,0),IF(AND(O240+P240-Q240&gt;0,OR(O240+P240-Q240&lt;AA240+AB240-AC240,AND(O240+P240-Q240=AA240+AB240-AC240,2&lt;4))),1,0),IF(AND(U240+V240-W240&gt;0,OR(U240+V240-W240&lt;AA240+AB240-AC240,AND(U240+V240-W240=AA240+AB240-AC240,3&lt;4))),1,0)))</x:f>
        <x:v>99</x:v>
      </x:c>
      <x:c r="AE240" s="6" t="n">
        <x:f>IF('Debt strategy'!$C$16&gt;0,0,MIN(AA240+AB240-AC240,MAX(0,'Debt strategy'!$C$5-SUM(E240,K240,Q240,W240,AC240)-SUM(IF(F240&lt;AD240,C240+D240-E240,0),IF(L240&lt;AD240,I240+J240-K240,0),IF(R240&lt;AD240,O240+P240-Q240,0),IF(X240&lt;AD240,U240+V240-W240,0)))))</x:f>
        <x:v>0</x:v>
      </x:c>
      <x:c r="AF240" s="6" t="n">
        <x:f>ROUND(MAX(0,AA240+AB240-AC240-AE240),2)</x:f>
        <x:v>0</x:v>
      </x:c>
      <x:c r="AG240" s="6" t="n">
        <x:f>SUM(H240,N240,T240,Z240,AF240)</x:f>
        <x:v>0</x:v>
      </x:c>
      <x:c r="AH240" s="6" t="n">
        <x:f>SUM(D240,J240,P240,V240,AB240)+AH239</x:f>
        <x:v>1353.9499999999996</x:v>
      </x:c>
      <x:c r="AI240" s="2"/>
    </x:row>
    <x:row r="241" ht="23" customHeight="1">
      <x:c r="B241" s="2" t="n">
        <x:f>233</x:f>
        <x:v>233</x:v>
      </x:c>
      <x:c r="C241" s="6" t="n">
        <x:f>H240</x:f>
        <x:v>0</x:v>
      </x:c>
      <x:c r="D241" s="6" t="n">
        <x:f>ROUND(C241*'Debt strategy'!$D$9/12,2)</x:f>
        <x:v>0</x:v>
      </x:c>
      <x:c r="E241" s="6" t="n">
        <x:f>MIN(C241+D241,'Debt strategy'!$E$9)</x:f>
        <x:v>0</x:v>
      </x:c>
      <x:c r="F241" s="27" t="n">
        <x:f>IF(C241+D241-E241&lt;=0,99,1+SUM(IF(AND(I241+J241-K241&gt;0,OR(I241+J241-K241&lt;C241+D241-E241,AND(I241+J241-K241=C241+D241-E241,1&lt;0))),1,0),IF(AND(O241+P241-Q241&gt;0,OR(O241+P241-Q241&lt;C241+D241-E241,AND(O241+P241-Q241=C241+D241-E241,2&lt;0))),1,0),IF(AND(U241+V241-W241&gt;0,OR(U241+V241-W241&lt;C241+D241-E241,AND(U241+V241-W241=C241+D241-E241,3&lt;0))),1,0),IF(AND(AA241+AB241-AC241&gt;0,OR(AA241+AB241-AC241&lt;C241+D241-E241,AND(AA241+AB241-AC241=C241+D241-E241,4&lt;0))),1,0)))</x:f>
        <x:v>99</x:v>
      </x:c>
      <x:c r="G241" s="6" t="n">
        <x:f>IF('Debt strategy'!$C$16&gt;0,0,MIN(C241+D241-E241,MAX(0,'Debt strategy'!$C$5-SUM(E241,K241,Q241,W241,AC241)-SUM(IF(L241&lt;F241,I241+J241-K241,0),IF(R241&lt;F241,O241+P241-Q241,0),IF(X241&lt;F241,U241+V241-W241,0),IF(AD241&lt;F241,AA241+AB241-AC241,0)))))</x:f>
        <x:v>0</x:v>
      </x:c>
      <x:c r="H241" s="6" t="n">
        <x:f>ROUND(MAX(0,C241+D241-E241-G241),2)</x:f>
        <x:v>0</x:v>
      </x:c>
      <x:c r="I241" s="6" t="n">
        <x:f>N240</x:f>
        <x:v>0</x:v>
      </x:c>
      <x:c r="J241" s="6" t="n">
        <x:f>ROUND(I241*'Debt strategy'!$D$10/12,2)</x:f>
        <x:v>0</x:v>
      </x:c>
      <x:c r="K241" s="6" t="n">
        <x:f>MIN(I241+J241,'Debt strategy'!$E$10)</x:f>
        <x:v>0</x:v>
      </x:c>
      <x:c r="L241" s="27" t="n">
        <x:f>IF(I241+J241-K241&lt;=0,99,1+SUM(IF(AND(C241+D241-E241&gt;0,OR(C241+D241-E241&lt;I241+J241-K241,AND(C241+D241-E241=I241+J241-K241,0&lt;1))),1,0),IF(AND(O241+P241-Q241&gt;0,OR(O241+P241-Q241&lt;I241+J241-K241,AND(O241+P241-Q241=I241+J241-K241,2&lt;1))),1,0),IF(AND(U241+V241-W241&gt;0,OR(U241+V241-W241&lt;I241+J241-K241,AND(U241+V241-W241=I241+J241-K241,3&lt;1))),1,0),IF(AND(AA241+AB241-AC241&gt;0,OR(AA241+AB241-AC241&lt;I241+J241-K241,AND(AA241+AB241-AC241=I241+J241-K241,4&lt;1))),1,0)))</x:f>
        <x:v>99</x:v>
      </x:c>
      <x:c r="M241" s="6" t="n">
        <x:f>IF('Debt strategy'!$C$16&gt;0,0,MIN(I241+J241-K241,MAX(0,'Debt strategy'!$C$5-SUM(E241,K241,Q241,W241,AC241)-SUM(IF(F241&lt;L241,C241+D241-E241,0),IF(R241&lt;L241,O241+P241-Q241,0),IF(X241&lt;L241,U241+V241-W241,0),IF(AD241&lt;L241,AA241+AB241-AC241,0)))))</x:f>
        <x:v>0</x:v>
      </x:c>
      <x:c r="N241" s="6" t="n">
        <x:f>ROUND(MAX(0,I241+J241-K241-M241),2)</x:f>
        <x:v>0</x:v>
      </x:c>
      <x:c r="O241" s="6" t="n">
        <x:f>T240</x:f>
        <x:v>0</x:v>
      </x:c>
      <x:c r="P241" s="6" t="n">
        <x:f>ROUND(O241*'Debt strategy'!$D$11/12,2)</x:f>
        <x:v>0</x:v>
      </x:c>
      <x:c r="Q241" s="6" t="n">
        <x:f>MIN(O241+P241,'Debt strategy'!$E$11)</x:f>
        <x:v>0</x:v>
      </x:c>
      <x:c r="R241" s="27" t="n">
        <x:f>IF(O241+P241-Q241&lt;=0,99,1+SUM(IF(AND(C241+D241-E241&gt;0,OR(C241+D241-E241&lt;O241+P241-Q241,AND(C241+D241-E241=O241+P241-Q241,0&lt;2))),1,0),IF(AND(I241+J241-K241&gt;0,OR(I241+J241-K241&lt;O241+P241-Q241,AND(I241+J241-K241=O241+P241-Q241,1&lt;2))),1,0),IF(AND(U241+V241-W241&gt;0,OR(U241+V241-W241&lt;O241+P241-Q241,AND(U241+V241-W241=O241+P241-Q241,3&lt;2))),1,0),IF(AND(AA241+AB241-AC241&gt;0,OR(AA241+AB241-AC241&lt;O241+P241-Q241,AND(AA241+AB241-AC241=O241+P241-Q241,4&lt;2))),1,0)))</x:f>
        <x:v>99</x:v>
      </x:c>
      <x:c r="S241" s="6" t="n">
        <x:f>IF('Debt strategy'!$C$16&gt;0,0,MIN(O241+P241-Q241,MAX(0,'Debt strategy'!$C$5-SUM(E241,K241,Q241,W241,AC241)-SUM(IF(F241&lt;R241,C241+D241-E241,0),IF(L241&lt;R241,I241+J241-K241,0),IF(X241&lt;R241,U241+V241-W241,0),IF(AD241&lt;R241,AA241+AB241-AC241,0)))))</x:f>
        <x:v>0</x:v>
      </x:c>
      <x:c r="T241" s="6" t="n">
        <x:f>ROUND(MAX(0,O241+P241-Q241-S241),2)</x:f>
        <x:v>0</x:v>
      </x:c>
      <x:c r="U241" s="6" t="n">
        <x:f>Z240</x:f>
        <x:v>0</x:v>
      </x:c>
      <x:c r="V241" s="6" t="n">
        <x:f>ROUND(U241*'Debt strategy'!$D$12/12,2)</x:f>
        <x:v>0</x:v>
      </x:c>
      <x:c r="W241" s="6" t="n">
        <x:f>MIN(U241+V241,'Debt strategy'!$E$12)</x:f>
        <x:v>0</x:v>
      </x:c>
      <x:c r="X241" s="27" t="n">
        <x:f>IF(U241+V241-W241&lt;=0,99,1+SUM(IF(AND(C241+D241-E241&gt;0,OR(C241+D241-E241&lt;U241+V241-W241,AND(C241+D241-E241=U241+V241-W241,0&lt;3))),1,0),IF(AND(I241+J241-K241&gt;0,OR(I241+J241-K241&lt;U241+V241-W241,AND(I241+J241-K241=U241+V241-W241,1&lt;3))),1,0),IF(AND(O241+P241-Q241&gt;0,OR(O241+P241-Q241&lt;U241+V241-W241,AND(O241+P241-Q241=U241+V241-W241,2&lt;3))),1,0),IF(AND(AA241+AB241-AC241&gt;0,OR(AA241+AB241-AC241&lt;U241+V241-W241,AND(AA241+AB241-AC241=U241+V241-W241,4&lt;3))),1,0)))</x:f>
        <x:v>99</x:v>
      </x:c>
      <x:c r="Y241" s="6" t="n">
        <x:f>IF('Debt strategy'!$C$16&gt;0,0,MIN(U241+V241-W241,MAX(0,'Debt strategy'!$C$5-SUM(E241,K241,Q241,W241,AC241)-SUM(IF(F241&lt;X241,C241+D241-E241,0),IF(L241&lt;X241,I241+J241-K241,0),IF(R241&lt;X241,O241+P241-Q241,0),IF(AD241&lt;X241,AA241+AB241-AC241,0)))))</x:f>
        <x:v>0</x:v>
      </x:c>
      <x:c r="Z241" s="6" t="n">
        <x:f>ROUND(MAX(0,U241+V241-W241-Y241),2)</x:f>
        <x:v>0</x:v>
      </x:c>
      <x:c r="AA241" s="6" t="n">
        <x:f>AF240</x:f>
        <x:v>0</x:v>
      </x:c>
      <x:c r="AB241" s="6" t="n">
        <x:f>ROUND(AA241*'Debt strategy'!$D$13/12,2)</x:f>
        <x:v>0</x:v>
      </x:c>
      <x:c r="AC241" s="6" t="n">
        <x:f>MIN(AA241+AB241,'Debt strategy'!$E$13)</x:f>
        <x:v>0</x:v>
      </x:c>
      <x:c r="AD241" s="27" t="n">
        <x:f>IF(AA241+AB241-AC241&lt;=0,99,1+SUM(IF(AND(C241+D241-E241&gt;0,OR(C241+D241-E241&lt;AA241+AB241-AC241,AND(C241+D241-E241=AA241+AB241-AC241,0&lt;4))),1,0),IF(AND(I241+J241-K241&gt;0,OR(I241+J241-K241&lt;AA241+AB241-AC241,AND(I241+J241-K241=AA241+AB241-AC241,1&lt;4))),1,0),IF(AND(O241+P241-Q241&gt;0,OR(O241+P241-Q241&lt;AA241+AB241-AC241,AND(O241+P241-Q241=AA241+AB241-AC241,2&lt;4))),1,0),IF(AND(U241+V241-W241&gt;0,OR(U241+V241-W241&lt;AA241+AB241-AC241,AND(U241+V241-W241=AA241+AB241-AC241,3&lt;4))),1,0)))</x:f>
        <x:v>99</x:v>
      </x:c>
      <x:c r="AE241" s="6" t="n">
        <x:f>IF('Debt strategy'!$C$16&gt;0,0,MIN(AA241+AB241-AC241,MAX(0,'Debt strategy'!$C$5-SUM(E241,K241,Q241,W241,AC241)-SUM(IF(F241&lt;AD241,C241+D241-E241,0),IF(L241&lt;AD241,I241+J241-K241,0),IF(R241&lt;AD241,O241+P241-Q241,0),IF(X241&lt;AD241,U241+V241-W241,0)))))</x:f>
        <x:v>0</x:v>
      </x:c>
      <x:c r="AF241" s="6" t="n">
        <x:f>ROUND(MAX(0,AA241+AB241-AC241-AE241),2)</x:f>
        <x:v>0</x:v>
      </x:c>
      <x:c r="AG241" s="6" t="n">
        <x:f>SUM(H241,N241,T241,Z241,AF241)</x:f>
        <x:v>0</x:v>
      </x:c>
      <x:c r="AH241" s="6" t="n">
        <x:f>SUM(D241,J241,P241,V241,AB241)+AH240</x:f>
        <x:v>1353.9499999999996</x:v>
      </x:c>
      <x:c r="AI241" s="2"/>
    </x:row>
    <x:row r="242" ht="23" customHeight="1">
      <x:c r="B242" s="2" t="n">
        <x:f>234</x:f>
        <x:v>234</x:v>
      </x:c>
      <x:c r="C242" s="6" t="n">
        <x:f>H241</x:f>
        <x:v>0</x:v>
      </x:c>
      <x:c r="D242" s="6" t="n">
        <x:f>ROUND(C242*'Debt strategy'!$D$9/12,2)</x:f>
        <x:v>0</x:v>
      </x:c>
      <x:c r="E242" s="6" t="n">
        <x:f>MIN(C242+D242,'Debt strategy'!$E$9)</x:f>
        <x:v>0</x:v>
      </x:c>
      <x:c r="F242" s="27" t="n">
        <x:f>IF(C242+D242-E242&lt;=0,99,1+SUM(IF(AND(I242+J242-K242&gt;0,OR(I242+J242-K242&lt;C242+D242-E242,AND(I242+J242-K242=C242+D242-E242,1&lt;0))),1,0),IF(AND(O242+P242-Q242&gt;0,OR(O242+P242-Q242&lt;C242+D242-E242,AND(O242+P242-Q242=C242+D242-E242,2&lt;0))),1,0),IF(AND(U242+V242-W242&gt;0,OR(U242+V242-W242&lt;C242+D242-E242,AND(U242+V242-W242=C242+D242-E242,3&lt;0))),1,0),IF(AND(AA242+AB242-AC242&gt;0,OR(AA242+AB242-AC242&lt;C242+D242-E242,AND(AA242+AB242-AC242=C242+D242-E242,4&lt;0))),1,0)))</x:f>
        <x:v>99</x:v>
      </x:c>
      <x:c r="G242" s="6" t="n">
        <x:f>IF('Debt strategy'!$C$16&gt;0,0,MIN(C242+D242-E242,MAX(0,'Debt strategy'!$C$5-SUM(E242,K242,Q242,W242,AC242)-SUM(IF(L242&lt;F242,I242+J242-K242,0),IF(R242&lt;F242,O242+P242-Q242,0),IF(X242&lt;F242,U242+V242-W242,0),IF(AD242&lt;F242,AA242+AB242-AC242,0)))))</x:f>
        <x:v>0</x:v>
      </x:c>
      <x:c r="H242" s="6" t="n">
        <x:f>ROUND(MAX(0,C242+D242-E242-G242),2)</x:f>
        <x:v>0</x:v>
      </x:c>
      <x:c r="I242" s="6" t="n">
        <x:f>N241</x:f>
        <x:v>0</x:v>
      </x:c>
      <x:c r="J242" s="6" t="n">
        <x:f>ROUND(I242*'Debt strategy'!$D$10/12,2)</x:f>
        <x:v>0</x:v>
      </x:c>
      <x:c r="K242" s="6" t="n">
        <x:f>MIN(I242+J242,'Debt strategy'!$E$10)</x:f>
        <x:v>0</x:v>
      </x:c>
      <x:c r="L242" s="27" t="n">
        <x:f>IF(I242+J242-K242&lt;=0,99,1+SUM(IF(AND(C242+D242-E242&gt;0,OR(C242+D242-E242&lt;I242+J242-K242,AND(C242+D242-E242=I242+J242-K242,0&lt;1))),1,0),IF(AND(O242+P242-Q242&gt;0,OR(O242+P242-Q242&lt;I242+J242-K242,AND(O242+P242-Q242=I242+J242-K242,2&lt;1))),1,0),IF(AND(U242+V242-W242&gt;0,OR(U242+V242-W242&lt;I242+J242-K242,AND(U242+V242-W242=I242+J242-K242,3&lt;1))),1,0),IF(AND(AA242+AB242-AC242&gt;0,OR(AA242+AB242-AC242&lt;I242+J242-K242,AND(AA242+AB242-AC242=I242+J242-K242,4&lt;1))),1,0)))</x:f>
        <x:v>99</x:v>
      </x:c>
      <x:c r="M242" s="6" t="n">
        <x:f>IF('Debt strategy'!$C$16&gt;0,0,MIN(I242+J242-K242,MAX(0,'Debt strategy'!$C$5-SUM(E242,K242,Q242,W242,AC242)-SUM(IF(F242&lt;L242,C242+D242-E242,0),IF(R242&lt;L242,O242+P242-Q242,0),IF(X242&lt;L242,U242+V242-W242,0),IF(AD242&lt;L242,AA242+AB242-AC242,0)))))</x:f>
        <x:v>0</x:v>
      </x:c>
      <x:c r="N242" s="6" t="n">
        <x:f>ROUND(MAX(0,I242+J242-K242-M242),2)</x:f>
        <x:v>0</x:v>
      </x:c>
      <x:c r="O242" s="6" t="n">
        <x:f>T241</x:f>
        <x:v>0</x:v>
      </x:c>
      <x:c r="P242" s="6" t="n">
        <x:f>ROUND(O242*'Debt strategy'!$D$11/12,2)</x:f>
        <x:v>0</x:v>
      </x:c>
      <x:c r="Q242" s="6" t="n">
        <x:f>MIN(O242+P242,'Debt strategy'!$E$11)</x:f>
        <x:v>0</x:v>
      </x:c>
      <x:c r="R242" s="27" t="n">
        <x:f>IF(O242+P242-Q242&lt;=0,99,1+SUM(IF(AND(C242+D242-E242&gt;0,OR(C242+D242-E242&lt;O242+P242-Q242,AND(C242+D242-E242=O242+P242-Q242,0&lt;2))),1,0),IF(AND(I242+J242-K242&gt;0,OR(I242+J242-K242&lt;O242+P242-Q242,AND(I242+J242-K242=O242+P242-Q242,1&lt;2))),1,0),IF(AND(U242+V242-W242&gt;0,OR(U242+V242-W242&lt;O242+P242-Q242,AND(U242+V242-W242=O242+P242-Q242,3&lt;2))),1,0),IF(AND(AA242+AB242-AC242&gt;0,OR(AA242+AB242-AC242&lt;O242+P242-Q242,AND(AA242+AB242-AC242=O242+P242-Q242,4&lt;2))),1,0)))</x:f>
        <x:v>99</x:v>
      </x:c>
      <x:c r="S242" s="6" t="n">
        <x:f>IF('Debt strategy'!$C$16&gt;0,0,MIN(O242+P242-Q242,MAX(0,'Debt strategy'!$C$5-SUM(E242,K242,Q242,W242,AC242)-SUM(IF(F242&lt;R242,C242+D242-E242,0),IF(L242&lt;R242,I242+J242-K242,0),IF(X242&lt;R242,U242+V242-W242,0),IF(AD242&lt;R242,AA242+AB242-AC242,0)))))</x:f>
        <x:v>0</x:v>
      </x:c>
      <x:c r="T242" s="6" t="n">
        <x:f>ROUND(MAX(0,O242+P242-Q242-S242),2)</x:f>
        <x:v>0</x:v>
      </x:c>
      <x:c r="U242" s="6" t="n">
        <x:f>Z241</x:f>
        <x:v>0</x:v>
      </x:c>
      <x:c r="V242" s="6" t="n">
        <x:f>ROUND(U242*'Debt strategy'!$D$12/12,2)</x:f>
        <x:v>0</x:v>
      </x:c>
      <x:c r="W242" s="6" t="n">
        <x:f>MIN(U242+V242,'Debt strategy'!$E$12)</x:f>
        <x:v>0</x:v>
      </x:c>
      <x:c r="X242" s="27" t="n">
        <x:f>IF(U242+V242-W242&lt;=0,99,1+SUM(IF(AND(C242+D242-E242&gt;0,OR(C242+D242-E242&lt;U242+V242-W242,AND(C242+D242-E242=U242+V242-W242,0&lt;3))),1,0),IF(AND(I242+J242-K242&gt;0,OR(I242+J242-K242&lt;U242+V242-W242,AND(I242+J242-K242=U242+V242-W242,1&lt;3))),1,0),IF(AND(O242+P242-Q242&gt;0,OR(O242+P242-Q242&lt;U242+V242-W242,AND(O242+P242-Q242=U242+V242-W242,2&lt;3))),1,0),IF(AND(AA242+AB242-AC242&gt;0,OR(AA242+AB242-AC242&lt;U242+V242-W242,AND(AA242+AB242-AC242=U242+V242-W242,4&lt;3))),1,0)))</x:f>
        <x:v>99</x:v>
      </x:c>
      <x:c r="Y242" s="6" t="n">
        <x:f>IF('Debt strategy'!$C$16&gt;0,0,MIN(U242+V242-W242,MAX(0,'Debt strategy'!$C$5-SUM(E242,K242,Q242,W242,AC242)-SUM(IF(F242&lt;X242,C242+D242-E242,0),IF(L242&lt;X242,I242+J242-K242,0),IF(R242&lt;X242,O242+P242-Q242,0),IF(AD242&lt;X242,AA242+AB242-AC242,0)))))</x:f>
        <x:v>0</x:v>
      </x:c>
      <x:c r="Z242" s="6" t="n">
        <x:f>ROUND(MAX(0,U242+V242-W242-Y242),2)</x:f>
        <x:v>0</x:v>
      </x:c>
      <x:c r="AA242" s="6" t="n">
        <x:f>AF241</x:f>
        <x:v>0</x:v>
      </x:c>
      <x:c r="AB242" s="6" t="n">
        <x:f>ROUND(AA242*'Debt strategy'!$D$13/12,2)</x:f>
        <x:v>0</x:v>
      </x:c>
      <x:c r="AC242" s="6" t="n">
        <x:f>MIN(AA242+AB242,'Debt strategy'!$E$13)</x:f>
        <x:v>0</x:v>
      </x:c>
      <x:c r="AD242" s="27" t="n">
        <x:f>IF(AA242+AB242-AC242&lt;=0,99,1+SUM(IF(AND(C242+D242-E242&gt;0,OR(C242+D242-E242&lt;AA242+AB242-AC242,AND(C242+D242-E242=AA242+AB242-AC242,0&lt;4))),1,0),IF(AND(I242+J242-K242&gt;0,OR(I242+J242-K242&lt;AA242+AB242-AC242,AND(I242+J242-K242=AA242+AB242-AC242,1&lt;4))),1,0),IF(AND(O242+P242-Q242&gt;0,OR(O242+P242-Q242&lt;AA242+AB242-AC242,AND(O242+P242-Q242=AA242+AB242-AC242,2&lt;4))),1,0),IF(AND(U242+V242-W242&gt;0,OR(U242+V242-W242&lt;AA242+AB242-AC242,AND(U242+V242-W242=AA242+AB242-AC242,3&lt;4))),1,0)))</x:f>
        <x:v>99</x:v>
      </x:c>
      <x:c r="AE242" s="6" t="n">
        <x:f>IF('Debt strategy'!$C$16&gt;0,0,MIN(AA242+AB242-AC242,MAX(0,'Debt strategy'!$C$5-SUM(E242,K242,Q242,W242,AC242)-SUM(IF(F242&lt;AD242,C242+D242-E242,0),IF(L242&lt;AD242,I242+J242-K242,0),IF(R242&lt;AD242,O242+P242-Q242,0),IF(X242&lt;AD242,U242+V242-W242,0)))))</x:f>
        <x:v>0</x:v>
      </x:c>
      <x:c r="AF242" s="6" t="n">
        <x:f>ROUND(MAX(0,AA242+AB242-AC242-AE242),2)</x:f>
        <x:v>0</x:v>
      </x:c>
      <x:c r="AG242" s="6" t="n">
        <x:f>SUM(H242,N242,T242,Z242,AF242)</x:f>
        <x:v>0</x:v>
      </x:c>
      <x:c r="AH242" s="6" t="n">
        <x:f>SUM(D242,J242,P242,V242,AB242)+AH241</x:f>
        <x:v>1353.9499999999996</x:v>
      </x:c>
      <x:c r="AI242" s="2"/>
    </x:row>
    <x:row r="243" ht="23" customHeight="1">
      <x:c r="B243" s="2" t="n">
        <x:f>235</x:f>
        <x:v>235</x:v>
      </x:c>
      <x:c r="C243" s="6" t="n">
        <x:f>H242</x:f>
        <x:v>0</x:v>
      </x:c>
      <x:c r="D243" s="6" t="n">
        <x:f>ROUND(C243*'Debt strategy'!$D$9/12,2)</x:f>
        <x:v>0</x:v>
      </x:c>
      <x:c r="E243" s="6" t="n">
        <x:f>MIN(C243+D243,'Debt strategy'!$E$9)</x:f>
        <x:v>0</x:v>
      </x:c>
      <x:c r="F243" s="27" t="n">
        <x:f>IF(C243+D243-E243&lt;=0,99,1+SUM(IF(AND(I243+J243-K243&gt;0,OR(I243+J243-K243&lt;C243+D243-E243,AND(I243+J243-K243=C243+D243-E243,1&lt;0))),1,0),IF(AND(O243+P243-Q243&gt;0,OR(O243+P243-Q243&lt;C243+D243-E243,AND(O243+P243-Q243=C243+D243-E243,2&lt;0))),1,0),IF(AND(U243+V243-W243&gt;0,OR(U243+V243-W243&lt;C243+D243-E243,AND(U243+V243-W243=C243+D243-E243,3&lt;0))),1,0),IF(AND(AA243+AB243-AC243&gt;0,OR(AA243+AB243-AC243&lt;C243+D243-E243,AND(AA243+AB243-AC243=C243+D243-E243,4&lt;0))),1,0)))</x:f>
        <x:v>99</x:v>
      </x:c>
      <x:c r="G243" s="6" t="n">
        <x:f>IF('Debt strategy'!$C$16&gt;0,0,MIN(C243+D243-E243,MAX(0,'Debt strategy'!$C$5-SUM(E243,K243,Q243,W243,AC243)-SUM(IF(L243&lt;F243,I243+J243-K243,0),IF(R243&lt;F243,O243+P243-Q243,0),IF(X243&lt;F243,U243+V243-W243,0),IF(AD243&lt;F243,AA243+AB243-AC243,0)))))</x:f>
        <x:v>0</x:v>
      </x:c>
      <x:c r="H243" s="6" t="n">
        <x:f>ROUND(MAX(0,C243+D243-E243-G243),2)</x:f>
        <x:v>0</x:v>
      </x:c>
      <x:c r="I243" s="6" t="n">
        <x:f>N242</x:f>
        <x:v>0</x:v>
      </x:c>
      <x:c r="J243" s="6" t="n">
        <x:f>ROUND(I243*'Debt strategy'!$D$10/12,2)</x:f>
        <x:v>0</x:v>
      </x:c>
      <x:c r="K243" s="6" t="n">
        <x:f>MIN(I243+J243,'Debt strategy'!$E$10)</x:f>
        <x:v>0</x:v>
      </x:c>
      <x:c r="L243" s="27" t="n">
        <x:f>IF(I243+J243-K243&lt;=0,99,1+SUM(IF(AND(C243+D243-E243&gt;0,OR(C243+D243-E243&lt;I243+J243-K243,AND(C243+D243-E243=I243+J243-K243,0&lt;1))),1,0),IF(AND(O243+P243-Q243&gt;0,OR(O243+P243-Q243&lt;I243+J243-K243,AND(O243+P243-Q243=I243+J243-K243,2&lt;1))),1,0),IF(AND(U243+V243-W243&gt;0,OR(U243+V243-W243&lt;I243+J243-K243,AND(U243+V243-W243=I243+J243-K243,3&lt;1))),1,0),IF(AND(AA243+AB243-AC243&gt;0,OR(AA243+AB243-AC243&lt;I243+J243-K243,AND(AA243+AB243-AC243=I243+J243-K243,4&lt;1))),1,0)))</x:f>
        <x:v>99</x:v>
      </x:c>
      <x:c r="M243" s="6" t="n">
        <x:f>IF('Debt strategy'!$C$16&gt;0,0,MIN(I243+J243-K243,MAX(0,'Debt strategy'!$C$5-SUM(E243,K243,Q243,W243,AC243)-SUM(IF(F243&lt;L243,C243+D243-E243,0),IF(R243&lt;L243,O243+P243-Q243,0),IF(X243&lt;L243,U243+V243-W243,0),IF(AD243&lt;L243,AA243+AB243-AC243,0)))))</x:f>
        <x:v>0</x:v>
      </x:c>
      <x:c r="N243" s="6" t="n">
        <x:f>ROUND(MAX(0,I243+J243-K243-M243),2)</x:f>
        <x:v>0</x:v>
      </x:c>
      <x:c r="O243" s="6" t="n">
        <x:f>T242</x:f>
        <x:v>0</x:v>
      </x:c>
      <x:c r="P243" s="6" t="n">
        <x:f>ROUND(O243*'Debt strategy'!$D$11/12,2)</x:f>
        <x:v>0</x:v>
      </x:c>
      <x:c r="Q243" s="6" t="n">
        <x:f>MIN(O243+P243,'Debt strategy'!$E$11)</x:f>
        <x:v>0</x:v>
      </x:c>
      <x:c r="R243" s="27" t="n">
        <x:f>IF(O243+P243-Q243&lt;=0,99,1+SUM(IF(AND(C243+D243-E243&gt;0,OR(C243+D243-E243&lt;O243+P243-Q243,AND(C243+D243-E243=O243+P243-Q243,0&lt;2))),1,0),IF(AND(I243+J243-K243&gt;0,OR(I243+J243-K243&lt;O243+P243-Q243,AND(I243+J243-K243=O243+P243-Q243,1&lt;2))),1,0),IF(AND(U243+V243-W243&gt;0,OR(U243+V243-W243&lt;O243+P243-Q243,AND(U243+V243-W243=O243+P243-Q243,3&lt;2))),1,0),IF(AND(AA243+AB243-AC243&gt;0,OR(AA243+AB243-AC243&lt;O243+P243-Q243,AND(AA243+AB243-AC243=O243+P243-Q243,4&lt;2))),1,0)))</x:f>
        <x:v>99</x:v>
      </x:c>
      <x:c r="S243" s="6" t="n">
        <x:f>IF('Debt strategy'!$C$16&gt;0,0,MIN(O243+P243-Q243,MAX(0,'Debt strategy'!$C$5-SUM(E243,K243,Q243,W243,AC243)-SUM(IF(F243&lt;R243,C243+D243-E243,0),IF(L243&lt;R243,I243+J243-K243,0),IF(X243&lt;R243,U243+V243-W243,0),IF(AD243&lt;R243,AA243+AB243-AC243,0)))))</x:f>
        <x:v>0</x:v>
      </x:c>
      <x:c r="T243" s="6" t="n">
        <x:f>ROUND(MAX(0,O243+P243-Q243-S243),2)</x:f>
        <x:v>0</x:v>
      </x:c>
      <x:c r="U243" s="6" t="n">
        <x:f>Z242</x:f>
        <x:v>0</x:v>
      </x:c>
      <x:c r="V243" s="6" t="n">
        <x:f>ROUND(U243*'Debt strategy'!$D$12/12,2)</x:f>
        <x:v>0</x:v>
      </x:c>
      <x:c r="W243" s="6" t="n">
        <x:f>MIN(U243+V243,'Debt strategy'!$E$12)</x:f>
        <x:v>0</x:v>
      </x:c>
      <x:c r="X243" s="27" t="n">
        <x:f>IF(U243+V243-W243&lt;=0,99,1+SUM(IF(AND(C243+D243-E243&gt;0,OR(C243+D243-E243&lt;U243+V243-W243,AND(C243+D243-E243=U243+V243-W243,0&lt;3))),1,0),IF(AND(I243+J243-K243&gt;0,OR(I243+J243-K243&lt;U243+V243-W243,AND(I243+J243-K243=U243+V243-W243,1&lt;3))),1,0),IF(AND(O243+P243-Q243&gt;0,OR(O243+P243-Q243&lt;U243+V243-W243,AND(O243+P243-Q243=U243+V243-W243,2&lt;3))),1,0),IF(AND(AA243+AB243-AC243&gt;0,OR(AA243+AB243-AC243&lt;U243+V243-W243,AND(AA243+AB243-AC243=U243+V243-W243,4&lt;3))),1,0)))</x:f>
        <x:v>99</x:v>
      </x:c>
      <x:c r="Y243" s="6" t="n">
        <x:f>IF('Debt strategy'!$C$16&gt;0,0,MIN(U243+V243-W243,MAX(0,'Debt strategy'!$C$5-SUM(E243,K243,Q243,W243,AC243)-SUM(IF(F243&lt;X243,C243+D243-E243,0),IF(L243&lt;X243,I243+J243-K243,0),IF(R243&lt;X243,O243+P243-Q243,0),IF(AD243&lt;X243,AA243+AB243-AC243,0)))))</x:f>
        <x:v>0</x:v>
      </x:c>
      <x:c r="Z243" s="6" t="n">
        <x:f>ROUND(MAX(0,U243+V243-W243-Y243),2)</x:f>
        <x:v>0</x:v>
      </x:c>
      <x:c r="AA243" s="6" t="n">
        <x:f>AF242</x:f>
        <x:v>0</x:v>
      </x:c>
      <x:c r="AB243" s="6" t="n">
        <x:f>ROUND(AA243*'Debt strategy'!$D$13/12,2)</x:f>
        <x:v>0</x:v>
      </x:c>
      <x:c r="AC243" s="6" t="n">
        <x:f>MIN(AA243+AB243,'Debt strategy'!$E$13)</x:f>
        <x:v>0</x:v>
      </x:c>
      <x:c r="AD243" s="27" t="n">
        <x:f>IF(AA243+AB243-AC243&lt;=0,99,1+SUM(IF(AND(C243+D243-E243&gt;0,OR(C243+D243-E243&lt;AA243+AB243-AC243,AND(C243+D243-E243=AA243+AB243-AC243,0&lt;4))),1,0),IF(AND(I243+J243-K243&gt;0,OR(I243+J243-K243&lt;AA243+AB243-AC243,AND(I243+J243-K243=AA243+AB243-AC243,1&lt;4))),1,0),IF(AND(O243+P243-Q243&gt;0,OR(O243+P243-Q243&lt;AA243+AB243-AC243,AND(O243+P243-Q243=AA243+AB243-AC243,2&lt;4))),1,0),IF(AND(U243+V243-W243&gt;0,OR(U243+V243-W243&lt;AA243+AB243-AC243,AND(U243+V243-W243=AA243+AB243-AC243,3&lt;4))),1,0)))</x:f>
        <x:v>99</x:v>
      </x:c>
      <x:c r="AE243" s="6" t="n">
        <x:f>IF('Debt strategy'!$C$16&gt;0,0,MIN(AA243+AB243-AC243,MAX(0,'Debt strategy'!$C$5-SUM(E243,K243,Q243,W243,AC243)-SUM(IF(F243&lt;AD243,C243+D243-E243,0),IF(L243&lt;AD243,I243+J243-K243,0),IF(R243&lt;AD243,O243+P243-Q243,0),IF(X243&lt;AD243,U243+V243-W243,0)))))</x:f>
        <x:v>0</x:v>
      </x:c>
      <x:c r="AF243" s="6" t="n">
        <x:f>ROUND(MAX(0,AA243+AB243-AC243-AE243),2)</x:f>
        <x:v>0</x:v>
      </x:c>
      <x:c r="AG243" s="6" t="n">
        <x:f>SUM(H243,N243,T243,Z243,AF243)</x:f>
        <x:v>0</x:v>
      </x:c>
      <x:c r="AH243" s="6" t="n">
        <x:f>SUM(D243,J243,P243,V243,AB243)+AH242</x:f>
        <x:v>1353.9499999999996</x:v>
      </x:c>
      <x:c r="AI243" s="2"/>
    </x:row>
    <x:row r="244" ht="23" customHeight="1">
      <x:c r="B244" s="2" t="n">
        <x:f>236</x:f>
        <x:v>236</x:v>
      </x:c>
      <x:c r="C244" s="6" t="n">
        <x:f>H243</x:f>
        <x:v>0</x:v>
      </x:c>
      <x:c r="D244" s="6" t="n">
        <x:f>ROUND(C244*'Debt strategy'!$D$9/12,2)</x:f>
        <x:v>0</x:v>
      </x:c>
      <x:c r="E244" s="6" t="n">
        <x:f>MIN(C244+D244,'Debt strategy'!$E$9)</x:f>
        <x:v>0</x:v>
      </x:c>
      <x:c r="F244" s="27" t="n">
        <x:f>IF(C244+D244-E244&lt;=0,99,1+SUM(IF(AND(I244+J244-K244&gt;0,OR(I244+J244-K244&lt;C244+D244-E244,AND(I244+J244-K244=C244+D244-E244,1&lt;0))),1,0),IF(AND(O244+P244-Q244&gt;0,OR(O244+P244-Q244&lt;C244+D244-E244,AND(O244+P244-Q244=C244+D244-E244,2&lt;0))),1,0),IF(AND(U244+V244-W244&gt;0,OR(U244+V244-W244&lt;C244+D244-E244,AND(U244+V244-W244=C244+D244-E244,3&lt;0))),1,0),IF(AND(AA244+AB244-AC244&gt;0,OR(AA244+AB244-AC244&lt;C244+D244-E244,AND(AA244+AB244-AC244=C244+D244-E244,4&lt;0))),1,0)))</x:f>
        <x:v>99</x:v>
      </x:c>
      <x:c r="G244" s="6" t="n">
        <x:f>IF('Debt strategy'!$C$16&gt;0,0,MIN(C244+D244-E244,MAX(0,'Debt strategy'!$C$5-SUM(E244,K244,Q244,W244,AC244)-SUM(IF(L244&lt;F244,I244+J244-K244,0),IF(R244&lt;F244,O244+P244-Q244,0),IF(X244&lt;F244,U244+V244-W244,0),IF(AD244&lt;F244,AA244+AB244-AC244,0)))))</x:f>
        <x:v>0</x:v>
      </x:c>
      <x:c r="H244" s="6" t="n">
        <x:f>ROUND(MAX(0,C244+D244-E244-G244),2)</x:f>
        <x:v>0</x:v>
      </x:c>
      <x:c r="I244" s="6" t="n">
        <x:f>N243</x:f>
        <x:v>0</x:v>
      </x:c>
      <x:c r="J244" s="6" t="n">
        <x:f>ROUND(I244*'Debt strategy'!$D$10/12,2)</x:f>
        <x:v>0</x:v>
      </x:c>
      <x:c r="K244" s="6" t="n">
        <x:f>MIN(I244+J244,'Debt strategy'!$E$10)</x:f>
        <x:v>0</x:v>
      </x:c>
      <x:c r="L244" s="27" t="n">
        <x:f>IF(I244+J244-K244&lt;=0,99,1+SUM(IF(AND(C244+D244-E244&gt;0,OR(C244+D244-E244&lt;I244+J244-K244,AND(C244+D244-E244=I244+J244-K244,0&lt;1))),1,0),IF(AND(O244+P244-Q244&gt;0,OR(O244+P244-Q244&lt;I244+J244-K244,AND(O244+P244-Q244=I244+J244-K244,2&lt;1))),1,0),IF(AND(U244+V244-W244&gt;0,OR(U244+V244-W244&lt;I244+J244-K244,AND(U244+V244-W244=I244+J244-K244,3&lt;1))),1,0),IF(AND(AA244+AB244-AC244&gt;0,OR(AA244+AB244-AC244&lt;I244+J244-K244,AND(AA244+AB244-AC244=I244+J244-K244,4&lt;1))),1,0)))</x:f>
        <x:v>99</x:v>
      </x:c>
      <x:c r="M244" s="6" t="n">
        <x:f>IF('Debt strategy'!$C$16&gt;0,0,MIN(I244+J244-K244,MAX(0,'Debt strategy'!$C$5-SUM(E244,K244,Q244,W244,AC244)-SUM(IF(F244&lt;L244,C244+D244-E244,0),IF(R244&lt;L244,O244+P244-Q244,0),IF(X244&lt;L244,U244+V244-W244,0),IF(AD244&lt;L244,AA244+AB244-AC244,0)))))</x:f>
        <x:v>0</x:v>
      </x:c>
      <x:c r="N244" s="6" t="n">
        <x:f>ROUND(MAX(0,I244+J244-K244-M244),2)</x:f>
        <x:v>0</x:v>
      </x:c>
      <x:c r="O244" s="6" t="n">
        <x:f>T243</x:f>
        <x:v>0</x:v>
      </x:c>
      <x:c r="P244" s="6" t="n">
        <x:f>ROUND(O244*'Debt strategy'!$D$11/12,2)</x:f>
        <x:v>0</x:v>
      </x:c>
      <x:c r="Q244" s="6" t="n">
        <x:f>MIN(O244+P244,'Debt strategy'!$E$11)</x:f>
        <x:v>0</x:v>
      </x:c>
      <x:c r="R244" s="27" t="n">
        <x:f>IF(O244+P244-Q244&lt;=0,99,1+SUM(IF(AND(C244+D244-E244&gt;0,OR(C244+D244-E244&lt;O244+P244-Q244,AND(C244+D244-E244=O244+P244-Q244,0&lt;2))),1,0),IF(AND(I244+J244-K244&gt;0,OR(I244+J244-K244&lt;O244+P244-Q244,AND(I244+J244-K244=O244+P244-Q244,1&lt;2))),1,0),IF(AND(U244+V244-W244&gt;0,OR(U244+V244-W244&lt;O244+P244-Q244,AND(U244+V244-W244=O244+P244-Q244,3&lt;2))),1,0),IF(AND(AA244+AB244-AC244&gt;0,OR(AA244+AB244-AC244&lt;O244+P244-Q244,AND(AA244+AB244-AC244=O244+P244-Q244,4&lt;2))),1,0)))</x:f>
        <x:v>99</x:v>
      </x:c>
      <x:c r="S244" s="6" t="n">
        <x:f>IF('Debt strategy'!$C$16&gt;0,0,MIN(O244+P244-Q244,MAX(0,'Debt strategy'!$C$5-SUM(E244,K244,Q244,W244,AC244)-SUM(IF(F244&lt;R244,C244+D244-E244,0),IF(L244&lt;R244,I244+J244-K244,0),IF(X244&lt;R244,U244+V244-W244,0),IF(AD244&lt;R244,AA244+AB244-AC244,0)))))</x:f>
        <x:v>0</x:v>
      </x:c>
      <x:c r="T244" s="6" t="n">
        <x:f>ROUND(MAX(0,O244+P244-Q244-S244),2)</x:f>
        <x:v>0</x:v>
      </x:c>
      <x:c r="U244" s="6" t="n">
        <x:f>Z243</x:f>
        <x:v>0</x:v>
      </x:c>
      <x:c r="V244" s="6" t="n">
        <x:f>ROUND(U244*'Debt strategy'!$D$12/12,2)</x:f>
        <x:v>0</x:v>
      </x:c>
      <x:c r="W244" s="6" t="n">
        <x:f>MIN(U244+V244,'Debt strategy'!$E$12)</x:f>
        <x:v>0</x:v>
      </x:c>
      <x:c r="X244" s="27" t="n">
        <x:f>IF(U244+V244-W244&lt;=0,99,1+SUM(IF(AND(C244+D244-E244&gt;0,OR(C244+D244-E244&lt;U244+V244-W244,AND(C244+D244-E244=U244+V244-W244,0&lt;3))),1,0),IF(AND(I244+J244-K244&gt;0,OR(I244+J244-K244&lt;U244+V244-W244,AND(I244+J244-K244=U244+V244-W244,1&lt;3))),1,0),IF(AND(O244+P244-Q244&gt;0,OR(O244+P244-Q244&lt;U244+V244-W244,AND(O244+P244-Q244=U244+V244-W244,2&lt;3))),1,0),IF(AND(AA244+AB244-AC244&gt;0,OR(AA244+AB244-AC244&lt;U244+V244-W244,AND(AA244+AB244-AC244=U244+V244-W244,4&lt;3))),1,0)))</x:f>
        <x:v>99</x:v>
      </x:c>
      <x:c r="Y244" s="6" t="n">
        <x:f>IF('Debt strategy'!$C$16&gt;0,0,MIN(U244+V244-W244,MAX(0,'Debt strategy'!$C$5-SUM(E244,K244,Q244,W244,AC244)-SUM(IF(F244&lt;X244,C244+D244-E244,0),IF(L244&lt;X244,I244+J244-K244,0),IF(R244&lt;X244,O244+P244-Q244,0),IF(AD244&lt;X244,AA244+AB244-AC244,0)))))</x:f>
        <x:v>0</x:v>
      </x:c>
      <x:c r="Z244" s="6" t="n">
        <x:f>ROUND(MAX(0,U244+V244-W244-Y244),2)</x:f>
        <x:v>0</x:v>
      </x:c>
      <x:c r="AA244" s="6" t="n">
        <x:f>AF243</x:f>
        <x:v>0</x:v>
      </x:c>
      <x:c r="AB244" s="6" t="n">
        <x:f>ROUND(AA244*'Debt strategy'!$D$13/12,2)</x:f>
        <x:v>0</x:v>
      </x:c>
      <x:c r="AC244" s="6" t="n">
        <x:f>MIN(AA244+AB244,'Debt strategy'!$E$13)</x:f>
        <x:v>0</x:v>
      </x:c>
      <x:c r="AD244" s="27" t="n">
        <x:f>IF(AA244+AB244-AC244&lt;=0,99,1+SUM(IF(AND(C244+D244-E244&gt;0,OR(C244+D244-E244&lt;AA244+AB244-AC244,AND(C244+D244-E244=AA244+AB244-AC244,0&lt;4))),1,0),IF(AND(I244+J244-K244&gt;0,OR(I244+J244-K244&lt;AA244+AB244-AC244,AND(I244+J244-K244=AA244+AB244-AC244,1&lt;4))),1,0),IF(AND(O244+P244-Q244&gt;0,OR(O244+P244-Q244&lt;AA244+AB244-AC244,AND(O244+P244-Q244=AA244+AB244-AC244,2&lt;4))),1,0),IF(AND(U244+V244-W244&gt;0,OR(U244+V244-W244&lt;AA244+AB244-AC244,AND(U244+V244-W244=AA244+AB244-AC244,3&lt;4))),1,0)))</x:f>
        <x:v>99</x:v>
      </x:c>
      <x:c r="AE244" s="6" t="n">
        <x:f>IF('Debt strategy'!$C$16&gt;0,0,MIN(AA244+AB244-AC244,MAX(0,'Debt strategy'!$C$5-SUM(E244,K244,Q244,W244,AC244)-SUM(IF(F244&lt;AD244,C244+D244-E244,0),IF(L244&lt;AD244,I244+J244-K244,0),IF(R244&lt;AD244,O244+P244-Q244,0),IF(X244&lt;AD244,U244+V244-W244,0)))))</x:f>
        <x:v>0</x:v>
      </x:c>
      <x:c r="AF244" s="6" t="n">
        <x:f>ROUND(MAX(0,AA244+AB244-AC244-AE244),2)</x:f>
        <x:v>0</x:v>
      </x:c>
      <x:c r="AG244" s="6" t="n">
        <x:f>SUM(H244,N244,T244,Z244,AF244)</x:f>
        <x:v>0</x:v>
      </x:c>
      <x:c r="AH244" s="6" t="n">
        <x:f>SUM(D244,J244,P244,V244,AB244)+AH243</x:f>
        <x:v>1353.9499999999996</x:v>
      </x:c>
      <x:c r="AI244" s="2"/>
    </x:row>
    <x:row r="245" ht="23" customHeight="1">
      <x:c r="B245" s="2" t="n">
        <x:f>237</x:f>
        <x:v>237</x:v>
      </x:c>
      <x:c r="C245" s="6" t="n">
        <x:f>H244</x:f>
        <x:v>0</x:v>
      </x:c>
      <x:c r="D245" s="6" t="n">
        <x:f>ROUND(C245*'Debt strategy'!$D$9/12,2)</x:f>
        <x:v>0</x:v>
      </x:c>
      <x:c r="E245" s="6" t="n">
        <x:f>MIN(C245+D245,'Debt strategy'!$E$9)</x:f>
        <x:v>0</x:v>
      </x:c>
      <x:c r="F245" s="27" t="n">
        <x:f>IF(C245+D245-E245&lt;=0,99,1+SUM(IF(AND(I245+J245-K245&gt;0,OR(I245+J245-K245&lt;C245+D245-E245,AND(I245+J245-K245=C245+D245-E245,1&lt;0))),1,0),IF(AND(O245+P245-Q245&gt;0,OR(O245+P245-Q245&lt;C245+D245-E245,AND(O245+P245-Q245=C245+D245-E245,2&lt;0))),1,0),IF(AND(U245+V245-W245&gt;0,OR(U245+V245-W245&lt;C245+D245-E245,AND(U245+V245-W245=C245+D245-E245,3&lt;0))),1,0),IF(AND(AA245+AB245-AC245&gt;0,OR(AA245+AB245-AC245&lt;C245+D245-E245,AND(AA245+AB245-AC245=C245+D245-E245,4&lt;0))),1,0)))</x:f>
        <x:v>99</x:v>
      </x:c>
      <x:c r="G245" s="6" t="n">
        <x:f>IF('Debt strategy'!$C$16&gt;0,0,MIN(C245+D245-E245,MAX(0,'Debt strategy'!$C$5-SUM(E245,K245,Q245,W245,AC245)-SUM(IF(L245&lt;F245,I245+J245-K245,0),IF(R245&lt;F245,O245+P245-Q245,0),IF(X245&lt;F245,U245+V245-W245,0),IF(AD245&lt;F245,AA245+AB245-AC245,0)))))</x:f>
        <x:v>0</x:v>
      </x:c>
      <x:c r="H245" s="6" t="n">
        <x:f>ROUND(MAX(0,C245+D245-E245-G245),2)</x:f>
        <x:v>0</x:v>
      </x:c>
      <x:c r="I245" s="6" t="n">
        <x:f>N244</x:f>
        <x:v>0</x:v>
      </x:c>
      <x:c r="J245" s="6" t="n">
        <x:f>ROUND(I245*'Debt strategy'!$D$10/12,2)</x:f>
        <x:v>0</x:v>
      </x:c>
      <x:c r="K245" s="6" t="n">
        <x:f>MIN(I245+J245,'Debt strategy'!$E$10)</x:f>
        <x:v>0</x:v>
      </x:c>
      <x:c r="L245" s="27" t="n">
        <x:f>IF(I245+J245-K245&lt;=0,99,1+SUM(IF(AND(C245+D245-E245&gt;0,OR(C245+D245-E245&lt;I245+J245-K245,AND(C245+D245-E245=I245+J245-K245,0&lt;1))),1,0),IF(AND(O245+P245-Q245&gt;0,OR(O245+P245-Q245&lt;I245+J245-K245,AND(O245+P245-Q245=I245+J245-K245,2&lt;1))),1,0),IF(AND(U245+V245-W245&gt;0,OR(U245+V245-W245&lt;I245+J245-K245,AND(U245+V245-W245=I245+J245-K245,3&lt;1))),1,0),IF(AND(AA245+AB245-AC245&gt;0,OR(AA245+AB245-AC245&lt;I245+J245-K245,AND(AA245+AB245-AC245=I245+J245-K245,4&lt;1))),1,0)))</x:f>
        <x:v>99</x:v>
      </x:c>
      <x:c r="M245" s="6" t="n">
        <x:f>IF('Debt strategy'!$C$16&gt;0,0,MIN(I245+J245-K245,MAX(0,'Debt strategy'!$C$5-SUM(E245,K245,Q245,W245,AC245)-SUM(IF(F245&lt;L245,C245+D245-E245,0),IF(R245&lt;L245,O245+P245-Q245,0),IF(X245&lt;L245,U245+V245-W245,0),IF(AD245&lt;L245,AA245+AB245-AC245,0)))))</x:f>
        <x:v>0</x:v>
      </x:c>
      <x:c r="N245" s="6" t="n">
        <x:f>ROUND(MAX(0,I245+J245-K245-M245),2)</x:f>
        <x:v>0</x:v>
      </x:c>
      <x:c r="O245" s="6" t="n">
        <x:f>T244</x:f>
        <x:v>0</x:v>
      </x:c>
      <x:c r="P245" s="6" t="n">
        <x:f>ROUND(O245*'Debt strategy'!$D$11/12,2)</x:f>
        <x:v>0</x:v>
      </x:c>
      <x:c r="Q245" s="6" t="n">
        <x:f>MIN(O245+P245,'Debt strategy'!$E$11)</x:f>
        <x:v>0</x:v>
      </x:c>
      <x:c r="R245" s="27" t="n">
        <x:f>IF(O245+P245-Q245&lt;=0,99,1+SUM(IF(AND(C245+D245-E245&gt;0,OR(C245+D245-E245&lt;O245+P245-Q245,AND(C245+D245-E245=O245+P245-Q245,0&lt;2))),1,0),IF(AND(I245+J245-K245&gt;0,OR(I245+J245-K245&lt;O245+P245-Q245,AND(I245+J245-K245=O245+P245-Q245,1&lt;2))),1,0),IF(AND(U245+V245-W245&gt;0,OR(U245+V245-W245&lt;O245+P245-Q245,AND(U245+V245-W245=O245+P245-Q245,3&lt;2))),1,0),IF(AND(AA245+AB245-AC245&gt;0,OR(AA245+AB245-AC245&lt;O245+P245-Q245,AND(AA245+AB245-AC245=O245+P245-Q245,4&lt;2))),1,0)))</x:f>
        <x:v>99</x:v>
      </x:c>
      <x:c r="S245" s="6" t="n">
        <x:f>IF('Debt strategy'!$C$16&gt;0,0,MIN(O245+P245-Q245,MAX(0,'Debt strategy'!$C$5-SUM(E245,K245,Q245,W245,AC245)-SUM(IF(F245&lt;R245,C245+D245-E245,0),IF(L245&lt;R245,I245+J245-K245,0),IF(X245&lt;R245,U245+V245-W245,0),IF(AD245&lt;R245,AA245+AB245-AC245,0)))))</x:f>
        <x:v>0</x:v>
      </x:c>
      <x:c r="T245" s="6" t="n">
        <x:f>ROUND(MAX(0,O245+P245-Q245-S245),2)</x:f>
        <x:v>0</x:v>
      </x:c>
      <x:c r="U245" s="6" t="n">
        <x:f>Z244</x:f>
        <x:v>0</x:v>
      </x:c>
      <x:c r="V245" s="6" t="n">
        <x:f>ROUND(U245*'Debt strategy'!$D$12/12,2)</x:f>
        <x:v>0</x:v>
      </x:c>
      <x:c r="W245" s="6" t="n">
        <x:f>MIN(U245+V245,'Debt strategy'!$E$12)</x:f>
        <x:v>0</x:v>
      </x:c>
      <x:c r="X245" s="27" t="n">
        <x:f>IF(U245+V245-W245&lt;=0,99,1+SUM(IF(AND(C245+D245-E245&gt;0,OR(C245+D245-E245&lt;U245+V245-W245,AND(C245+D245-E245=U245+V245-W245,0&lt;3))),1,0),IF(AND(I245+J245-K245&gt;0,OR(I245+J245-K245&lt;U245+V245-W245,AND(I245+J245-K245=U245+V245-W245,1&lt;3))),1,0),IF(AND(O245+P245-Q245&gt;0,OR(O245+P245-Q245&lt;U245+V245-W245,AND(O245+P245-Q245=U245+V245-W245,2&lt;3))),1,0),IF(AND(AA245+AB245-AC245&gt;0,OR(AA245+AB245-AC245&lt;U245+V245-W245,AND(AA245+AB245-AC245=U245+V245-W245,4&lt;3))),1,0)))</x:f>
        <x:v>99</x:v>
      </x:c>
      <x:c r="Y245" s="6" t="n">
        <x:f>IF('Debt strategy'!$C$16&gt;0,0,MIN(U245+V245-W245,MAX(0,'Debt strategy'!$C$5-SUM(E245,K245,Q245,W245,AC245)-SUM(IF(F245&lt;X245,C245+D245-E245,0),IF(L245&lt;X245,I245+J245-K245,0),IF(R245&lt;X245,O245+P245-Q245,0),IF(AD245&lt;X245,AA245+AB245-AC245,0)))))</x:f>
        <x:v>0</x:v>
      </x:c>
      <x:c r="Z245" s="6" t="n">
        <x:f>ROUND(MAX(0,U245+V245-W245-Y245),2)</x:f>
        <x:v>0</x:v>
      </x:c>
      <x:c r="AA245" s="6" t="n">
        <x:f>AF244</x:f>
        <x:v>0</x:v>
      </x:c>
      <x:c r="AB245" s="6" t="n">
        <x:f>ROUND(AA245*'Debt strategy'!$D$13/12,2)</x:f>
        <x:v>0</x:v>
      </x:c>
      <x:c r="AC245" s="6" t="n">
        <x:f>MIN(AA245+AB245,'Debt strategy'!$E$13)</x:f>
        <x:v>0</x:v>
      </x:c>
      <x:c r="AD245" s="27" t="n">
        <x:f>IF(AA245+AB245-AC245&lt;=0,99,1+SUM(IF(AND(C245+D245-E245&gt;0,OR(C245+D245-E245&lt;AA245+AB245-AC245,AND(C245+D245-E245=AA245+AB245-AC245,0&lt;4))),1,0),IF(AND(I245+J245-K245&gt;0,OR(I245+J245-K245&lt;AA245+AB245-AC245,AND(I245+J245-K245=AA245+AB245-AC245,1&lt;4))),1,0),IF(AND(O245+P245-Q245&gt;0,OR(O245+P245-Q245&lt;AA245+AB245-AC245,AND(O245+P245-Q245=AA245+AB245-AC245,2&lt;4))),1,0),IF(AND(U245+V245-W245&gt;0,OR(U245+V245-W245&lt;AA245+AB245-AC245,AND(U245+V245-W245=AA245+AB245-AC245,3&lt;4))),1,0)))</x:f>
        <x:v>99</x:v>
      </x:c>
      <x:c r="AE245" s="6" t="n">
        <x:f>IF('Debt strategy'!$C$16&gt;0,0,MIN(AA245+AB245-AC245,MAX(0,'Debt strategy'!$C$5-SUM(E245,K245,Q245,W245,AC245)-SUM(IF(F245&lt;AD245,C245+D245-E245,0),IF(L245&lt;AD245,I245+J245-K245,0),IF(R245&lt;AD245,O245+P245-Q245,0),IF(X245&lt;AD245,U245+V245-W245,0)))))</x:f>
        <x:v>0</x:v>
      </x:c>
      <x:c r="AF245" s="6" t="n">
        <x:f>ROUND(MAX(0,AA245+AB245-AC245-AE245),2)</x:f>
        <x:v>0</x:v>
      </x:c>
      <x:c r="AG245" s="6" t="n">
        <x:f>SUM(H245,N245,T245,Z245,AF245)</x:f>
        <x:v>0</x:v>
      </x:c>
      <x:c r="AH245" s="6" t="n">
        <x:f>SUM(D245,J245,P245,V245,AB245)+AH244</x:f>
        <x:v>1353.9499999999996</x:v>
      </x:c>
      <x:c r="AI245" s="2"/>
    </x:row>
    <x:row r="246" ht="23" customHeight="1">
      <x:c r="B246" s="2" t="n">
        <x:f>238</x:f>
        <x:v>238</x:v>
      </x:c>
      <x:c r="C246" s="6" t="n">
        <x:f>H245</x:f>
        <x:v>0</x:v>
      </x:c>
      <x:c r="D246" s="6" t="n">
        <x:f>ROUND(C246*'Debt strategy'!$D$9/12,2)</x:f>
        <x:v>0</x:v>
      </x:c>
      <x:c r="E246" s="6" t="n">
        <x:f>MIN(C246+D246,'Debt strategy'!$E$9)</x:f>
        <x:v>0</x:v>
      </x:c>
      <x:c r="F246" s="27" t="n">
        <x:f>IF(C246+D246-E246&lt;=0,99,1+SUM(IF(AND(I246+J246-K246&gt;0,OR(I246+J246-K246&lt;C246+D246-E246,AND(I246+J246-K246=C246+D246-E246,1&lt;0))),1,0),IF(AND(O246+P246-Q246&gt;0,OR(O246+P246-Q246&lt;C246+D246-E246,AND(O246+P246-Q246=C246+D246-E246,2&lt;0))),1,0),IF(AND(U246+V246-W246&gt;0,OR(U246+V246-W246&lt;C246+D246-E246,AND(U246+V246-W246=C246+D246-E246,3&lt;0))),1,0),IF(AND(AA246+AB246-AC246&gt;0,OR(AA246+AB246-AC246&lt;C246+D246-E246,AND(AA246+AB246-AC246=C246+D246-E246,4&lt;0))),1,0)))</x:f>
        <x:v>99</x:v>
      </x:c>
      <x:c r="G246" s="6" t="n">
        <x:f>IF('Debt strategy'!$C$16&gt;0,0,MIN(C246+D246-E246,MAX(0,'Debt strategy'!$C$5-SUM(E246,K246,Q246,W246,AC246)-SUM(IF(L246&lt;F246,I246+J246-K246,0),IF(R246&lt;F246,O246+P246-Q246,0),IF(X246&lt;F246,U246+V246-W246,0),IF(AD246&lt;F246,AA246+AB246-AC246,0)))))</x:f>
        <x:v>0</x:v>
      </x:c>
      <x:c r="H246" s="6" t="n">
        <x:f>ROUND(MAX(0,C246+D246-E246-G246),2)</x:f>
        <x:v>0</x:v>
      </x:c>
      <x:c r="I246" s="6" t="n">
        <x:f>N245</x:f>
        <x:v>0</x:v>
      </x:c>
      <x:c r="J246" s="6" t="n">
        <x:f>ROUND(I246*'Debt strategy'!$D$10/12,2)</x:f>
        <x:v>0</x:v>
      </x:c>
      <x:c r="K246" s="6" t="n">
        <x:f>MIN(I246+J246,'Debt strategy'!$E$10)</x:f>
        <x:v>0</x:v>
      </x:c>
      <x:c r="L246" s="27" t="n">
        <x:f>IF(I246+J246-K246&lt;=0,99,1+SUM(IF(AND(C246+D246-E246&gt;0,OR(C246+D246-E246&lt;I246+J246-K246,AND(C246+D246-E246=I246+J246-K246,0&lt;1))),1,0),IF(AND(O246+P246-Q246&gt;0,OR(O246+P246-Q246&lt;I246+J246-K246,AND(O246+P246-Q246=I246+J246-K246,2&lt;1))),1,0),IF(AND(U246+V246-W246&gt;0,OR(U246+V246-W246&lt;I246+J246-K246,AND(U246+V246-W246=I246+J246-K246,3&lt;1))),1,0),IF(AND(AA246+AB246-AC246&gt;0,OR(AA246+AB246-AC246&lt;I246+J246-K246,AND(AA246+AB246-AC246=I246+J246-K246,4&lt;1))),1,0)))</x:f>
        <x:v>99</x:v>
      </x:c>
      <x:c r="M246" s="6" t="n">
        <x:f>IF('Debt strategy'!$C$16&gt;0,0,MIN(I246+J246-K246,MAX(0,'Debt strategy'!$C$5-SUM(E246,K246,Q246,W246,AC246)-SUM(IF(F246&lt;L246,C246+D246-E246,0),IF(R246&lt;L246,O246+P246-Q246,0),IF(X246&lt;L246,U246+V246-W246,0),IF(AD246&lt;L246,AA246+AB246-AC246,0)))))</x:f>
        <x:v>0</x:v>
      </x:c>
      <x:c r="N246" s="6" t="n">
        <x:f>ROUND(MAX(0,I246+J246-K246-M246),2)</x:f>
        <x:v>0</x:v>
      </x:c>
      <x:c r="O246" s="6" t="n">
        <x:f>T245</x:f>
        <x:v>0</x:v>
      </x:c>
      <x:c r="P246" s="6" t="n">
        <x:f>ROUND(O246*'Debt strategy'!$D$11/12,2)</x:f>
        <x:v>0</x:v>
      </x:c>
      <x:c r="Q246" s="6" t="n">
        <x:f>MIN(O246+P246,'Debt strategy'!$E$11)</x:f>
        <x:v>0</x:v>
      </x:c>
      <x:c r="R246" s="27" t="n">
        <x:f>IF(O246+P246-Q246&lt;=0,99,1+SUM(IF(AND(C246+D246-E246&gt;0,OR(C246+D246-E246&lt;O246+P246-Q246,AND(C246+D246-E246=O246+P246-Q246,0&lt;2))),1,0),IF(AND(I246+J246-K246&gt;0,OR(I246+J246-K246&lt;O246+P246-Q246,AND(I246+J246-K246=O246+P246-Q246,1&lt;2))),1,0),IF(AND(U246+V246-W246&gt;0,OR(U246+V246-W246&lt;O246+P246-Q246,AND(U246+V246-W246=O246+P246-Q246,3&lt;2))),1,0),IF(AND(AA246+AB246-AC246&gt;0,OR(AA246+AB246-AC246&lt;O246+P246-Q246,AND(AA246+AB246-AC246=O246+P246-Q246,4&lt;2))),1,0)))</x:f>
        <x:v>99</x:v>
      </x:c>
      <x:c r="S246" s="6" t="n">
        <x:f>IF('Debt strategy'!$C$16&gt;0,0,MIN(O246+P246-Q246,MAX(0,'Debt strategy'!$C$5-SUM(E246,K246,Q246,W246,AC246)-SUM(IF(F246&lt;R246,C246+D246-E246,0),IF(L246&lt;R246,I246+J246-K246,0),IF(X246&lt;R246,U246+V246-W246,0),IF(AD246&lt;R246,AA246+AB246-AC246,0)))))</x:f>
        <x:v>0</x:v>
      </x:c>
      <x:c r="T246" s="6" t="n">
        <x:f>ROUND(MAX(0,O246+P246-Q246-S246),2)</x:f>
        <x:v>0</x:v>
      </x:c>
      <x:c r="U246" s="6" t="n">
        <x:f>Z245</x:f>
        <x:v>0</x:v>
      </x:c>
      <x:c r="V246" s="6" t="n">
        <x:f>ROUND(U246*'Debt strategy'!$D$12/12,2)</x:f>
        <x:v>0</x:v>
      </x:c>
      <x:c r="W246" s="6" t="n">
        <x:f>MIN(U246+V246,'Debt strategy'!$E$12)</x:f>
        <x:v>0</x:v>
      </x:c>
      <x:c r="X246" s="27" t="n">
        <x:f>IF(U246+V246-W246&lt;=0,99,1+SUM(IF(AND(C246+D246-E246&gt;0,OR(C246+D246-E246&lt;U246+V246-W246,AND(C246+D246-E246=U246+V246-W246,0&lt;3))),1,0),IF(AND(I246+J246-K246&gt;0,OR(I246+J246-K246&lt;U246+V246-W246,AND(I246+J246-K246=U246+V246-W246,1&lt;3))),1,0),IF(AND(O246+P246-Q246&gt;0,OR(O246+P246-Q246&lt;U246+V246-W246,AND(O246+P246-Q246=U246+V246-W246,2&lt;3))),1,0),IF(AND(AA246+AB246-AC246&gt;0,OR(AA246+AB246-AC246&lt;U246+V246-W246,AND(AA246+AB246-AC246=U246+V246-W246,4&lt;3))),1,0)))</x:f>
        <x:v>99</x:v>
      </x:c>
      <x:c r="Y246" s="6" t="n">
        <x:f>IF('Debt strategy'!$C$16&gt;0,0,MIN(U246+V246-W246,MAX(0,'Debt strategy'!$C$5-SUM(E246,K246,Q246,W246,AC246)-SUM(IF(F246&lt;X246,C246+D246-E246,0),IF(L246&lt;X246,I246+J246-K246,0),IF(R246&lt;X246,O246+P246-Q246,0),IF(AD246&lt;X246,AA246+AB246-AC246,0)))))</x:f>
        <x:v>0</x:v>
      </x:c>
      <x:c r="Z246" s="6" t="n">
        <x:f>ROUND(MAX(0,U246+V246-W246-Y246),2)</x:f>
        <x:v>0</x:v>
      </x:c>
      <x:c r="AA246" s="6" t="n">
        <x:f>AF245</x:f>
        <x:v>0</x:v>
      </x:c>
      <x:c r="AB246" s="6" t="n">
        <x:f>ROUND(AA246*'Debt strategy'!$D$13/12,2)</x:f>
        <x:v>0</x:v>
      </x:c>
      <x:c r="AC246" s="6" t="n">
        <x:f>MIN(AA246+AB246,'Debt strategy'!$E$13)</x:f>
        <x:v>0</x:v>
      </x:c>
      <x:c r="AD246" s="27" t="n">
        <x:f>IF(AA246+AB246-AC246&lt;=0,99,1+SUM(IF(AND(C246+D246-E246&gt;0,OR(C246+D246-E246&lt;AA246+AB246-AC246,AND(C246+D246-E246=AA246+AB246-AC246,0&lt;4))),1,0),IF(AND(I246+J246-K246&gt;0,OR(I246+J246-K246&lt;AA246+AB246-AC246,AND(I246+J246-K246=AA246+AB246-AC246,1&lt;4))),1,0),IF(AND(O246+P246-Q246&gt;0,OR(O246+P246-Q246&lt;AA246+AB246-AC246,AND(O246+P246-Q246=AA246+AB246-AC246,2&lt;4))),1,0),IF(AND(U246+V246-W246&gt;0,OR(U246+V246-W246&lt;AA246+AB246-AC246,AND(U246+V246-W246=AA246+AB246-AC246,3&lt;4))),1,0)))</x:f>
        <x:v>99</x:v>
      </x:c>
      <x:c r="AE246" s="6" t="n">
        <x:f>IF('Debt strategy'!$C$16&gt;0,0,MIN(AA246+AB246-AC246,MAX(0,'Debt strategy'!$C$5-SUM(E246,K246,Q246,W246,AC246)-SUM(IF(F246&lt;AD246,C246+D246-E246,0),IF(L246&lt;AD246,I246+J246-K246,0),IF(R246&lt;AD246,O246+P246-Q246,0),IF(X246&lt;AD246,U246+V246-W246,0)))))</x:f>
        <x:v>0</x:v>
      </x:c>
      <x:c r="AF246" s="6" t="n">
        <x:f>ROUND(MAX(0,AA246+AB246-AC246-AE246),2)</x:f>
        <x:v>0</x:v>
      </x:c>
      <x:c r="AG246" s="6" t="n">
        <x:f>SUM(H246,N246,T246,Z246,AF246)</x:f>
        <x:v>0</x:v>
      </x:c>
      <x:c r="AH246" s="6" t="n">
        <x:f>SUM(D246,J246,P246,V246,AB246)+AH245</x:f>
        <x:v>1353.9499999999996</x:v>
      </x:c>
      <x:c r="AI246" s="2"/>
    </x:row>
    <x:row r="247" ht="23" customHeight="1">
      <x:c r="B247" s="2" t="n">
        <x:f>239</x:f>
        <x:v>239</x:v>
      </x:c>
      <x:c r="C247" s="6" t="n">
        <x:f>H246</x:f>
        <x:v>0</x:v>
      </x:c>
      <x:c r="D247" s="6" t="n">
        <x:f>ROUND(C247*'Debt strategy'!$D$9/12,2)</x:f>
        <x:v>0</x:v>
      </x:c>
      <x:c r="E247" s="6" t="n">
        <x:f>MIN(C247+D247,'Debt strategy'!$E$9)</x:f>
        <x:v>0</x:v>
      </x:c>
      <x:c r="F247" s="27" t="n">
        <x:f>IF(C247+D247-E247&lt;=0,99,1+SUM(IF(AND(I247+J247-K247&gt;0,OR(I247+J247-K247&lt;C247+D247-E247,AND(I247+J247-K247=C247+D247-E247,1&lt;0))),1,0),IF(AND(O247+P247-Q247&gt;0,OR(O247+P247-Q247&lt;C247+D247-E247,AND(O247+P247-Q247=C247+D247-E247,2&lt;0))),1,0),IF(AND(U247+V247-W247&gt;0,OR(U247+V247-W247&lt;C247+D247-E247,AND(U247+V247-W247=C247+D247-E247,3&lt;0))),1,0),IF(AND(AA247+AB247-AC247&gt;0,OR(AA247+AB247-AC247&lt;C247+D247-E247,AND(AA247+AB247-AC247=C247+D247-E247,4&lt;0))),1,0)))</x:f>
        <x:v>99</x:v>
      </x:c>
      <x:c r="G247" s="6" t="n">
        <x:f>IF('Debt strategy'!$C$16&gt;0,0,MIN(C247+D247-E247,MAX(0,'Debt strategy'!$C$5-SUM(E247,K247,Q247,W247,AC247)-SUM(IF(L247&lt;F247,I247+J247-K247,0),IF(R247&lt;F247,O247+P247-Q247,0),IF(X247&lt;F247,U247+V247-W247,0),IF(AD247&lt;F247,AA247+AB247-AC247,0)))))</x:f>
        <x:v>0</x:v>
      </x:c>
      <x:c r="H247" s="6" t="n">
        <x:f>ROUND(MAX(0,C247+D247-E247-G247),2)</x:f>
        <x:v>0</x:v>
      </x:c>
      <x:c r="I247" s="6" t="n">
        <x:f>N246</x:f>
        <x:v>0</x:v>
      </x:c>
      <x:c r="J247" s="6" t="n">
        <x:f>ROUND(I247*'Debt strategy'!$D$10/12,2)</x:f>
        <x:v>0</x:v>
      </x:c>
      <x:c r="K247" s="6" t="n">
        <x:f>MIN(I247+J247,'Debt strategy'!$E$10)</x:f>
        <x:v>0</x:v>
      </x:c>
      <x:c r="L247" s="27" t="n">
        <x:f>IF(I247+J247-K247&lt;=0,99,1+SUM(IF(AND(C247+D247-E247&gt;0,OR(C247+D247-E247&lt;I247+J247-K247,AND(C247+D247-E247=I247+J247-K247,0&lt;1))),1,0),IF(AND(O247+P247-Q247&gt;0,OR(O247+P247-Q247&lt;I247+J247-K247,AND(O247+P247-Q247=I247+J247-K247,2&lt;1))),1,0),IF(AND(U247+V247-W247&gt;0,OR(U247+V247-W247&lt;I247+J247-K247,AND(U247+V247-W247=I247+J247-K247,3&lt;1))),1,0),IF(AND(AA247+AB247-AC247&gt;0,OR(AA247+AB247-AC247&lt;I247+J247-K247,AND(AA247+AB247-AC247=I247+J247-K247,4&lt;1))),1,0)))</x:f>
        <x:v>99</x:v>
      </x:c>
      <x:c r="M247" s="6" t="n">
        <x:f>IF('Debt strategy'!$C$16&gt;0,0,MIN(I247+J247-K247,MAX(0,'Debt strategy'!$C$5-SUM(E247,K247,Q247,W247,AC247)-SUM(IF(F247&lt;L247,C247+D247-E247,0),IF(R247&lt;L247,O247+P247-Q247,0),IF(X247&lt;L247,U247+V247-W247,0),IF(AD247&lt;L247,AA247+AB247-AC247,0)))))</x:f>
        <x:v>0</x:v>
      </x:c>
      <x:c r="N247" s="6" t="n">
        <x:f>ROUND(MAX(0,I247+J247-K247-M247),2)</x:f>
        <x:v>0</x:v>
      </x:c>
      <x:c r="O247" s="6" t="n">
        <x:f>T246</x:f>
        <x:v>0</x:v>
      </x:c>
      <x:c r="P247" s="6" t="n">
        <x:f>ROUND(O247*'Debt strategy'!$D$11/12,2)</x:f>
        <x:v>0</x:v>
      </x:c>
      <x:c r="Q247" s="6" t="n">
        <x:f>MIN(O247+P247,'Debt strategy'!$E$11)</x:f>
        <x:v>0</x:v>
      </x:c>
      <x:c r="R247" s="27" t="n">
        <x:f>IF(O247+P247-Q247&lt;=0,99,1+SUM(IF(AND(C247+D247-E247&gt;0,OR(C247+D247-E247&lt;O247+P247-Q247,AND(C247+D247-E247=O247+P247-Q247,0&lt;2))),1,0),IF(AND(I247+J247-K247&gt;0,OR(I247+J247-K247&lt;O247+P247-Q247,AND(I247+J247-K247=O247+P247-Q247,1&lt;2))),1,0),IF(AND(U247+V247-W247&gt;0,OR(U247+V247-W247&lt;O247+P247-Q247,AND(U247+V247-W247=O247+P247-Q247,3&lt;2))),1,0),IF(AND(AA247+AB247-AC247&gt;0,OR(AA247+AB247-AC247&lt;O247+P247-Q247,AND(AA247+AB247-AC247=O247+P247-Q247,4&lt;2))),1,0)))</x:f>
        <x:v>99</x:v>
      </x:c>
      <x:c r="S247" s="6" t="n">
        <x:f>IF('Debt strategy'!$C$16&gt;0,0,MIN(O247+P247-Q247,MAX(0,'Debt strategy'!$C$5-SUM(E247,K247,Q247,W247,AC247)-SUM(IF(F247&lt;R247,C247+D247-E247,0),IF(L247&lt;R247,I247+J247-K247,0),IF(X247&lt;R247,U247+V247-W247,0),IF(AD247&lt;R247,AA247+AB247-AC247,0)))))</x:f>
        <x:v>0</x:v>
      </x:c>
      <x:c r="T247" s="6" t="n">
        <x:f>ROUND(MAX(0,O247+P247-Q247-S247),2)</x:f>
        <x:v>0</x:v>
      </x:c>
      <x:c r="U247" s="6" t="n">
        <x:f>Z246</x:f>
        <x:v>0</x:v>
      </x:c>
      <x:c r="V247" s="6" t="n">
        <x:f>ROUND(U247*'Debt strategy'!$D$12/12,2)</x:f>
        <x:v>0</x:v>
      </x:c>
      <x:c r="W247" s="6" t="n">
        <x:f>MIN(U247+V247,'Debt strategy'!$E$12)</x:f>
        <x:v>0</x:v>
      </x:c>
      <x:c r="X247" s="27" t="n">
        <x:f>IF(U247+V247-W247&lt;=0,99,1+SUM(IF(AND(C247+D247-E247&gt;0,OR(C247+D247-E247&lt;U247+V247-W247,AND(C247+D247-E247=U247+V247-W247,0&lt;3))),1,0),IF(AND(I247+J247-K247&gt;0,OR(I247+J247-K247&lt;U247+V247-W247,AND(I247+J247-K247=U247+V247-W247,1&lt;3))),1,0),IF(AND(O247+P247-Q247&gt;0,OR(O247+P247-Q247&lt;U247+V247-W247,AND(O247+P247-Q247=U247+V247-W247,2&lt;3))),1,0),IF(AND(AA247+AB247-AC247&gt;0,OR(AA247+AB247-AC247&lt;U247+V247-W247,AND(AA247+AB247-AC247=U247+V247-W247,4&lt;3))),1,0)))</x:f>
        <x:v>99</x:v>
      </x:c>
      <x:c r="Y247" s="6" t="n">
        <x:f>IF('Debt strategy'!$C$16&gt;0,0,MIN(U247+V247-W247,MAX(0,'Debt strategy'!$C$5-SUM(E247,K247,Q247,W247,AC247)-SUM(IF(F247&lt;X247,C247+D247-E247,0),IF(L247&lt;X247,I247+J247-K247,0),IF(R247&lt;X247,O247+P247-Q247,0),IF(AD247&lt;X247,AA247+AB247-AC247,0)))))</x:f>
        <x:v>0</x:v>
      </x:c>
      <x:c r="Z247" s="6" t="n">
        <x:f>ROUND(MAX(0,U247+V247-W247-Y247),2)</x:f>
        <x:v>0</x:v>
      </x:c>
      <x:c r="AA247" s="6" t="n">
        <x:f>AF246</x:f>
        <x:v>0</x:v>
      </x:c>
      <x:c r="AB247" s="6" t="n">
        <x:f>ROUND(AA247*'Debt strategy'!$D$13/12,2)</x:f>
        <x:v>0</x:v>
      </x:c>
      <x:c r="AC247" s="6" t="n">
        <x:f>MIN(AA247+AB247,'Debt strategy'!$E$13)</x:f>
        <x:v>0</x:v>
      </x:c>
      <x:c r="AD247" s="27" t="n">
        <x:f>IF(AA247+AB247-AC247&lt;=0,99,1+SUM(IF(AND(C247+D247-E247&gt;0,OR(C247+D247-E247&lt;AA247+AB247-AC247,AND(C247+D247-E247=AA247+AB247-AC247,0&lt;4))),1,0),IF(AND(I247+J247-K247&gt;0,OR(I247+J247-K247&lt;AA247+AB247-AC247,AND(I247+J247-K247=AA247+AB247-AC247,1&lt;4))),1,0),IF(AND(O247+P247-Q247&gt;0,OR(O247+P247-Q247&lt;AA247+AB247-AC247,AND(O247+P247-Q247=AA247+AB247-AC247,2&lt;4))),1,0),IF(AND(U247+V247-W247&gt;0,OR(U247+V247-W247&lt;AA247+AB247-AC247,AND(U247+V247-W247=AA247+AB247-AC247,3&lt;4))),1,0)))</x:f>
        <x:v>99</x:v>
      </x:c>
      <x:c r="AE247" s="6" t="n">
        <x:f>IF('Debt strategy'!$C$16&gt;0,0,MIN(AA247+AB247-AC247,MAX(0,'Debt strategy'!$C$5-SUM(E247,K247,Q247,W247,AC247)-SUM(IF(F247&lt;AD247,C247+D247-E247,0),IF(L247&lt;AD247,I247+J247-K247,0),IF(R247&lt;AD247,O247+P247-Q247,0),IF(X247&lt;AD247,U247+V247-W247,0)))))</x:f>
        <x:v>0</x:v>
      </x:c>
      <x:c r="AF247" s="6" t="n">
        <x:f>ROUND(MAX(0,AA247+AB247-AC247-AE247),2)</x:f>
        <x:v>0</x:v>
      </x:c>
      <x:c r="AG247" s="6" t="n">
        <x:f>SUM(H247,N247,T247,Z247,AF247)</x:f>
        <x:v>0</x:v>
      </x:c>
      <x:c r="AH247" s="6" t="n">
        <x:f>SUM(D247,J247,P247,V247,AB247)+AH246</x:f>
        <x:v>1353.9499999999996</x:v>
      </x:c>
      <x:c r="AI247" s="2"/>
    </x:row>
    <x:row r="248" ht="23" customHeight="1">
      <x:c r="B248" s="2" t="n">
        <x:f>240</x:f>
        <x:v>240</x:v>
      </x:c>
      <x:c r="C248" s="6" t="n">
        <x:f>H247</x:f>
        <x:v>0</x:v>
      </x:c>
      <x:c r="D248" s="6" t="n">
        <x:f>ROUND(C248*'Debt strategy'!$D$9/12,2)</x:f>
        <x:v>0</x:v>
      </x:c>
      <x:c r="E248" s="6" t="n">
        <x:f>MIN(C248+D248,'Debt strategy'!$E$9)</x:f>
        <x:v>0</x:v>
      </x:c>
      <x:c r="F248" s="27" t="n">
        <x:f>IF(C248+D248-E248&lt;=0,99,1+SUM(IF(AND(I248+J248-K248&gt;0,OR(I248+J248-K248&lt;C248+D248-E248,AND(I248+J248-K248=C248+D248-E248,1&lt;0))),1,0),IF(AND(O248+P248-Q248&gt;0,OR(O248+P248-Q248&lt;C248+D248-E248,AND(O248+P248-Q248=C248+D248-E248,2&lt;0))),1,0),IF(AND(U248+V248-W248&gt;0,OR(U248+V248-W248&lt;C248+D248-E248,AND(U248+V248-W248=C248+D248-E248,3&lt;0))),1,0),IF(AND(AA248+AB248-AC248&gt;0,OR(AA248+AB248-AC248&lt;C248+D248-E248,AND(AA248+AB248-AC248=C248+D248-E248,4&lt;0))),1,0)))</x:f>
        <x:v>99</x:v>
      </x:c>
      <x:c r="G248" s="6" t="n">
        <x:f>IF('Debt strategy'!$C$16&gt;0,0,MIN(C248+D248-E248,MAX(0,'Debt strategy'!$C$5-SUM(E248,K248,Q248,W248,AC248)-SUM(IF(L248&lt;F248,I248+J248-K248,0),IF(R248&lt;F248,O248+P248-Q248,0),IF(X248&lt;F248,U248+V248-W248,0),IF(AD248&lt;F248,AA248+AB248-AC248,0)))))</x:f>
        <x:v>0</x:v>
      </x:c>
      <x:c r="H248" s="6" t="n">
        <x:f>ROUND(MAX(0,C248+D248-E248-G248),2)</x:f>
        <x:v>0</x:v>
      </x:c>
      <x:c r="I248" s="6" t="n">
        <x:f>N247</x:f>
        <x:v>0</x:v>
      </x:c>
      <x:c r="J248" s="6" t="n">
        <x:f>ROUND(I248*'Debt strategy'!$D$10/12,2)</x:f>
        <x:v>0</x:v>
      </x:c>
      <x:c r="K248" s="6" t="n">
        <x:f>MIN(I248+J248,'Debt strategy'!$E$10)</x:f>
        <x:v>0</x:v>
      </x:c>
      <x:c r="L248" s="27" t="n">
        <x:f>IF(I248+J248-K248&lt;=0,99,1+SUM(IF(AND(C248+D248-E248&gt;0,OR(C248+D248-E248&lt;I248+J248-K248,AND(C248+D248-E248=I248+J248-K248,0&lt;1))),1,0),IF(AND(O248+P248-Q248&gt;0,OR(O248+P248-Q248&lt;I248+J248-K248,AND(O248+P248-Q248=I248+J248-K248,2&lt;1))),1,0),IF(AND(U248+V248-W248&gt;0,OR(U248+V248-W248&lt;I248+J248-K248,AND(U248+V248-W248=I248+J248-K248,3&lt;1))),1,0),IF(AND(AA248+AB248-AC248&gt;0,OR(AA248+AB248-AC248&lt;I248+J248-K248,AND(AA248+AB248-AC248=I248+J248-K248,4&lt;1))),1,0)))</x:f>
        <x:v>99</x:v>
      </x:c>
      <x:c r="M248" s="6" t="n">
        <x:f>IF('Debt strategy'!$C$16&gt;0,0,MIN(I248+J248-K248,MAX(0,'Debt strategy'!$C$5-SUM(E248,K248,Q248,W248,AC248)-SUM(IF(F248&lt;L248,C248+D248-E248,0),IF(R248&lt;L248,O248+P248-Q248,0),IF(X248&lt;L248,U248+V248-W248,0),IF(AD248&lt;L248,AA248+AB248-AC248,0)))))</x:f>
        <x:v>0</x:v>
      </x:c>
      <x:c r="N248" s="6" t="n">
        <x:f>ROUND(MAX(0,I248+J248-K248-M248),2)</x:f>
        <x:v>0</x:v>
      </x:c>
      <x:c r="O248" s="6" t="n">
        <x:f>T247</x:f>
        <x:v>0</x:v>
      </x:c>
      <x:c r="P248" s="6" t="n">
        <x:f>ROUND(O248*'Debt strategy'!$D$11/12,2)</x:f>
        <x:v>0</x:v>
      </x:c>
      <x:c r="Q248" s="6" t="n">
        <x:f>MIN(O248+P248,'Debt strategy'!$E$11)</x:f>
        <x:v>0</x:v>
      </x:c>
      <x:c r="R248" s="27" t="n">
        <x:f>IF(O248+P248-Q248&lt;=0,99,1+SUM(IF(AND(C248+D248-E248&gt;0,OR(C248+D248-E248&lt;O248+P248-Q248,AND(C248+D248-E248=O248+P248-Q248,0&lt;2))),1,0),IF(AND(I248+J248-K248&gt;0,OR(I248+J248-K248&lt;O248+P248-Q248,AND(I248+J248-K248=O248+P248-Q248,1&lt;2))),1,0),IF(AND(U248+V248-W248&gt;0,OR(U248+V248-W248&lt;O248+P248-Q248,AND(U248+V248-W248=O248+P248-Q248,3&lt;2))),1,0),IF(AND(AA248+AB248-AC248&gt;0,OR(AA248+AB248-AC248&lt;O248+P248-Q248,AND(AA248+AB248-AC248=O248+P248-Q248,4&lt;2))),1,0)))</x:f>
        <x:v>99</x:v>
      </x:c>
      <x:c r="S248" s="6" t="n">
        <x:f>IF('Debt strategy'!$C$16&gt;0,0,MIN(O248+P248-Q248,MAX(0,'Debt strategy'!$C$5-SUM(E248,K248,Q248,W248,AC248)-SUM(IF(F248&lt;R248,C248+D248-E248,0),IF(L248&lt;R248,I248+J248-K248,0),IF(X248&lt;R248,U248+V248-W248,0),IF(AD248&lt;R248,AA248+AB248-AC248,0)))))</x:f>
        <x:v>0</x:v>
      </x:c>
      <x:c r="T248" s="6" t="n">
        <x:f>ROUND(MAX(0,O248+P248-Q248-S248),2)</x:f>
        <x:v>0</x:v>
      </x:c>
      <x:c r="U248" s="6" t="n">
        <x:f>Z247</x:f>
        <x:v>0</x:v>
      </x:c>
      <x:c r="V248" s="6" t="n">
        <x:f>ROUND(U248*'Debt strategy'!$D$12/12,2)</x:f>
        <x:v>0</x:v>
      </x:c>
      <x:c r="W248" s="6" t="n">
        <x:f>MIN(U248+V248,'Debt strategy'!$E$12)</x:f>
        <x:v>0</x:v>
      </x:c>
      <x:c r="X248" s="27" t="n">
        <x:f>IF(U248+V248-W248&lt;=0,99,1+SUM(IF(AND(C248+D248-E248&gt;0,OR(C248+D248-E248&lt;U248+V248-W248,AND(C248+D248-E248=U248+V248-W248,0&lt;3))),1,0),IF(AND(I248+J248-K248&gt;0,OR(I248+J248-K248&lt;U248+V248-W248,AND(I248+J248-K248=U248+V248-W248,1&lt;3))),1,0),IF(AND(O248+P248-Q248&gt;0,OR(O248+P248-Q248&lt;U248+V248-W248,AND(O248+P248-Q248=U248+V248-W248,2&lt;3))),1,0),IF(AND(AA248+AB248-AC248&gt;0,OR(AA248+AB248-AC248&lt;U248+V248-W248,AND(AA248+AB248-AC248=U248+V248-W248,4&lt;3))),1,0)))</x:f>
        <x:v>99</x:v>
      </x:c>
      <x:c r="Y248" s="6" t="n">
        <x:f>IF('Debt strategy'!$C$16&gt;0,0,MIN(U248+V248-W248,MAX(0,'Debt strategy'!$C$5-SUM(E248,K248,Q248,W248,AC248)-SUM(IF(F248&lt;X248,C248+D248-E248,0),IF(L248&lt;X248,I248+J248-K248,0),IF(R248&lt;X248,O248+P248-Q248,0),IF(AD248&lt;X248,AA248+AB248-AC248,0)))))</x:f>
        <x:v>0</x:v>
      </x:c>
      <x:c r="Z248" s="6" t="n">
        <x:f>ROUND(MAX(0,U248+V248-W248-Y248),2)</x:f>
        <x:v>0</x:v>
      </x:c>
      <x:c r="AA248" s="6" t="n">
        <x:f>AF247</x:f>
        <x:v>0</x:v>
      </x:c>
      <x:c r="AB248" s="6" t="n">
        <x:f>ROUND(AA248*'Debt strategy'!$D$13/12,2)</x:f>
        <x:v>0</x:v>
      </x:c>
      <x:c r="AC248" s="6" t="n">
        <x:f>MIN(AA248+AB248,'Debt strategy'!$E$13)</x:f>
        <x:v>0</x:v>
      </x:c>
      <x:c r="AD248" s="27" t="n">
        <x:f>IF(AA248+AB248-AC248&lt;=0,99,1+SUM(IF(AND(C248+D248-E248&gt;0,OR(C248+D248-E248&lt;AA248+AB248-AC248,AND(C248+D248-E248=AA248+AB248-AC248,0&lt;4))),1,0),IF(AND(I248+J248-K248&gt;0,OR(I248+J248-K248&lt;AA248+AB248-AC248,AND(I248+J248-K248=AA248+AB248-AC248,1&lt;4))),1,0),IF(AND(O248+P248-Q248&gt;0,OR(O248+P248-Q248&lt;AA248+AB248-AC248,AND(O248+P248-Q248=AA248+AB248-AC248,2&lt;4))),1,0),IF(AND(U248+V248-W248&gt;0,OR(U248+V248-W248&lt;AA248+AB248-AC248,AND(U248+V248-W248=AA248+AB248-AC248,3&lt;4))),1,0)))</x:f>
        <x:v>99</x:v>
      </x:c>
      <x:c r="AE248" s="6" t="n">
        <x:f>IF('Debt strategy'!$C$16&gt;0,0,MIN(AA248+AB248-AC248,MAX(0,'Debt strategy'!$C$5-SUM(E248,K248,Q248,W248,AC248)-SUM(IF(F248&lt;AD248,C248+D248-E248,0),IF(L248&lt;AD248,I248+J248-K248,0),IF(R248&lt;AD248,O248+P248-Q248,0),IF(X248&lt;AD248,U248+V248-W248,0)))))</x:f>
        <x:v>0</x:v>
      </x:c>
      <x:c r="AF248" s="6" t="n">
        <x:f>ROUND(MAX(0,AA248+AB248-AC248-AE248),2)</x:f>
        <x:v>0</x:v>
      </x:c>
      <x:c r="AG248" s="6" t="n">
        <x:f>SUM(H248,N248,T248,Z248,AF248)</x:f>
        <x:v>0</x:v>
      </x:c>
      <x:c r="AH248" s="6" t="n">
        <x:f>SUM(D248,J248,P248,V248,AB248)+AH247</x:f>
        <x:v>1353.9499999999996</x:v>
      </x:c>
      <x:c r="AI248" s="2"/>
    </x:row>
    <x:row r="249" ht="23" customHeight="1">
      <x:c r="B249" s="2" t="n">
        <x:f>241</x:f>
        <x:v>241</x:v>
      </x:c>
      <x:c r="C249" s="6" t="n">
        <x:f>H248</x:f>
        <x:v>0</x:v>
      </x:c>
      <x:c r="D249" s="6" t="n">
        <x:f>ROUND(C249*'Debt strategy'!$D$9/12,2)</x:f>
        <x:v>0</x:v>
      </x:c>
      <x:c r="E249" s="6" t="n">
        <x:f>MIN(C249+D249,'Debt strategy'!$E$9)</x:f>
        <x:v>0</x:v>
      </x:c>
      <x:c r="F249" s="27" t="n">
        <x:f>IF(C249+D249-E249&lt;=0,99,1+SUM(IF(AND(I249+J249-K249&gt;0,OR(I249+J249-K249&lt;C249+D249-E249,AND(I249+J249-K249=C249+D249-E249,1&lt;0))),1,0),IF(AND(O249+P249-Q249&gt;0,OR(O249+P249-Q249&lt;C249+D249-E249,AND(O249+P249-Q249=C249+D249-E249,2&lt;0))),1,0),IF(AND(U249+V249-W249&gt;0,OR(U249+V249-W249&lt;C249+D249-E249,AND(U249+V249-W249=C249+D249-E249,3&lt;0))),1,0),IF(AND(AA249+AB249-AC249&gt;0,OR(AA249+AB249-AC249&lt;C249+D249-E249,AND(AA249+AB249-AC249=C249+D249-E249,4&lt;0))),1,0)))</x:f>
        <x:v>99</x:v>
      </x:c>
      <x:c r="G249" s="6" t="n">
        <x:f>IF('Debt strategy'!$C$16&gt;0,0,MIN(C249+D249-E249,MAX(0,'Debt strategy'!$C$5-SUM(E249,K249,Q249,W249,AC249)-SUM(IF(L249&lt;F249,I249+J249-K249,0),IF(R249&lt;F249,O249+P249-Q249,0),IF(X249&lt;F249,U249+V249-W249,0),IF(AD249&lt;F249,AA249+AB249-AC249,0)))))</x:f>
        <x:v>0</x:v>
      </x:c>
      <x:c r="H249" s="6" t="n">
        <x:f>ROUND(MAX(0,C249+D249-E249-G249),2)</x:f>
        <x:v>0</x:v>
      </x:c>
      <x:c r="I249" s="6" t="n">
        <x:f>N248</x:f>
        <x:v>0</x:v>
      </x:c>
      <x:c r="J249" s="6" t="n">
        <x:f>ROUND(I249*'Debt strategy'!$D$10/12,2)</x:f>
        <x:v>0</x:v>
      </x:c>
      <x:c r="K249" s="6" t="n">
        <x:f>MIN(I249+J249,'Debt strategy'!$E$10)</x:f>
        <x:v>0</x:v>
      </x:c>
      <x:c r="L249" s="27" t="n">
        <x:f>IF(I249+J249-K249&lt;=0,99,1+SUM(IF(AND(C249+D249-E249&gt;0,OR(C249+D249-E249&lt;I249+J249-K249,AND(C249+D249-E249=I249+J249-K249,0&lt;1))),1,0),IF(AND(O249+P249-Q249&gt;0,OR(O249+P249-Q249&lt;I249+J249-K249,AND(O249+P249-Q249=I249+J249-K249,2&lt;1))),1,0),IF(AND(U249+V249-W249&gt;0,OR(U249+V249-W249&lt;I249+J249-K249,AND(U249+V249-W249=I249+J249-K249,3&lt;1))),1,0),IF(AND(AA249+AB249-AC249&gt;0,OR(AA249+AB249-AC249&lt;I249+J249-K249,AND(AA249+AB249-AC249=I249+J249-K249,4&lt;1))),1,0)))</x:f>
        <x:v>99</x:v>
      </x:c>
      <x:c r="M249" s="6" t="n">
        <x:f>IF('Debt strategy'!$C$16&gt;0,0,MIN(I249+J249-K249,MAX(0,'Debt strategy'!$C$5-SUM(E249,K249,Q249,W249,AC249)-SUM(IF(F249&lt;L249,C249+D249-E249,0),IF(R249&lt;L249,O249+P249-Q249,0),IF(X249&lt;L249,U249+V249-W249,0),IF(AD249&lt;L249,AA249+AB249-AC249,0)))))</x:f>
        <x:v>0</x:v>
      </x:c>
      <x:c r="N249" s="6" t="n">
        <x:f>ROUND(MAX(0,I249+J249-K249-M249),2)</x:f>
        <x:v>0</x:v>
      </x:c>
      <x:c r="O249" s="6" t="n">
        <x:f>T248</x:f>
        <x:v>0</x:v>
      </x:c>
      <x:c r="P249" s="6" t="n">
        <x:f>ROUND(O249*'Debt strategy'!$D$11/12,2)</x:f>
        <x:v>0</x:v>
      </x:c>
      <x:c r="Q249" s="6" t="n">
        <x:f>MIN(O249+P249,'Debt strategy'!$E$11)</x:f>
        <x:v>0</x:v>
      </x:c>
      <x:c r="R249" s="27" t="n">
        <x:f>IF(O249+P249-Q249&lt;=0,99,1+SUM(IF(AND(C249+D249-E249&gt;0,OR(C249+D249-E249&lt;O249+P249-Q249,AND(C249+D249-E249=O249+P249-Q249,0&lt;2))),1,0),IF(AND(I249+J249-K249&gt;0,OR(I249+J249-K249&lt;O249+P249-Q249,AND(I249+J249-K249=O249+P249-Q249,1&lt;2))),1,0),IF(AND(U249+V249-W249&gt;0,OR(U249+V249-W249&lt;O249+P249-Q249,AND(U249+V249-W249=O249+P249-Q249,3&lt;2))),1,0),IF(AND(AA249+AB249-AC249&gt;0,OR(AA249+AB249-AC249&lt;O249+P249-Q249,AND(AA249+AB249-AC249=O249+P249-Q249,4&lt;2))),1,0)))</x:f>
        <x:v>99</x:v>
      </x:c>
      <x:c r="S249" s="6" t="n">
        <x:f>IF('Debt strategy'!$C$16&gt;0,0,MIN(O249+P249-Q249,MAX(0,'Debt strategy'!$C$5-SUM(E249,K249,Q249,W249,AC249)-SUM(IF(F249&lt;R249,C249+D249-E249,0),IF(L249&lt;R249,I249+J249-K249,0),IF(X249&lt;R249,U249+V249-W249,0),IF(AD249&lt;R249,AA249+AB249-AC249,0)))))</x:f>
        <x:v>0</x:v>
      </x:c>
      <x:c r="T249" s="6" t="n">
        <x:f>ROUND(MAX(0,O249+P249-Q249-S249),2)</x:f>
        <x:v>0</x:v>
      </x:c>
      <x:c r="U249" s="6" t="n">
        <x:f>Z248</x:f>
        <x:v>0</x:v>
      </x:c>
      <x:c r="V249" s="6" t="n">
        <x:f>ROUND(U249*'Debt strategy'!$D$12/12,2)</x:f>
        <x:v>0</x:v>
      </x:c>
      <x:c r="W249" s="6" t="n">
        <x:f>MIN(U249+V249,'Debt strategy'!$E$12)</x:f>
        <x:v>0</x:v>
      </x:c>
      <x:c r="X249" s="27" t="n">
        <x:f>IF(U249+V249-W249&lt;=0,99,1+SUM(IF(AND(C249+D249-E249&gt;0,OR(C249+D249-E249&lt;U249+V249-W249,AND(C249+D249-E249=U249+V249-W249,0&lt;3))),1,0),IF(AND(I249+J249-K249&gt;0,OR(I249+J249-K249&lt;U249+V249-W249,AND(I249+J249-K249=U249+V249-W249,1&lt;3))),1,0),IF(AND(O249+P249-Q249&gt;0,OR(O249+P249-Q249&lt;U249+V249-W249,AND(O249+P249-Q249=U249+V249-W249,2&lt;3))),1,0),IF(AND(AA249+AB249-AC249&gt;0,OR(AA249+AB249-AC249&lt;U249+V249-W249,AND(AA249+AB249-AC249=U249+V249-W249,4&lt;3))),1,0)))</x:f>
        <x:v>99</x:v>
      </x:c>
      <x:c r="Y249" s="6" t="n">
        <x:f>IF('Debt strategy'!$C$16&gt;0,0,MIN(U249+V249-W249,MAX(0,'Debt strategy'!$C$5-SUM(E249,K249,Q249,W249,AC249)-SUM(IF(F249&lt;X249,C249+D249-E249,0),IF(L249&lt;X249,I249+J249-K249,0),IF(R249&lt;X249,O249+P249-Q249,0),IF(AD249&lt;X249,AA249+AB249-AC249,0)))))</x:f>
        <x:v>0</x:v>
      </x:c>
      <x:c r="Z249" s="6" t="n">
        <x:f>ROUND(MAX(0,U249+V249-W249-Y249),2)</x:f>
        <x:v>0</x:v>
      </x:c>
      <x:c r="AA249" s="6" t="n">
        <x:f>AF248</x:f>
        <x:v>0</x:v>
      </x:c>
      <x:c r="AB249" s="6" t="n">
        <x:f>ROUND(AA249*'Debt strategy'!$D$13/12,2)</x:f>
        <x:v>0</x:v>
      </x:c>
      <x:c r="AC249" s="6" t="n">
        <x:f>MIN(AA249+AB249,'Debt strategy'!$E$13)</x:f>
        <x:v>0</x:v>
      </x:c>
      <x:c r="AD249" s="27" t="n">
        <x:f>IF(AA249+AB249-AC249&lt;=0,99,1+SUM(IF(AND(C249+D249-E249&gt;0,OR(C249+D249-E249&lt;AA249+AB249-AC249,AND(C249+D249-E249=AA249+AB249-AC249,0&lt;4))),1,0),IF(AND(I249+J249-K249&gt;0,OR(I249+J249-K249&lt;AA249+AB249-AC249,AND(I249+J249-K249=AA249+AB249-AC249,1&lt;4))),1,0),IF(AND(O249+P249-Q249&gt;0,OR(O249+P249-Q249&lt;AA249+AB249-AC249,AND(O249+P249-Q249=AA249+AB249-AC249,2&lt;4))),1,0),IF(AND(U249+V249-W249&gt;0,OR(U249+V249-W249&lt;AA249+AB249-AC249,AND(U249+V249-W249=AA249+AB249-AC249,3&lt;4))),1,0)))</x:f>
        <x:v>99</x:v>
      </x:c>
      <x:c r="AE249" s="6" t="n">
        <x:f>IF('Debt strategy'!$C$16&gt;0,0,MIN(AA249+AB249-AC249,MAX(0,'Debt strategy'!$C$5-SUM(E249,K249,Q249,W249,AC249)-SUM(IF(F249&lt;AD249,C249+D249-E249,0),IF(L249&lt;AD249,I249+J249-K249,0),IF(R249&lt;AD249,O249+P249-Q249,0),IF(X249&lt;AD249,U249+V249-W249,0)))))</x:f>
        <x:v>0</x:v>
      </x:c>
      <x:c r="AF249" s="6" t="n">
        <x:f>ROUND(MAX(0,AA249+AB249-AC249-AE249),2)</x:f>
        <x:v>0</x:v>
      </x:c>
      <x:c r="AG249" s="6" t="n">
        <x:f>SUM(H249,N249,T249,Z249,AF249)</x:f>
        <x:v>0</x:v>
      </x:c>
      <x:c r="AH249" s="6" t="n">
        <x:f>SUM(D249,J249,P249,V249,AB249)+AH248</x:f>
        <x:v>1353.9499999999996</x:v>
      </x:c>
      <x:c r="AI249" s="2"/>
    </x:row>
    <x:row r="250" ht="23" customHeight="1">
      <x:c r="B250" s="2" t="n">
        <x:f>242</x:f>
        <x:v>242</x:v>
      </x:c>
      <x:c r="C250" s="6" t="n">
        <x:f>H249</x:f>
        <x:v>0</x:v>
      </x:c>
      <x:c r="D250" s="6" t="n">
        <x:f>ROUND(C250*'Debt strategy'!$D$9/12,2)</x:f>
        <x:v>0</x:v>
      </x:c>
      <x:c r="E250" s="6" t="n">
        <x:f>MIN(C250+D250,'Debt strategy'!$E$9)</x:f>
        <x:v>0</x:v>
      </x:c>
      <x:c r="F250" s="27" t="n">
        <x:f>IF(C250+D250-E250&lt;=0,99,1+SUM(IF(AND(I250+J250-K250&gt;0,OR(I250+J250-K250&lt;C250+D250-E250,AND(I250+J250-K250=C250+D250-E250,1&lt;0))),1,0),IF(AND(O250+P250-Q250&gt;0,OR(O250+P250-Q250&lt;C250+D250-E250,AND(O250+P250-Q250=C250+D250-E250,2&lt;0))),1,0),IF(AND(U250+V250-W250&gt;0,OR(U250+V250-W250&lt;C250+D250-E250,AND(U250+V250-W250=C250+D250-E250,3&lt;0))),1,0),IF(AND(AA250+AB250-AC250&gt;0,OR(AA250+AB250-AC250&lt;C250+D250-E250,AND(AA250+AB250-AC250=C250+D250-E250,4&lt;0))),1,0)))</x:f>
        <x:v>99</x:v>
      </x:c>
      <x:c r="G250" s="6" t="n">
        <x:f>IF('Debt strategy'!$C$16&gt;0,0,MIN(C250+D250-E250,MAX(0,'Debt strategy'!$C$5-SUM(E250,K250,Q250,W250,AC250)-SUM(IF(L250&lt;F250,I250+J250-K250,0),IF(R250&lt;F250,O250+P250-Q250,0),IF(X250&lt;F250,U250+V250-W250,0),IF(AD250&lt;F250,AA250+AB250-AC250,0)))))</x:f>
        <x:v>0</x:v>
      </x:c>
      <x:c r="H250" s="6" t="n">
        <x:f>ROUND(MAX(0,C250+D250-E250-G250),2)</x:f>
        <x:v>0</x:v>
      </x:c>
      <x:c r="I250" s="6" t="n">
        <x:f>N249</x:f>
        <x:v>0</x:v>
      </x:c>
      <x:c r="J250" s="6" t="n">
        <x:f>ROUND(I250*'Debt strategy'!$D$10/12,2)</x:f>
        <x:v>0</x:v>
      </x:c>
      <x:c r="K250" s="6" t="n">
        <x:f>MIN(I250+J250,'Debt strategy'!$E$10)</x:f>
        <x:v>0</x:v>
      </x:c>
      <x:c r="L250" s="27" t="n">
        <x:f>IF(I250+J250-K250&lt;=0,99,1+SUM(IF(AND(C250+D250-E250&gt;0,OR(C250+D250-E250&lt;I250+J250-K250,AND(C250+D250-E250=I250+J250-K250,0&lt;1))),1,0),IF(AND(O250+P250-Q250&gt;0,OR(O250+P250-Q250&lt;I250+J250-K250,AND(O250+P250-Q250=I250+J250-K250,2&lt;1))),1,0),IF(AND(U250+V250-W250&gt;0,OR(U250+V250-W250&lt;I250+J250-K250,AND(U250+V250-W250=I250+J250-K250,3&lt;1))),1,0),IF(AND(AA250+AB250-AC250&gt;0,OR(AA250+AB250-AC250&lt;I250+J250-K250,AND(AA250+AB250-AC250=I250+J250-K250,4&lt;1))),1,0)))</x:f>
        <x:v>99</x:v>
      </x:c>
      <x:c r="M250" s="6" t="n">
        <x:f>IF('Debt strategy'!$C$16&gt;0,0,MIN(I250+J250-K250,MAX(0,'Debt strategy'!$C$5-SUM(E250,K250,Q250,W250,AC250)-SUM(IF(F250&lt;L250,C250+D250-E250,0),IF(R250&lt;L250,O250+P250-Q250,0),IF(X250&lt;L250,U250+V250-W250,0),IF(AD250&lt;L250,AA250+AB250-AC250,0)))))</x:f>
        <x:v>0</x:v>
      </x:c>
      <x:c r="N250" s="6" t="n">
        <x:f>ROUND(MAX(0,I250+J250-K250-M250),2)</x:f>
        <x:v>0</x:v>
      </x:c>
      <x:c r="O250" s="6" t="n">
        <x:f>T249</x:f>
        <x:v>0</x:v>
      </x:c>
      <x:c r="P250" s="6" t="n">
        <x:f>ROUND(O250*'Debt strategy'!$D$11/12,2)</x:f>
        <x:v>0</x:v>
      </x:c>
      <x:c r="Q250" s="6" t="n">
        <x:f>MIN(O250+P250,'Debt strategy'!$E$11)</x:f>
        <x:v>0</x:v>
      </x:c>
      <x:c r="R250" s="27" t="n">
        <x:f>IF(O250+P250-Q250&lt;=0,99,1+SUM(IF(AND(C250+D250-E250&gt;0,OR(C250+D250-E250&lt;O250+P250-Q250,AND(C250+D250-E250=O250+P250-Q250,0&lt;2))),1,0),IF(AND(I250+J250-K250&gt;0,OR(I250+J250-K250&lt;O250+P250-Q250,AND(I250+J250-K250=O250+P250-Q250,1&lt;2))),1,0),IF(AND(U250+V250-W250&gt;0,OR(U250+V250-W250&lt;O250+P250-Q250,AND(U250+V250-W250=O250+P250-Q250,3&lt;2))),1,0),IF(AND(AA250+AB250-AC250&gt;0,OR(AA250+AB250-AC250&lt;O250+P250-Q250,AND(AA250+AB250-AC250=O250+P250-Q250,4&lt;2))),1,0)))</x:f>
        <x:v>99</x:v>
      </x:c>
      <x:c r="S250" s="6" t="n">
        <x:f>IF('Debt strategy'!$C$16&gt;0,0,MIN(O250+P250-Q250,MAX(0,'Debt strategy'!$C$5-SUM(E250,K250,Q250,W250,AC250)-SUM(IF(F250&lt;R250,C250+D250-E250,0),IF(L250&lt;R250,I250+J250-K250,0),IF(X250&lt;R250,U250+V250-W250,0),IF(AD250&lt;R250,AA250+AB250-AC250,0)))))</x:f>
        <x:v>0</x:v>
      </x:c>
      <x:c r="T250" s="6" t="n">
        <x:f>ROUND(MAX(0,O250+P250-Q250-S250),2)</x:f>
        <x:v>0</x:v>
      </x:c>
      <x:c r="U250" s="6" t="n">
        <x:f>Z249</x:f>
        <x:v>0</x:v>
      </x:c>
      <x:c r="V250" s="6" t="n">
        <x:f>ROUND(U250*'Debt strategy'!$D$12/12,2)</x:f>
        <x:v>0</x:v>
      </x:c>
      <x:c r="W250" s="6" t="n">
        <x:f>MIN(U250+V250,'Debt strategy'!$E$12)</x:f>
        <x:v>0</x:v>
      </x:c>
      <x:c r="X250" s="27" t="n">
        <x:f>IF(U250+V250-W250&lt;=0,99,1+SUM(IF(AND(C250+D250-E250&gt;0,OR(C250+D250-E250&lt;U250+V250-W250,AND(C250+D250-E250=U250+V250-W250,0&lt;3))),1,0),IF(AND(I250+J250-K250&gt;0,OR(I250+J250-K250&lt;U250+V250-W250,AND(I250+J250-K250=U250+V250-W250,1&lt;3))),1,0),IF(AND(O250+P250-Q250&gt;0,OR(O250+P250-Q250&lt;U250+V250-W250,AND(O250+P250-Q250=U250+V250-W250,2&lt;3))),1,0),IF(AND(AA250+AB250-AC250&gt;0,OR(AA250+AB250-AC250&lt;U250+V250-W250,AND(AA250+AB250-AC250=U250+V250-W250,4&lt;3))),1,0)))</x:f>
        <x:v>99</x:v>
      </x:c>
      <x:c r="Y250" s="6" t="n">
        <x:f>IF('Debt strategy'!$C$16&gt;0,0,MIN(U250+V250-W250,MAX(0,'Debt strategy'!$C$5-SUM(E250,K250,Q250,W250,AC250)-SUM(IF(F250&lt;X250,C250+D250-E250,0),IF(L250&lt;X250,I250+J250-K250,0),IF(R250&lt;X250,O250+P250-Q250,0),IF(AD250&lt;X250,AA250+AB250-AC250,0)))))</x:f>
        <x:v>0</x:v>
      </x:c>
      <x:c r="Z250" s="6" t="n">
        <x:f>ROUND(MAX(0,U250+V250-W250-Y250),2)</x:f>
        <x:v>0</x:v>
      </x:c>
      <x:c r="AA250" s="6" t="n">
        <x:f>AF249</x:f>
        <x:v>0</x:v>
      </x:c>
      <x:c r="AB250" s="6" t="n">
        <x:f>ROUND(AA250*'Debt strategy'!$D$13/12,2)</x:f>
        <x:v>0</x:v>
      </x:c>
      <x:c r="AC250" s="6" t="n">
        <x:f>MIN(AA250+AB250,'Debt strategy'!$E$13)</x:f>
        <x:v>0</x:v>
      </x:c>
      <x:c r="AD250" s="27" t="n">
        <x:f>IF(AA250+AB250-AC250&lt;=0,99,1+SUM(IF(AND(C250+D250-E250&gt;0,OR(C250+D250-E250&lt;AA250+AB250-AC250,AND(C250+D250-E250=AA250+AB250-AC250,0&lt;4))),1,0),IF(AND(I250+J250-K250&gt;0,OR(I250+J250-K250&lt;AA250+AB250-AC250,AND(I250+J250-K250=AA250+AB250-AC250,1&lt;4))),1,0),IF(AND(O250+P250-Q250&gt;0,OR(O250+P250-Q250&lt;AA250+AB250-AC250,AND(O250+P250-Q250=AA250+AB250-AC250,2&lt;4))),1,0),IF(AND(U250+V250-W250&gt;0,OR(U250+V250-W250&lt;AA250+AB250-AC250,AND(U250+V250-W250=AA250+AB250-AC250,3&lt;4))),1,0)))</x:f>
        <x:v>99</x:v>
      </x:c>
      <x:c r="AE250" s="6" t="n">
        <x:f>IF('Debt strategy'!$C$16&gt;0,0,MIN(AA250+AB250-AC250,MAX(0,'Debt strategy'!$C$5-SUM(E250,K250,Q250,W250,AC250)-SUM(IF(F250&lt;AD250,C250+D250-E250,0),IF(L250&lt;AD250,I250+J250-K250,0),IF(R250&lt;AD250,O250+P250-Q250,0),IF(X250&lt;AD250,U250+V250-W250,0)))))</x:f>
        <x:v>0</x:v>
      </x:c>
      <x:c r="AF250" s="6" t="n">
        <x:f>ROUND(MAX(0,AA250+AB250-AC250-AE250),2)</x:f>
        <x:v>0</x:v>
      </x:c>
      <x:c r="AG250" s="6" t="n">
        <x:f>SUM(H250,N250,T250,Z250,AF250)</x:f>
        <x:v>0</x:v>
      </x:c>
      <x:c r="AH250" s="6" t="n">
        <x:f>SUM(D250,J250,P250,V250,AB250)+AH249</x:f>
        <x:v>1353.9499999999996</x:v>
      </x:c>
      <x:c r="AI250" s="2"/>
    </x:row>
    <x:row r="251" ht="23" customHeight="1">
      <x:c r="B251" s="2" t="n">
        <x:f>243</x:f>
        <x:v>243</x:v>
      </x:c>
      <x:c r="C251" s="6" t="n">
        <x:f>H250</x:f>
        <x:v>0</x:v>
      </x:c>
      <x:c r="D251" s="6" t="n">
        <x:f>ROUND(C251*'Debt strategy'!$D$9/12,2)</x:f>
        <x:v>0</x:v>
      </x:c>
      <x:c r="E251" s="6" t="n">
        <x:f>MIN(C251+D251,'Debt strategy'!$E$9)</x:f>
        <x:v>0</x:v>
      </x:c>
      <x:c r="F251" s="27" t="n">
        <x:f>IF(C251+D251-E251&lt;=0,99,1+SUM(IF(AND(I251+J251-K251&gt;0,OR(I251+J251-K251&lt;C251+D251-E251,AND(I251+J251-K251=C251+D251-E251,1&lt;0))),1,0),IF(AND(O251+P251-Q251&gt;0,OR(O251+P251-Q251&lt;C251+D251-E251,AND(O251+P251-Q251=C251+D251-E251,2&lt;0))),1,0),IF(AND(U251+V251-W251&gt;0,OR(U251+V251-W251&lt;C251+D251-E251,AND(U251+V251-W251=C251+D251-E251,3&lt;0))),1,0),IF(AND(AA251+AB251-AC251&gt;0,OR(AA251+AB251-AC251&lt;C251+D251-E251,AND(AA251+AB251-AC251=C251+D251-E251,4&lt;0))),1,0)))</x:f>
        <x:v>99</x:v>
      </x:c>
      <x:c r="G251" s="6" t="n">
        <x:f>IF('Debt strategy'!$C$16&gt;0,0,MIN(C251+D251-E251,MAX(0,'Debt strategy'!$C$5-SUM(E251,K251,Q251,W251,AC251)-SUM(IF(L251&lt;F251,I251+J251-K251,0),IF(R251&lt;F251,O251+P251-Q251,0),IF(X251&lt;F251,U251+V251-W251,0),IF(AD251&lt;F251,AA251+AB251-AC251,0)))))</x:f>
        <x:v>0</x:v>
      </x:c>
      <x:c r="H251" s="6" t="n">
        <x:f>ROUND(MAX(0,C251+D251-E251-G251),2)</x:f>
        <x:v>0</x:v>
      </x:c>
      <x:c r="I251" s="6" t="n">
        <x:f>N250</x:f>
        <x:v>0</x:v>
      </x:c>
      <x:c r="J251" s="6" t="n">
        <x:f>ROUND(I251*'Debt strategy'!$D$10/12,2)</x:f>
        <x:v>0</x:v>
      </x:c>
      <x:c r="K251" s="6" t="n">
        <x:f>MIN(I251+J251,'Debt strategy'!$E$10)</x:f>
        <x:v>0</x:v>
      </x:c>
      <x:c r="L251" s="27" t="n">
        <x:f>IF(I251+J251-K251&lt;=0,99,1+SUM(IF(AND(C251+D251-E251&gt;0,OR(C251+D251-E251&lt;I251+J251-K251,AND(C251+D251-E251=I251+J251-K251,0&lt;1))),1,0),IF(AND(O251+P251-Q251&gt;0,OR(O251+P251-Q251&lt;I251+J251-K251,AND(O251+P251-Q251=I251+J251-K251,2&lt;1))),1,0),IF(AND(U251+V251-W251&gt;0,OR(U251+V251-W251&lt;I251+J251-K251,AND(U251+V251-W251=I251+J251-K251,3&lt;1))),1,0),IF(AND(AA251+AB251-AC251&gt;0,OR(AA251+AB251-AC251&lt;I251+J251-K251,AND(AA251+AB251-AC251=I251+J251-K251,4&lt;1))),1,0)))</x:f>
        <x:v>99</x:v>
      </x:c>
      <x:c r="M251" s="6" t="n">
        <x:f>IF('Debt strategy'!$C$16&gt;0,0,MIN(I251+J251-K251,MAX(0,'Debt strategy'!$C$5-SUM(E251,K251,Q251,W251,AC251)-SUM(IF(F251&lt;L251,C251+D251-E251,0),IF(R251&lt;L251,O251+P251-Q251,0),IF(X251&lt;L251,U251+V251-W251,0),IF(AD251&lt;L251,AA251+AB251-AC251,0)))))</x:f>
        <x:v>0</x:v>
      </x:c>
      <x:c r="N251" s="6" t="n">
        <x:f>ROUND(MAX(0,I251+J251-K251-M251),2)</x:f>
        <x:v>0</x:v>
      </x:c>
      <x:c r="O251" s="6" t="n">
        <x:f>T250</x:f>
        <x:v>0</x:v>
      </x:c>
      <x:c r="P251" s="6" t="n">
        <x:f>ROUND(O251*'Debt strategy'!$D$11/12,2)</x:f>
        <x:v>0</x:v>
      </x:c>
      <x:c r="Q251" s="6" t="n">
        <x:f>MIN(O251+P251,'Debt strategy'!$E$11)</x:f>
        <x:v>0</x:v>
      </x:c>
      <x:c r="R251" s="27" t="n">
        <x:f>IF(O251+P251-Q251&lt;=0,99,1+SUM(IF(AND(C251+D251-E251&gt;0,OR(C251+D251-E251&lt;O251+P251-Q251,AND(C251+D251-E251=O251+P251-Q251,0&lt;2))),1,0),IF(AND(I251+J251-K251&gt;0,OR(I251+J251-K251&lt;O251+P251-Q251,AND(I251+J251-K251=O251+P251-Q251,1&lt;2))),1,0),IF(AND(U251+V251-W251&gt;0,OR(U251+V251-W251&lt;O251+P251-Q251,AND(U251+V251-W251=O251+P251-Q251,3&lt;2))),1,0),IF(AND(AA251+AB251-AC251&gt;0,OR(AA251+AB251-AC251&lt;O251+P251-Q251,AND(AA251+AB251-AC251=O251+P251-Q251,4&lt;2))),1,0)))</x:f>
        <x:v>99</x:v>
      </x:c>
      <x:c r="S251" s="6" t="n">
        <x:f>IF('Debt strategy'!$C$16&gt;0,0,MIN(O251+P251-Q251,MAX(0,'Debt strategy'!$C$5-SUM(E251,K251,Q251,W251,AC251)-SUM(IF(F251&lt;R251,C251+D251-E251,0),IF(L251&lt;R251,I251+J251-K251,0),IF(X251&lt;R251,U251+V251-W251,0),IF(AD251&lt;R251,AA251+AB251-AC251,0)))))</x:f>
        <x:v>0</x:v>
      </x:c>
      <x:c r="T251" s="6" t="n">
        <x:f>ROUND(MAX(0,O251+P251-Q251-S251),2)</x:f>
        <x:v>0</x:v>
      </x:c>
      <x:c r="U251" s="6" t="n">
        <x:f>Z250</x:f>
        <x:v>0</x:v>
      </x:c>
      <x:c r="V251" s="6" t="n">
        <x:f>ROUND(U251*'Debt strategy'!$D$12/12,2)</x:f>
        <x:v>0</x:v>
      </x:c>
      <x:c r="W251" s="6" t="n">
        <x:f>MIN(U251+V251,'Debt strategy'!$E$12)</x:f>
        <x:v>0</x:v>
      </x:c>
      <x:c r="X251" s="27" t="n">
        <x:f>IF(U251+V251-W251&lt;=0,99,1+SUM(IF(AND(C251+D251-E251&gt;0,OR(C251+D251-E251&lt;U251+V251-W251,AND(C251+D251-E251=U251+V251-W251,0&lt;3))),1,0),IF(AND(I251+J251-K251&gt;0,OR(I251+J251-K251&lt;U251+V251-W251,AND(I251+J251-K251=U251+V251-W251,1&lt;3))),1,0),IF(AND(O251+P251-Q251&gt;0,OR(O251+P251-Q251&lt;U251+V251-W251,AND(O251+P251-Q251=U251+V251-W251,2&lt;3))),1,0),IF(AND(AA251+AB251-AC251&gt;0,OR(AA251+AB251-AC251&lt;U251+V251-W251,AND(AA251+AB251-AC251=U251+V251-W251,4&lt;3))),1,0)))</x:f>
        <x:v>99</x:v>
      </x:c>
      <x:c r="Y251" s="6" t="n">
        <x:f>IF('Debt strategy'!$C$16&gt;0,0,MIN(U251+V251-W251,MAX(0,'Debt strategy'!$C$5-SUM(E251,K251,Q251,W251,AC251)-SUM(IF(F251&lt;X251,C251+D251-E251,0),IF(L251&lt;X251,I251+J251-K251,0),IF(R251&lt;X251,O251+P251-Q251,0),IF(AD251&lt;X251,AA251+AB251-AC251,0)))))</x:f>
        <x:v>0</x:v>
      </x:c>
      <x:c r="Z251" s="6" t="n">
        <x:f>ROUND(MAX(0,U251+V251-W251-Y251),2)</x:f>
        <x:v>0</x:v>
      </x:c>
      <x:c r="AA251" s="6" t="n">
        <x:f>AF250</x:f>
        <x:v>0</x:v>
      </x:c>
      <x:c r="AB251" s="6" t="n">
        <x:f>ROUND(AA251*'Debt strategy'!$D$13/12,2)</x:f>
        <x:v>0</x:v>
      </x:c>
      <x:c r="AC251" s="6" t="n">
        <x:f>MIN(AA251+AB251,'Debt strategy'!$E$13)</x:f>
        <x:v>0</x:v>
      </x:c>
      <x:c r="AD251" s="27" t="n">
        <x:f>IF(AA251+AB251-AC251&lt;=0,99,1+SUM(IF(AND(C251+D251-E251&gt;0,OR(C251+D251-E251&lt;AA251+AB251-AC251,AND(C251+D251-E251=AA251+AB251-AC251,0&lt;4))),1,0),IF(AND(I251+J251-K251&gt;0,OR(I251+J251-K251&lt;AA251+AB251-AC251,AND(I251+J251-K251=AA251+AB251-AC251,1&lt;4))),1,0),IF(AND(O251+P251-Q251&gt;0,OR(O251+P251-Q251&lt;AA251+AB251-AC251,AND(O251+P251-Q251=AA251+AB251-AC251,2&lt;4))),1,0),IF(AND(U251+V251-W251&gt;0,OR(U251+V251-W251&lt;AA251+AB251-AC251,AND(U251+V251-W251=AA251+AB251-AC251,3&lt;4))),1,0)))</x:f>
        <x:v>99</x:v>
      </x:c>
      <x:c r="AE251" s="6" t="n">
        <x:f>IF('Debt strategy'!$C$16&gt;0,0,MIN(AA251+AB251-AC251,MAX(0,'Debt strategy'!$C$5-SUM(E251,K251,Q251,W251,AC251)-SUM(IF(F251&lt;AD251,C251+D251-E251,0),IF(L251&lt;AD251,I251+J251-K251,0),IF(R251&lt;AD251,O251+P251-Q251,0),IF(X251&lt;AD251,U251+V251-W251,0)))))</x:f>
        <x:v>0</x:v>
      </x:c>
      <x:c r="AF251" s="6" t="n">
        <x:f>ROUND(MAX(0,AA251+AB251-AC251-AE251),2)</x:f>
        <x:v>0</x:v>
      </x:c>
      <x:c r="AG251" s="6" t="n">
        <x:f>SUM(H251,N251,T251,Z251,AF251)</x:f>
        <x:v>0</x:v>
      </x:c>
      <x:c r="AH251" s="6" t="n">
        <x:f>SUM(D251,J251,P251,V251,AB251)+AH250</x:f>
        <x:v>1353.9499999999996</x:v>
      </x:c>
      <x:c r="AI251" s="2"/>
    </x:row>
    <x:row r="252" ht="23" customHeight="1">
      <x:c r="B252" s="2" t="n">
        <x:f>244</x:f>
        <x:v>244</x:v>
      </x:c>
      <x:c r="C252" s="6" t="n">
        <x:f>H251</x:f>
        <x:v>0</x:v>
      </x:c>
      <x:c r="D252" s="6" t="n">
        <x:f>ROUND(C252*'Debt strategy'!$D$9/12,2)</x:f>
        <x:v>0</x:v>
      </x:c>
      <x:c r="E252" s="6" t="n">
        <x:f>MIN(C252+D252,'Debt strategy'!$E$9)</x:f>
        <x:v>0</x:v>
      </x:c>
      <x:c r="F252" s="27" t="n">
        <x:f>IF(C252+D252-E252&lt;=0,99,1+SUM(IF(AND(I252+J252-K252&gt;0,OR(I252+J252-K252&lt;C252+D252-E252,AND(I252+J252-K252=C252+D252-E252,1&lt;0))),1,0),IF(AND(O252+P252-Q252&gt;0,OR(O252+P252-Q252&lt;C252+D252-E252,AND(O252+P252-Q252=C252+D252-E252,2&lt;0))),1,0),IF(AND(U252+V252-W252&gt;0,OR(U252+V252-W252&lt;C252+D252-E252,AND(U252+V252-W252=C252+D252-E252,3&lt;0))),1,0),IF(AND(AA252+AB252-AC252&gt;0,OR(AA252+AB252-AC252&lt;C252+D252-E252,AND(AA252+AB252-AC252=C252+D252-E252,4&lt;0))),1,0)))</x:f>
        <x:v>99</x:v>
      </x:c>
      <x:c r="G252" s="6" t="n">
        <x:f>IF('Debt strategy'!$C$16&gt;0,0,MIN(C252+D252-E252,MAX(0,'Debt strategy'!$C$5-SUM(E252,K252,Q252,W252,AC252)-SUM(IF(L252&lt;F252,I252+J252-K252,0),IF(R252&lt;F252,O252+P252-Q252,0),IF(X252&lt;F252,U252+V252-W252,0),IF(AD252&lt;F252,AA252+AB252-AC252,0)))))</x:f>
        <x:v>0</x:v>
      </x:c>
      <x:c r="H252" s="6" t="n">
        <x:f>ROUND(MAX(0,C252+D252-E252-G252),2)</x:f>
        <x:v>0</x:v>
      </x:c>
      <x:c r="I252" s="6" t="n">
        <x:f>N251</x:f>
        <x:v>0</x:v>
      </x:c>
      <x:c r="J252" s="6" t="n">
        <x:f>ROUND(I252*'Debt strategy'!$D$10/12,2)</x:f>
        <x:v>0</x:v>
      </x:c>
      <x:c r="K252" s="6" t="n">
        <x:f>MIN(I252+J252,'Debt strategy'!$E$10)</x:f>
        <x:v>0</x:v>
      </x:c>
      <x:c r="L252" s="27" t="n">
        <x:f>IF(I252+J252-K252&lt;=0,99,1+SUM(IF(AND(C252+D252-E252&gt;0,OR(C252+D252-E252&lt;I252+J252-K252,AND(C252+D252-E252=I252+J252-K252,0&lt;1))),1,0),IF(AND(O252+P252-Q252&gt;0,OR(O252+P252-Q252&lt;I252+J252-K252,AND(O252+P252-Q252=I252+J252-K252,2&lt;1))),1,0),IF(AND(U252+V252-W252&gt;0,OR(U252+V252-W252&lt;I252+J252-K252,AND(U252+V252-W252=I252+J252-K252,3&lt;1))),1,0),IF(AND(AA252+AB252-AC252&gt;0,OR(AA252+AB252-AC252&lt;I252+J252-K252,AND(AA252+AB252-AC252=I252+J252-K252,4&lt;1))),1,0)))</x:f>
        <x:v>99</x:v>
      </x:c>
      <x:c r="M252" s="6" t="n">
        <x:f>IF('Debt strategy'!$C$16&gt;0,0,MIN(I252+J252-K252,MAX(0,'Debt strategy'!$C$5-SUM(E252,K252,Q252,W252,AC252)-SUM(IF(F252&lt;L252,C252+D252-E252,0),IF(R252&lt;L252,O252+P252-Q252,0),IF(X252&lt;L252,U252+V252-W252,0),IF(AD252&lt;L252,AA252+AB252-AC252,0)))))</x:f>
        <x:v>0</x:v>
      </x:c>
      <x:c r="N252" s="6" t="n">
        <x:f>ROUND(MAX(0,I252+J252-K252-M252),2)</x:f>
        <x:v>0</x:v>
      </x:c>
      <x:c r="O252" s="6" t="n">
        <x:f>T251</x:f>
        <x:v>0</x:v>
      </x:c>
      <x:c r="P252" s="6" t="n">
        <x:f>ROUND(O252*'Debt strategy'!$D$11/12,2)</x:f>
        <x:v>0</x:v>
      </x:c>
      <x:c r="Q252" s="6" t="n">
        <x:f>MIN(O252+P252,'Debt strategy'!$E$11)</x:f>
        <x:v>0</x:v>
      </x:c>
      <x:c r="R252" s="27" t="n">
        <x:f>IF(O252+P252-Q252&lt;=0,99,1+SUM(IF(AND(C252+D252-E252&gt;0,OR(C252+D252-E252&lt;O252+P252-Q252,AND(C252+D252-E252=O252+P252-Q252,0&lt;2))),1,0),IF(AND(I252+J252-K252&gt;0,OR(I252+J252-K252&lt;O252+P252-Q252,AND(I252+J252-K252=O252+P252-Q252,1&lt;2))),1,0),IF(AND(U252+V252-W252&gt;0,OR(U252+V252-W252&lt;O252+P252-Q252,AND(U252+V252-W252=O252+P252-Q252,3&lt;2))),1,0),IF(AND(AA252+AB252-AC252&gt;0,OR(AA252+AB252-AC252&lt;O252+P252-Q252,AND(AA252+AB252-AC252=O252+P252-Q252,4&lt;2))),1,0)))</x:f>
        <x:v>99</x:v>
      </x:c>
      <x:c r="S252" s="6" t="n">
        <x:f>IF('Debt strategy'!$C$16&gt;0,0,MIN(O252+P252-Q252,MAX(0,'Debt strategy'!$C$5-SUM(E252,K252,Q252,W252,AC252)-SUM(IF(F252&lt;R252,C252+D252-E252,0),IF(L252&lt;R252,I252+J252-K252,0),IF(X252&lt;R252,U252+V252-W252,0),IF(AD252&lt;R252,AA252+AB252-AC252,0)))))</x:f>
        <x:v>0</x:v>
      </x:c>
      <x:c r="T252" s="6" t="n">
        <x:f>ROUND(MAX(0,O252+P252-Q252-S252),2)</x:f>
        <x:v>0</x:v>
      </x:c>
      <x:c r="U252" s="6" t="n">
        <x:f>Z251</x:f>
        <x:v>0</x:v>
      </x:c>
      <x:c r="V252" s="6" t="n">
        <x:f>ROUND(U252*'Debt strategy'!$D$12/12,2)</x:f>
        <x:v>0</x:v>
      </x:c>
      <x:c r="W252" s="6" t="n">
        <x:f>MIN(U252+V252,'Debt strategy'!$E$12)</x:f>
        <x:v>0</x:v>
      </x:c>
      <x:c r="X252" s="27" t="n">
        <x:f>IF(U252+V252-W252&lt;=0,99,1+SUM(IF(AND(C252+D252-E252&gt;0,OR(C252+D252-E252&lt;U252+V252-W252,AND(C252+D252-E252=U252+V252-W252,0&lt;3))),1,0),IF(AND(I252+J252-K252&gt;0,OR(I252+J252-K252&lt;U252+V252-W252,AND(I252+J252-K252=U252+V252-W252,1&lt;3))),1,0),IF(AND(O252+P252-Q252&gt;0,OR(O252+P252-Q252&lt;U252+V252-W252,AND(O252+P252-Q252=U252+V252-W252,2&lt;3))),1,0),IF(AND(AA252+AB252-AC252&gt;0,OR(AA252+AB252-AC252&lt;U252+V252-W252,AND(AA252+AB252-AC252=U252+V252-W252,4&lt;3))),1,0)))</x:f>
        <x:v>99</x:v>
      </x:c>
      <x:c r="Y252" s="6" t="n">
        <x:f>IF('Debt strategy'!$C$16&gt;0,0,MIN(U252+V252-W252,MAX(0,'Debt strategy'!$C$5-SUM(E252,K252,Q252,W252,AC252)-SUM(IF(F252&lt;X252,C252+D252-E252,0),IF(L252&lt;X252,I252+J252-K252,0),IF(R252&lt;X252,O252+P252-Q252,0),IF(AD252&lt;X252,AA252+AB252-AC252,0)))))</x:f>
        <x:v>0</x:v>
      </x:c>
      <x:c r="Z252" s="6" t="n">
        <x:f>ROUND(MAX(0,U252+V252-W252-Y252),2)</x:f>
        <x:v>0</x:v>
      </x:c>
      <x:c r="AA252" s="6" t="n">
        <x:f>AF251</x:f>
        <x:v>0</x:v>
      </x:c>
      <x:c r="AB252" s="6" t="n">
        <x:f>ROUND(AA252*'Debt strategy'!$D$13/12,2)</x:f>
        <x:v>0</x:v>
      </x:c>
      <x:c r="AC252" s="6" t="n">
        <x:f>MIN(AA252+AB252,'Debt strategy'!$E$13)</x:f>
        <x:v>0</x:v>
      </x:c>
      <x:c r="AD252" s="27" t="n">
        <x:f>IF(AA252+AB252-AC252&lt;=0,99,1+SUM(IF(AND(C252+D252-E252&gt;0,OR(C252+D252-E252&lt;AA252+AB252-AC252,AND(C252+D252-E252=AA252+AB252-AC252,0&lt;4))),1,0),IF(AND(I252+J252-K252&gt;0,OR(I252+J252-K252&lt;AA252+AB252-AC252,AND(I252+J252-K252=AA252+AB252-AC252,1&lt;4))),1,0),IF(AND(O252+P252-Q252&gt;0,OR(O252+P252-Q252&lt;AA252+AB252-AC252,AND(O252+P252-Q252=AA252+AB252-AC252,2&lt;4))),1,0),IF(AND(U252+V252-W252&gt;0,OR(U252+V252-W252&lt;AA252+AB252-AC252,AND(U252+V252-W252=AA252+AB252-AC252,3&lt;4))),1,0)))</x:f>
        <x:v>99</x:v>
      </x:c>
      <x:c r="AE252" s="6" t="n">
        <x:f>IF('Debt strategy'!$C$16&gt;0,0,MIN(AA252+AB252-AC252,MAX(0,'Debt strategy'!$C$5-SUM(E252,K252,Q252,W252,AC252)-SUM(IF(F252&lt;AD252,C252+D252-E252,0),IF(L252&lt;AD252,I252+J252-K252,0),IF(R252&lt;AD252,O252+P252-Q252,0),IF(X252&lt;AD252,U252+V252-W252,0)))))</x:f>
        <x:v>0</x:v>
      </x:c>
      <x:c r="AF252" s="6" t="n">
        <x:f>ROUND(MAX(0,AA252+AB252-AC252-AE252),2)</x:f>
        <x:v>0</x:v>
      </x:c>
      <x:c r="AG252" s="6" t="n">
        <x:f>SUM(H252,N252,T252,Z252,AF252)</x:f>
        <x:v>0</x:v>
      </x:c>
      <x:c r="AH252" s="6" t="n">
        <x:f>SUM(D252,J252,P252,V252,AB252)+AH251</x:f>
        <x:v>1353.9499999999996</x:v>
      </x:c>
      <x:c r="AI252" s="2"/>
    </x:row>
    <x:row r="253" ht="23" customHeight="1">
      <x:c r="B253" s="2" t="n">
        <x:f>245</x:f>
        <x:v>245</x:v>
      </x:c>
      <x:c r="C253" s="6" t="n">
        <x:f>H252</x:f>
        <x:v>0</x:v>
      </x:c>
      <x:c r="D253" s="6" t="n">
        <x:f>ROUND(C253*'Debt strategy'!$D$9/12,2)</x:f>
        <x:v>0</x:v>
      </x:c>
      <x:c r="E253" s="6" t="n">
        <x:f>MIN(C253+D253,'Debt strategy'!$E$9)</x:f>
        <x:v>0</x:v>
      </x:c>
      <x:c r="F253" s="27" t="n">
        <x:f>IF(C253+D253-E253&lt;=0,99,1+SUM(IF(AND(I253+J253-K253&gt;0,OR(I253+J253-K253&lt;C253+D253-E253,AND(I253+J253-K253=C253+D253-E253,1&lt;0))),1,0),IF(AND(O253+P253-Q253&gt;0,OR(O253+P253-Q253&lt;C253+D253-E253,AND(O253+P253-Q253=C253+D253-E253,2&lt;0))),1,0),IF(AND(U253+V253-W253&gt;0,OR(U253+V253-W253&lt;C253+D253-E253,AND(U253+V253-W253=C253+D253-E253,3&lt;0))),1,0),IF(AND(AA253+AB253-AC253&gt;0,OR(AA253+AB253-AC253&lt;C253+D253-E253,AND(AA253+AB253-AC253=C253+D253-E253,4&lt;0))),1,0)))</x:f>
        <x:v>99</x:v>
      </x:c>
      <x:c r="G253" s="6" t="n">
        <x:f>IF('Debt strategy'!$C$16&gt;0,0,MIN(C253+D253-E253,MAX(0,'Debt strategy'!$C$5-SUM(E253,K253,Q253,W253,AC253)-SUM(IF(L253&lt;F253,I253+J253-K253,0),IF(R253&lt;F253,O253+P253-Q253,0),IF(X253&lt;F253,U253+V253-W253,0),IF(AD253&lt;F253,AA253+AB253-AC253,0)))))</x:f>
        <x:v>0</x:v>
      </x:c>
      <x:c r="H253" s="6" t="n">
        <x:f>ROUND(MAX(0,C253+D253-E253-G253),2)</x:f>
        <x:v>0</x:v>
      </x:c>
      <x:c r="I253" s="6" t="n">
        <x:f>N252</x:f>
        <x:v>0</x:v>
      </x:c>
      <x:c r="J253" s="6" t="n">
        <x:f>ROUND(I253*'Debt strategy'!$D$10/12,2)</x:f>
        <x:v>0</x:v>
      </x:c>
      <x:c r="K253" s="6" t="n">
        <x:f>MIN(I253+J253,'Debt strategy'!$E$10)</x:f>
        <x:v>0</x:v>
      </x:c>
      <x:c r="L253" s="27" t="n">
        <x:f>IF(I253+J253-K253&lt;=0,99,1+SUM(IF(AND(C253+D253-E253&gt;0,OR(C253+D253-E253&lt;I253+J253-K253,AND(C253+D253-E253=I253+J253-K253,0&lt;1))),1,0),IF(AND(O253+P253-Q253&gt;0,OR(O253+P253-Q253&lt;I253+J253-K253,AND(O253+P253-Q253=I253+J253-K253,2&lt;1))),1,0),IF(AND(U253+V253-W253&gt;0,OR(U253+V253-W253&lt;I253+J253-K253,AND(U253+V253-W253=I253+J253-K253,3&lt;1))),1,0),IF(AND(AA253+AB253-AC253&gt;0,OR(AA253+AB253-AC253&lt;I253+J253-K253,AND(AA253+AB253-AC253=I253+J253-K253,4&lt;1))),1,0)))</x:f>
        <x:v>99</x:v>
      </x:c>
      <x:c r="M253" s="6" t="n">
        <x:f>IF('Debt strategy'!$C$16&gt;0,0,MIN(I253+J253-K253,MAX(0,'Debt strategy'!$C$5-SUM(E253,K253,Q253,W253,AC253)-SUM(IF(F253&lt;L253,C253+D253-E253,0),IF(R253&lt;L253,O253+P253-Q253,0),IF(X253&lt;L253,U253+V253-W253,0),IF(AD253&lt;L253,AA253+AB253-AC253,0)))))</x:f>
        <x:v>0</x:v>
      </x:c>
      <x:c r="N253" s="6" t="n">
        <x:f>ROUND(MAX(0,I253+J253-K253-M253),2)</x:f>
        <x:v>0</x:v>
      </x:c>
      <x:c r="O253" s="6" t="n">
        <x:f>T252</x:f>
        <x:v>0</x:v>
      </x:c>
      <x:c r="P253" s="6" t="n">
        <x:f>ROUND(O253*'Debt strategy'!$D$11/12,2)</x:f>
        <x:v>0</x:v>
      </x:c>
      <x:c r="Q253" s="6" t="n">
        <x:f>MIN(O253+P253,'Debt strategy'!$E$11)</x:f>
        <x:v>0</x:v>
      </x:c>
      <x:c r="R253" s="27" t="n">
        <x:f>IF(O253+P253-Q253&lt;=0,99,1+SUM(IF(AND(C253+D253-E253&gt;0,OR(C253+D253-E253&lt;O253+P253-Q253,AND(C253+D253-E253=O253+P253-Q253,0&lt;2))),1,0),IF(AND(I253+J253-K253&gt;0,OR(I253+J253-K253&lt;O253+P253-Q253,AND(I253+J253-K253=O253+P253-Q253,1&lt;2))),1,0),IF(AND(U253+V253-W253&gt;0,OR(U253+V253-W253&lt;O253+P253-Q253,AND(U253+V253-W253=O253+P253-Q253,3&lt;2))),1,0),IF(AND(AA253+AB253-AC253&gt;0,OR(AA253+AB253-AC253&lt;O253+P253-Q253,AND(AA253+AB253-AC253=O253+P253-Q253,4&lt;2))),1,0)))</x:f>
        <x:v>99</x:v>
      </x:c>
      <x:c r="S253" s="6" t="n">
        <x:f>IF('Debt strategy'!$C$16&gt;0,0,MIN(O253+P253-Q253,MAX(0,'Debt strategy'!$C$5-SUM(E253,K253,Q253,W253,AC253)-SUM(IF(F253&lt;R253,C253+D253-E253,0),IF(L253&lt;R253,I253+J253-K253,0),IF(X253&lt;R253,U253+V253-W253,0),IF(AD253&lt;R253,AA253+AB253-AC253,0)))))</x:f>
        <x:v>0</x:v>
      </x:c>
      <x:c r="T253" s="6" t="n">
        <x:f>ROUND(MAX(0,O253+P253-Q253-S253),2)</x:f>
        <x:v>0</x:v>
      </x:c>
      <x:c r="U253" s="6" t="n">
        <x:f>Z252</x:f>
        <x:v>0</x:v>
      </x:c>
      <x:c r="V253" s="6" t="n">
        <x:f>ROUND(U253*'Debt strategy'!$D$12/12,2)</x:f>
        <x:v>0</x:v>
      </x:c>
      <x:c r="W253" s="6" t="n">
        <x:f>MIN(U253+V253,'Debt strategy'!$E$12)</x:f>
        <x:v>0</x:v>
      </x:c>
      <x:c r="X253" s="27" t="n">
        <x:f>IF(U253+V253-W253&lt;=0,99,1+SUM(IF(AND(C253+D253-E253&gt;0,OR(C253+D253-E253&lt;U253+V253-W253,AND(C253+D253-E253=U253+V253-W253,0&lt;3))),1,0),IF(AND(I253+J253-K253&gt;0,OR(I253+J253-K253&lt;U253+V253-W253,AND(I253+J253-K253=U253+V253-W253,1&lt;3))),1,0),IF(AND(O253+P253-Q253&gt;0,OR(O253+P253-Q253&lt;U253+V253-W253,AND(O253+P253-Q253=U253+V253-W253,2&lt;3))),1,0),IF(AND(AA253+AB253-AC253&gt;0,OR(AA253+AB253-AC253&lt;U253+V253-W253,AND(AA253+AB253-AC253=U253+V253-W253,4&lt;3))),1,0)))</x:f>
        <x:v>99</x:v>
      </x:c>
      <x:c r="Y253" s="6" t="n">
        <x:f>IF('Debt strategy'!$C$16&gt;0,0,MIN(U253+V253-W253,MAX(0,'Debt strategy'!$C$5-SUM(E253,K253,Q253,W253,AC253)-SUM(IF(F253&lt;X253,C253+D253-E253,0),IF(L253&lt;X253,I253+J253-K253,0),IF(R253&lt;X253,O253+P253-Q253,0),IF(AD253&lt;X253,AA253+AB253-AC253,0)))))</x:f>
        <x:v>0</x:v>
      </x:c>
      <x:c r="Z253" s="6" t="n">
        <x:f>ROUND(MAX(0,U253+V253-W253-Y253),2)</x:f>
        <x:v>0</x:v>
      </x:c>
      <x:c r="AA253" s="6" t="n">
        <x:f>AF252</x:f>
        <x:v>0</x:v>
      </x:c>
      <x:c r="AB253" s="6" t="n">
        <x:f>ROUND(AA253*'Debt strategy'!$D$13/12,2)</x:f>
        <x:v>0</x:v>
      </x:c>
      <x:c r="AC253" s="6" t="n">
        <x:f>MIN(AA253+AB253,'Debt strategy'!$E$13)</x:f>
        <x:v>0</x:v>
      </x:c>
      <x:c r="AD253" s="27" t="n">
        <x:f>IF(AA253+AB253-AC253&lt;=0,99,1+SUM(IF(AND(C253+D253-E253&gt;0,OR(C253+D253-E253&lt;AA253+AB253-AC253,AND(C253+D253-E253=AA253+AB253-AC253,0&lt;4))),1,0),IF(AND(I253+J253-K253&gt;0,OR(I253+J253-K253&lt;AA253+AB253-AC253,AND(I253+J253-K253=AA253+AB253-AC253,1&lt;4))),1,0),IF(AND(O253+P253-Q253&gt;0,OR(O253+P253-Q253&lt;AA253+AB253-AC253,AND(O253+P253-Q253=AA253+AB253-AC253,2&lt;4))),1,0),IF(AND(U253+V253-W253&gt;0,OR(U253+V253-W253&lt;AA253+AB253-AC253,AND(U253+V253-W253=AA253+AB253-AC253,3&lt;4))),1,0)))</x:f>
        <x:v>99</x:v>
      </x:c>
      <x:c r="AE253" s="6" t="n">
        <x:f>IF('Debt strategy'!$C$16&gt;0,0,MIN(AA253+AB253-AC253,MAX(0,'Debt strategy'!$C$5-SUM(E253,K253,Q253,W253,AC253)-SUM(IF(F253&lt;AD253,C253+D253-E253,0),IF(L253&lt;AD253,I253+J253-K253,0),IF(R253&lt;AD253,O253+P253-Q253,0),IF(X253&lt;AD253,U253+V253-W253,0)))))</x:f>
        <x:v>0</x:v>
      </x:c>
      <x:c r="AF253" s="6" t="n">
        <x:f>ROUND(MAX(0,AA253+AB253-AC253-AE253),2)</x:f>
        <x:v>0</x:v>
      </x:c>
      <x:c r="AG253" s="6" t="n">
        <x:f>SUM(H253,N253,T253,Z253,AF253)</x:f>
        <x:v>0</x:v>
      </x:c>
      <x:c r="AH253" s="6" t="n">
        <x:f>SUM(D253,J253,P253,V253,AB253)+AH252</x:f>
        <x:v>1353.9499999999996</x:v>
      </x:c>
      <x:c r="AI253" s="2"/>
    </x:row>
    <x:row r="254" ht="23" customHeight="1">
      <x:c r="B254" s="2" t="n">
        <x:f>246</x:f>
        <x:v>246</x:v>
      </x:c>
      <x:c r="C254" s="6" t="n">
        <x:f>H253</x:f>
        <x:v>0</x:v>
      </x:c>
      <x:c r="D254" s="6" t="n">
        <x:f>ROUND(C254*'Debt strategy'!$D$9/12,2)</x:f>
        <x:v>0</x:v>
      </x:c>
      <x:c r="E254" s="6" t="n">
        <x:f>MIN(C254+D254,'Debt strategy'!$E$9)</x:f>
        <x:v>0</x:v>
      </x:c>
      <x:c r="F254" s="27" t="n">
        <x:f>IF(C254+D254-E254&lt;=0,99,1+SUM(IF(AND(I254+J254-K254&gt;0,OR(I254+J254-K254&lt;C254+D254-E254,AND(I254+J254-K254=C254+D254-E254,1&lt;0))),1,0),IF(AND(O254+P254-Q254&gt;0,OR(O254+P254-Q254&lt;C254+D254-E254,AND(O254+P254-Q254=C254+D254-E254,2&lt;0))),1,0),IF(AND(U254+V254-W254&gt;0,OR(U254+V254-W254&lt;C254+D254-E254,AND(U254+V254-W254=C254+D254-E254,3&lt;0))),1,0),IF(AND(AA254+AB254-AC254&gt;0,OR(AA254+AB254-AC254&lt;C254+D254-E254,AND(AA254+AB254-AC254=C254+D254-E254,4&lt;0))),1,0)))</x:f>
        <x:v>99</x:v>
      </x:c>
      <x:c r="G254" s="6" t="n">
        <x:f>IF('Debt strategy'!$C$16&gt;0,0,MIN(C254+D254-E254,MAX(0,'Debt strategy'!$C$5-SUM(E254,K254,Q254,W254,AC254)-SUM(IF(L254&lt;F254,I254+J254-K254,0),IF(R254&lt;F254,O254+P254-Q254,0),IF(X254&lt;F254,U254+V254-W254,0),IF(AD254&lt;F254,AA254+AB254-AC254,0)))))</x:f>
        <x:v>0</x:v>
      </x:c>
      <x:c r="H254" s="6" t="n">
        <x:f>ROUND(MAX(0,C254+D254-E254-G254),2)</x:f>
        <x:v>0</x:v>
      </x:c>
      <x:c r="I254" s="6" t="n">
        <x:f>N253</x:f>
        <x:v>0</x:v>
      </x:c>
      <x:c r="J254" s="6" t="n">
        <x:f>ROUND(I254*'Debt strategy'!$D$10/12,2)</x:f>
        <x:v>0</x:v>
      </x:c>
      <x:c r="K254" s="6" t="n">
        <x:f>MIN(I254+J254,'Debt strategy'!$E$10)</x:f>
        <x:v>0</x:v>
      </x:c>
      <x:c r="L254" s="27" t="n">
        <x:f>IF(I254+J254-K254&lt;=0,99,1+SUM(IF(AND(C254+D254-E254&gt;0,OR(C254+D254-E254&lt;I254+J254-K254,AND(C254+D254-E254=I254+J254-K254,0&lt;1))),1,0),IF(AND(O254+P254-Q254&gt;0,OR(O254+P254-Q254&lt;I254+J254-K254,AND(O254+P254-Q254=I254+J254-K254,2&lt;1))),1,0),IF(AND(U254+V254-W254&gt;0,OR(U254+V254-W254&lt;I254+J254-K254,AND(U254+V254-W254=I254+J254-K254,3&lt;1))),1,0),IF(AND(AA254+AB254-AC254&gt;0,OR(AA254+AB254-AC254&lt;I254+J254-K254,AND(AA254+AB254-AC254=I254+J254-K254,4&lt;1))),1,0)))</x:f>
        <x:v>99</x:v>
      </x:c>
      <x:c r="M254" s="6" t="n">
        <x:f>IF('Debt strategy'!$C$16&gt;0,0,MIN(I254+J254-K254,MAX(0,'Debt strategy'!$C$5-SUM(E254,K254,Q254,W254,AC254)-SUM(IF(F254&lt;L254,C254+D254-E254,0),IF(R254&lt;L254,O254+P254-Q254,0),IF(X254&lt;L254,U254+V254-W254,0),IF(AD254&lt;L254,AA254+AB254-AC254,0)))))</x:f>
        <x:v>0</x:v>
      </x:c>
      <x:c r="N254" s="6" t="n">
        <x:f>ROUND(MAX(0,I254+J254-K254-M254),2)</x:f>
        <x:v>0</x:v>
      </x:c>
      <x:c r="O254" s="6" t="n">
        <x:f>T253</x:f>
        <x:v>0</x:v>
      </x:c>
      <x:c r="P254" s="6" t="n">
        <x:f>ROUND(O254*'Debt strategy'!$D$11/12,2)</x:f>
        <x:v>0</x:v>
      </x:c>
      <x:c r="Q254" s="6" t="n">
        <x:f>MIN(O254+P254,'Debt strategy'!$E$11)</x:f>
        <x:v>0</x:v>
      </x:c>
      <x:c r="R254" s="27" t="n">
        <x:f>IF(O254+P254-Q254&lt;=0,99,1+SUM(IF(AND(C254+D254-E254&gt;0,OR(C254+D254-E254&lt;O254+P254-Q254,AND(C254+D254-E254=O254+P254-Q254,0&lt;2))),1,0),IF(AND(I254+J254-K254&gt;0,OR(I254+J254-K254&lt;O254+P254-Q254,AND(I254+J254-K254=O254+P254-Q254,1&lt;2))),1,0),IF(AND(U254+V254-W254&gt;0,OR(U254+V254-W254&lt;O254+P254-Q254,AND(U254+V254-W254=O254+P254-Q254,3&lt;2))),1,0),IF(AND(AA254+AB254-AC254&gt;0,OR(AA254+AB254-AC254&lt;O254+P254-Q254,AND(AA254+AB254-AC254=O254+P254-Q254,4&lt;2))),1,0)))</x:f>
        <x:v>99</x:v>
      </x:c>
      <x:c r="S254" s="6" t="n">
        <x:f>IF('Debt strategy'!$C$16&gt;0,0,MIN(O254+P254-Q254,MAX(0,'Debt strategy'!$C$5-SUM(E254,K254,Q254,W254,AC254)-SUM(IF(F254&lt;R254,C254+D254-E254,0),IF(L254&lt;R254,I254+J254-K254,0),IF(X254&lt;R254,U254+V254-W254,0),IF(AD254&lt;R254,AA254+AB254-AC254,0)))))</x:f>
        <x:v>0</x:v>
      </x:c>
      <x:c r="T254" s="6" t="n">
        <x:f>ROUND(MAX(0,O254+P254-Q254-S254),2)</x:f>
        <x:v>0</x:v>
      </x:c>
      <x:c r="U254" s="6" t="n">
        <x:f>Z253</x:f>
        <x:v>0</x:v>
      </x:c>
      <x:c r="V254" s="6" t="n">
        <x:f>ROUND(U254*'Debt strategy'!$D$12/12,2)</x:f>
        <x:v>0</x:v>
      </x:c>
      <x:c r="W254" s="6" t="n">
        <x:f>MIN(U254+V254,'Debt strategy'!$E$12)</x:f>
        <x:v>0</x:v>
      </x:c>
      <x:c r="X254" s="27" t="n">
        <x:f>IF(U254+V254-W254&lt;=0,99,1+SUM(IF(AND(C254+D254-E254&gt;0,OR(C254+D254-E254&lt;U254+V254-W254,AND(C254+D254-E254=U254+V254-W254,0&lt;3))),1,0),IF(AND(I254+J254-K254&gt;0,OR(I254+J254-K254&lt;U254+V254-W254,AND(I254+J254-K254=U254+V254-W254,1&lt;3))),1,0),IF(AND(O254+P254-Q254&gt;0,OR(O254+P254-Q254&lt;U254+V254-W254,AND(O254+P254-Q254=U254+V254-W254,2&lt;3))),1,0),IF(AND(AA254+AB254-AC254&gt;0,OR(AA254+AB254-AC254&lt;U254+V254-W254,AND(AA254+AB254-AC254=U254+V254-W254,4&lt;3))),1,0)))</x:f>
        <x:v>99</x:v>
      </x:c>
      <x:c r="Y254" s="6" t="n">
        <x:f>IF('Debt strategy'!$C$16&gt;0,0,MIN(U254+V254-W254,MAX(0,'Debt strategy'!$C$5-SUM(E254,K254,Q254,W254,AC254)-SUM(IF(F254&lt;X254,C254+D254-E254,0),IF(L254&lt;X254,I254+J254-K254,0),IF(R254&lt;X254,O254+P254-Q254,0),IF(AD254&lt;X254,AA254+AB254-AC254,0)))))</x:f>
        <x:v>0</x:v>
      </x:c>
      <x:c r="Z254" s="6" t="n">
        <x:f>ROUND(MAX(0,U254+V254-W254-Y254),2)</x:f>
        <x:v>0</x:v>
      </x:c>
      <x:c r="AA254" s="6" t="n">
        <x:f>AF253</x:f>
        <x:v>0</x:v>
      </x:c>
      <x:c r="AB254" s="6" t="n">
        <x:f>ROUND(AA254*'Debt strategy'!$D$13/12,2)</x:f>
        <x:v>0</x:v>
      </x:c>
      <x:c r="AC254" s="6" t="n">
        <x:f>MIN(AA254+AB254,'Debt strategy'!$E$13)</x:f>
        <x:v>0</x:v>
      </x:c>
      <x:c r="AD254" s="27" t="n">
        <x:f>IF(AA254+AB254-AC254&lt;=0,99,1+SUM(IF(AND(C254+D254-E254&gt;0,OR(C254+D254-E254&lt;AA254+AB254-AC254,AND(C254+D254-E254=AA254+AB254-AC254,0&lt;4))),1,0),IF(AND(I254+J254-K254&gt;0,OR(I254+J254-K254&lt;AA254+AB254-AC254,AND(I254+J254-K254=AA254+AB254-AC254,1&lt;4))),1,0),IF(AND(O254+P254-Q254&gt;0,OR(O254+P254-Q254&lt;AA254+AB254-AC254,AND(O254+P254-Q254=AA254+AB254-AC254,2&lt;4))),1,0),IF(AND(U254+V254-W254&gt;0,OR(U254+V254-W254&lt;AA254+AB254-AC254,AND(U254+V254-W254=AA254+AB254-AC254,3&lt;4))),1,0)))</x:f>
        <x:v>99</x:v>
      </x:c>
      <x:c r="AE254" s="6" t="n">
        <x:f>IF('Debt strategy'!$C$16&gt;0,0,MIN(AA254+AB254-AC254,MAX(0,'Debt strategy'!$C$5-SUM(E254,K254,Q254,W254,AC254)-SUM(IF(F254&lt;AD254,C254+D254-E254,0),IF(L254&lt;AD254,I254+J254-K254,0),IF(R254&lt;AD254,O254+P254-Q254,0),IF(X254&lt;AD254,U254+V254-W254,0)))))</x:f>
        <x:v>0</x:v>
      </x:c>
      <x:c r="AF254" s="6" t="n">
        <x:f>ROUND(MAX(0,AA254+AB254-AC254-AE254),2)</x:f>
        <x:v>0</x:v>
      </x:c>
      <x:c r="AG254" s="6" t="n">
        <x:f>SUM(H254,N254,T254,Z254,AF254)</x:f>
        <x:v>0</x:v>
      </x:c>
      <x:c r="AH254" s="6" t="n">
        <x:f>SUM(D254,J254,P254,V254,AB254)+AH253</x:f>
        <x:v>1353.9499999999996</x:v>
      </x:c>
      <x:c r="AI254" s="2"/>
    </x:row>
    <x:row r="255" ht="23" customHeight="1">
      <x:c r="B255" s="2" t="n">
        <x:f>247</x:f>
        <x:v>247</x:v>
      </x:c>
      <x:c r="C255" s="6" t="n">
        <x:f>H254</x:f>
        <x:v>0</x:v>
      </x:c>
      <x:c r="D255" s="6" t="n">
        <x:f>ROUND(C255*'Debt strategy'!$D$9/12,2)</x:f>
        <x:v>0</x:v>
      </x:c>
      <x:c r="E255" s="6" t="n">
        <x:f>MIN(C255+D255,'Debt strategy'!$E$9)</x:f>
        <x:v>0</x:v>
      </x:c>
      <x:c r="F255" s="27" t="n">
        <x:f>IF(C255+D255-E255&lt;=0,99,1+SUM(IF(AND(I255+J255-K255&gt;0,OR(I255+J255-K255&lt;C255+D255-E255,AND(I255+J255-K255=C255+D255-E255,1&lt;0))),1,0),IF(AND(O255+P255-Q255&gt;0,OR(O255+P255-Q255&lt;C255+D255-E255,AND(O255+P255-Q255=C255+D255-E255,2&lt;0))),1,0),IF(AND(U255+V255-W255&gt;0,OR(U255+V255-W255&lt;C255+D255-E255,AND(U255+V255-W255=C255+D255-E255,3&lt;0))),1,0),IF(AND(AA255+AB255-AC255&gt;0,OR(AA255+AB255-AC255&lt;C255+D255-E255,AND(AA255+AB255-AC255=C255+D255-E255,4&lt;0))),1,0)))</x:f>
        <x:v>99</x:v>
      </x:c>
      <x:c r="G255" s="6" t="n">
        <x:f>IF('Debt strategy'!$C$16&gt;0,0,MIN(C255+D255-E255,MAX(0,'Debt strategy'!$C$5-SUM(E255,K255,Q255,W255,AC255)-SUM(IF(L255&lt;F255,I255+J255-K255,0),IF(R255&lt;F255,O255+P255-Q255,0),IF(X255&lt;F255,U255+V255-W255,0),IF(AD255&lt;F255,AA255+AB255-AC255,0)))))</x:f>
        <x:v>0</x:v>
      </x:c>
      <x:c r="H255" s="6" t="n">
        <x:f>ROUND(MAX(0,C255+D255-E255-G255),2)</x:f>
        <x:v>0</x:v>
      </x:c>
      <x:c r="I255" s="6" t="n">
        <x:f>N254</x:f>
        <x:v>0</x:v>
      </x:c>
      <x:c r="J255" s="6" t="n">
        <x:f>ROUND(I255*'Debt strategy'!$D$10/12,2)</x:f>
        <x:v>0</x:v>
      </x:c>
      <x:c r="K255" s="6" t="n">
        <x:f>MIN(I255+J255,'Debt strategy'!$E$10)</x:f>
        <x:v>0</x:v>
      </x:c>
      <x:c r="L255" s="27" t="n">
        <x:f>IF(I255+J255-K255&lt;=0,99,1+SUM(IF(AND(C255+D255-E255&gt;0,OR(C255+D255-E255&lt;I255+J255-K255,AND(C255+D255-E255=I255+J255-K255,0&lt;1))),1,0),IF(AND(O255+P255-Q255&gt;0,OR(O255+P255-Q255&lt;I255+J255-K255,AND(O255+P255-Q255=I255+J255-K255,2&lt;1))),1,0),IF(AND(U255+V255-W255&gt;0,OR(U255+V255-W255&lt;I255+J255-K255,AND(U255+V255-W255=I255+J255-K255,3&lt;1))),1,0),IF(AND(AA255+AB255-AC255&gt;0,OR(AA255+AB255-AC255&lt;I255+J255-K255,AND(AA255+AB255-AC255=I255+J255-K255,4&lt;1))),1,0)))</x:f>
        <x:v>99</x:v>
      </x:c>
      <x:c r="M255" s="6" t="n">
        <x:f>IF('Debt strategy'!$C$16&gt;0,0,MIN(I255+J255-K255,MAX(0,'Debt strategy'!$C$5-SUM(E255,K255,Q255,W255,AC255)-SUM(IF(F255&lt;L255,C255+D255-E255,0),IF(R255&lt;L255,O255+P255-Q255,0),IF(X255&lt;L255,U255+V255-W255,0),IF(AD255&lt;L255,AA255+AB255-AC255,0)))))</x:f>
        <x:v>0</x:v>
      </x:c>
      <x:c r="N255" s="6" t="n">
        <x:f>ROUND(MAX(0,I255+J255-K255-M255),2)</x:f>
        <x:v>0</x:v>
      </x:c>
      <x:c r="O255" s="6" t="n">
        <x:f>T254</x:f>
        <x:v>0</x:v>
      </x:c>
      <x:c r="P255" s="6" t="n">
        <x:f>ROUND(O255*'Debt strategy'!$D$11/12,2)</x:f>
        <x:v>0</x:v>
      </x:c>
      <x:c r="Q255" s="6" t="n">
        <x:f>MIN(O255+P255,'Debt strategy'!$E$11)</x:f>
        <x:v>0</x:v>
      </x:c>
      <x:c r="R255" s="27" t="n">
        <x:f>IF(O255+P255-Q255&lt;=0,99,1+SUM(IF(AND(C255+D255-E255&gt;0,OR(C255+D255-E255&lt;O255+P255-Q255,AND(C255+D255-E255=O255+P255-Q255,0&lt;2))),1,0),IF(AND(I255+J255-K255&gt;0,OR(I255+J255-K255&lt;O255+P255-Q255,AND(I255+J255-K255=O255+P255-Q255,1&lt;2))),1,0),IF(AND(U255+V255-W255&gt;0,OR(U255+V255-W255&lt;O255+P255-Q255,AND(U255+V255-W255=O255+P255-Q255,3&lt;2))),1,0),IF(AND(AA255+AB255-AC255&gt;0,OR(AA255+AB255-AC255&lt;O255+P255-Q255,AND(AA255+AB255-AC255=O255+P255-Q255,4&lt;2))),1,0)))</x:f>
        <x:v>99</x:v>
      </x:c>
      <x:c r="S255" s="6" t="n">
        <x:f>IF('Debt strategy'!$C$16&gt;0,0,MIN(O255+P255-Q255,MAX(0,'Debt strategy'!$C$5-SUM(E255,K255,Q255,W255,AC255)-SUM(IF(F255&lt;R255,C255+D255-E255,0),IF(L255&lt;R255,I255+J255-K255,0),IF(X255&lt;R255,U255+V255-W255,0),IF(AD255&lt;R255,AA255+AB255-AC255,0)))))</x:f>
        <x:v>0</x:v>
      </x:c>
      <x:c r="T255" s="6" t="n">
        <x:f>ROUND(MAX(0,O255+P255-Q255-S255),2)</x:f>
        <x:v>0</x:v>
      </x:c>
      <x:c r="U255" s="6" t="n">
        <x:f>Z254</x:f>
        <x:v>0</x:v>
      </x:c>
      <x:c r="V255" s="6" t="n">
        <x:f>ROUND(U255*'Debt strategy'!$D$12/12,2)</x:f>
        <x:v>0</x:v>
      </x:c>
      <x:c r="W255" s="6" t="n">
        <x:f>MIN(U255+V255,'Debt strategy'!$E$12)</x:f>
        <x:v>0</x:v>
      </x:c>
      <x:c r="X255" s="27" t="n">
        <x:f>IF(U255+V255-W255&lt;=0,99,1+SUM(IF(AND(C255+D255-E255&gt;0,OR(C255+D255-E255&lt;U255+V255-W255,AND(C255+D255-E255=U255+V255-W255,0&lt;3))),1,0),IF(AND(I255+J255-K255&gt;0,OR(I255+J255-K255&lt;U255+V255-W255,AND(I255+J255-K255=U255+V255-W255,1&lt;3))),1,0),IF(AND(O255+P255-Q255&gt;0,OR(O255+P255-Q255&lt;U255+V255-W255,AND(O255+P255-Q255=U255+V255-W255,2&lt;3))),1,0),IF(AND(AA255+AB255-AC255&gt;0,OR(AA255+AB255-AC255&lt;U255+V255-W255,AND(AA255+AB255-AC255=U255+V255-W255,4&lt;3))),1,0)))</x:f>
        <x:v>99</x:v>
      </x:c>
      <x:c r="Y255" s="6" t="n">
        <x:f>IF('Debt strategy'!$C$16&gt;0,0,MIN(U255+V255-W255,MAX(0,'Debt strategy'!$C$5-SUM(E255,K255,Q255,W255,AC255)-SUM(IF(F255&lt;X255,C255+D255-E255,0),IF(L255&lt;X255,I255+J255-K255,0),IF(R255&lt;X255,O255+P255-Q255,0),IF(AD255&lt;X255,AA255+AB255-AC255,0)))))</x:f>
        <x:v>0</x:v>
      </x:c>
      <x:c r="Z255" s="6" t="n">
        <x:f>ROUND(MAX(0,U255+V255-W255-Y255),2)</x:f>
        <x:v>0</x:v>
      </x:c>
      <x:c r="AA255" s="6" t="n">
        <x:f>AF254</x:f>
        <x:v>0</x:v>
      </x:c>
      <x:c r="AB255" s="6" t="n">
        <x:f>ROUND(AA255*'Debt strategy'!$D$13/12,2)</x:f>
        <x:v>0</x:v>
      </x:c>
      <x:c r="AC255" s="6" t="n">
        <x:f>MIN(AA255+AB255,'Debt strategy'!$E$13)</x:f>
        <x:v>0</x:v>
      </x:c>
      <x:c r="AD255" s="27" t="n">
        <x:f>IF(AA255+AB255-AC255&lt;=0,99,1+SUM(IF(AND(C255+D255-E255&gt;0,OR(C255+D255-E255&lt;AA255+AB255-AC255,AND(C255+D255-E255=AA255+AB255-AC255,0&lt;4))),1,0),IF(AND(I255+J255-K255&gt;0,OR(I255+J255-K255&lt;AA255+AB255-AC255,AND(I255+J255-K255=AA255+AB255-AC255,1&lt;4))),1,0),IF(AND(O255+P255-Q255&gt;0,OR(O255+P255-Q255&lt;AA255+AB255-AC255,AND(O255+P255-Q255=AA255+AB255-AC255,2&lt;4))),1,0),IF(AND(U255+V255-W255&gt;0,OR(U255+V255-W255&lt;AA255+AB255-AC255,AND(U255+V255-W255=AA255+AB255-AC255,3&lt;4))),1,0)))</x:f>
        <x:v>99</x:v>
      </x:c>
      <x:c r="AE255" s="6" t="n">
        <x:f>IF('Debt strategy'!$C$16&gt;0,0,MIN(AA255+AB255-AC255,MAX(0,'Debt strategy'!$C$5-SUM(E255,K255,Q255,W255,AC255)-SUM(IF(F255&lt;AD255,C255+D255-E255,0),IF(L255&lt;AD255,I255+J255-K255,0),IF(R255&lt;AD255,O255+P255-Q255,0),IF(X255&lt;AD255,U255+V255-W255,0)))))</x:f>
        <x:v>0</x:v>
      </x:c>
      <x:c r="AF255" s="6" t="n">
        <x:f>ROUND(MAX(0,AA255+AB255-AC255-AE255),2)</x:f>
        <x:v>0</x:v>
      </x:c>
      <x:c r="AG255" s="6" t="n">
        <x:f>SUM(H255,N255,T255,Z255,AF255)</x:f>
        <x:v>0</x:v>
      </x:c>
      <x:c r="AH255" s="6" t="n">
        <x:f>SUM(D255,J255,P255,V255,AB255)+AH254</x:f>
        <x:v>1353.9499999999996</x:v>
      </x:c>
      <x:c r="AI255" s="2"/>
    </x:row>
    <x:row r="256" ht="23" customHeight="1">
      <x:c r="B256" s="2" t="n">
        <x:f>248</x:f>
        <x:v>248</x:v>
      </x:c>
      <x:c r="C256" s="6" t="n">
        <x:f>H255</x:f>
        <x:v>0</x:v>
      </x:c>
      <x:c r="D256" s="6" t="n">
        <x:f>ROUND(C256*'Debt strategy'!$D$9/12,2)</x:f>
        <x:v>0</x:v>
      </x:c>
      <x:c r="E256" s="6" t="n">
        <x:f>MIN(C256+D256,'Debt strategy'!$E$9)</x:f>
        <x:v>0</x:v>
      </x:c>
      <x:c r="F256" s="27" t="n">
        <x:f>IF(C256+D256-E256&lt;=0,99,1+SUM(IF(AND(I256+J256-K256&gt;0,OR(I256+J256-K256&lt;C256+D256-E256,AND(I256+J256-K256=C256+D256-E256,1&lt;0))),1,0),IF(AND(O256+P256-Q256&gt;0,OR(O256+P256-Q256&lt;C256+D256-E256,AND(O256+P256-Q256=C256+D256-E256,2&lt;0))),1,0),IF(AND(U256+V256-W256&gt;0,OR(U256+V256-W256&lt;C256+D256-E256,AND(U256+V256-W256=C256+D256-E256,3&lt;0))),1,0),IF(AND(AA256+AB256-AC256&gt;0,OR(AA256+AB256-AC256&lt;C256+D256-E256,AND(AA256+AB256-AC256=C256+D256-E256,4&lt;0))),1,0)))</x:f>
        <x:v>99</x:v>
      </x:c>
      <x:c r="G256" s="6" t="n">
        <x:f>IF('Debt strategy'!$C$16&gt;0,0,MIN(C256+D256-E256,MAX(0,'Debt strategy'!$C$5-SUM(E256,K256,Q256,W256,AC256)-SUM(IF(L256&lt;F256,I256+J256-K256,0),IF(R256&lt;F256,O256+P256-Q256,0),IF(X256&lt;F256,U256+V256-W256,0),IF(AD256&lt;F256,AA256+AB256-AC256,0)))))</x:f>
        <x:v>0</x:v>
      </x:c>
      <x:c r="H256" s="6" t="n">
        <x:f>ROUND(MAX(0,C256+D256-E256-G256),2)</x:f>
        <x:v>0</x:v>
      </x:c>
      <x:c r="I256" s="6" t="n">
        <x:f>N255</x:f>
        <x:v>0</x:v>
      </x:c>
      <x:c r="J256" s="6" t="n">
        <x:f>ROUND(I256*'Debt strategy'!$D$10/12,2)</x:f>
        <x:v>0</x:v>
      </x:c>
      <x:c r="K256" s="6" t="n">
        <x:f>MIN(I256+J256,'Debt strategy'!$E$10)</x:f>
        <x:v>0</x:v>
      </x:c>
      <x:c r="L256" s="27" t="n">
        <x:f>IF(I256+J256-K256&lt;=0,99,1+SUM(IF(AND(C256+D256-E256&gt;0,OR(C256+D256-E256&lt;I256+J256-K256,AND(C256+D256-E256=I256+J256-K256,0&lt;1))),1,0),IF(AND(O256+P256-Q256&gt;0,OR(O256+P256-Q256&lt;I256+J256-K256,AND(O256+P256-Q256=I256+J256-K256,2&lt;1))),1,0),IF(AND(U256+V256-W256&gt;0,OR(U256+V256-W256&lt;I256+J256-K256,AND(U256+V256-W256=I256+J256-K256,3&lt;1))),1,0),IF(AND(AA256+AB256-AC256&gt;0,OR(AA256+AB256-AC256&lt;I256+J256-K256,AND(AA256+AB256-AC256=I256+J256-K256,4&lt;1))),1,0)))</x:f>
        <x:v>99</x:v>
      </x:c>
      <x:c r="M256" s="6" t="n">
        <x:f>IF('Debt strategy'!$C$16&gt;0,0,MIN(I256+J256-K256,MAX(0,'Debt strategy'!$C$5-SUM(E256,K256,Q256,W256,AC256)-SUM(IF(F256&lt;L256,C256+D256-E256,0),IF(R256&lt;L256,O256+P256-Q256,0),IF(X256&lt;L256,U256+V256-W256,0),IF(AD256&lt;L256,AA256+AB256-AC256,0)))))</x:f>
        <x:v>0</x:v>
      </x:c>
      <x:c r="N256" s="6" t="n">
        <x:f>ROUND(MAX(0,I256+J256-K256-M256),2)</x:f>
        <x:v>0</x:v>
      </x:c>
      <x:c r="O256" s="6" t="n">
        <x:f>T255</x:f>
        <x:v>0</x:v>
      </x:c>
      <x:c r="P256" s="6" t="n">
        <x:f>ROUND(O256*'Debt strategy'!$D$11/12,2)</x:f>
        <x:v>0</x:v>
      </x:c>
      <x:c r="Q256" s="6" t="n">
        <x:f>MIN(O256+P256,'Debt strategy'!$E$11)</x:f>
        <x:v>0</x:v>
      </x:c>
      <x:c r="R256" s="27" t="n">
        <x:f>IF(O256+P256-Q256&lt;=0,99,1+SUM(IF(AND(C256+D256-E256&gt;0,OR(C256+D256-E256&lt;O256+P256-Q256,AND(C256+D256-E256=O256+P256-Q256,0&lt;2))),1,0),IF(AND(I256+J256-K256&gt;0,OR(I256+J256-K256&lt;O256+P256-Q256,AND(I256+J256-K256=O256+P256-Q256,1&lt;2))),1,0),IF(AND(U256+V256-W256&gt;0,OR(U256+V256-W256&lt;O256+P256-Q256,AND(U256+V256-W256=O256+P256-Q256,3&lt;2))),1,0),IF(AND(AA256+AB256-AC256&gt;0,OR(AA256+AB256-AC256&lt;O256+P256-Q256,AND(AA256+AB256-AC256=O256+P256-Q256,4&lt;2))),1,0)))</x:f>
        <x:v>99</x:v>
      </x:c>
      <x:c r="S256" s="6" t="n">
        <x:f>IF('Debt strategy'!$C$16&gt;0,0,MIN(O256+P256-Q256,MAX(0,'Debt strategy'!$C$5-SUM(E256,K256,Q256,W256,AC256)-SUM(IF(F256&lt;R256,C256+D256-E256,0),IF(L256&lt;R256,I256+J256-K256,0),IF(X256&lt;R256,U256+V256-W256,0),IF(AD256&lt;R256,AA256+AB256-AC256,0)))))</x:f>
        <x:v>0</x:v>
      </x:c>
      <x:c r="T256" s="6" t="n">
        <x:f>ROUND(MAX(0,O256+P256-Q256-S256),2)</x:f>
        <x:v>0</x:v>
      </x:c>
      <x:c r="U256" s="6" t="n">
        <x:f>Z255</x:f>
        <x:v>0</x:v>
      </x:c>
      <x:c r="V256" s="6" t="n">
        <x:f>ROUND(U256*'Debt strategy'!$D$12/12,2)</x:f>
        <x:v>0</x:v>
      </x:c>
      <x:c r="W256" s="6" t="n">
        <x:f>MIN(U256+V256,'Debt strategy'!$E$12)</x:f>
        <x:v>0</x:v>
      </x:c>
      <x:c r="X256" s="27" t="n">
        <x:f>IF(U256+V256-W256&lt;=0,99,1+SUM(IF(AND(C256+D256-E256&gt;0,OR(C256+D256-E256&lt;U256+V256-W256,AND(C256+D256-E256=U256+V256-W256,0&lt;3))),1,0),IF(AND(I256+J256-K256&gt;0,OR(I256+J256-K256&lt;U256+V256-W256,AND(I256+J256-K256=U256+V256-W256,1&lt;3))),1,0),IF(AND(O256+P256-Q256&gt;0,OR(O256+P256-Q256&lt;U256+V256-W256,AND(O256+P256-Q256=U256+V256-W256,2&lt;3))),1,0),IF(AND(AA256+AB256-AC256&gt;0,OR(AA256+AB256-AC256&lt;U256+V256-W256,AND(AA256+AB256-AC256=U256+V256-W256,4&lt;3))),1,0)))</x:f>
        <x:v>99</x:v>
      </x:c>
      <x:c r="Y256" s="6" t="n">
        <x:f>IF('Debt strategy'!$C$16&gt;0,0,MIN(U256+V256-W256,MAX(0,'Debt strategy'!$C$5-SUM(E256,K256,Q256,W256,AC256)-SUM(IF(F256&lt;X256,C256+D256-E256,0),IF(L256&lt;X256,I256+J256-K256,0),IF(R256&lt;X256,O256+P256-Q256,0),IF(AD256&lt;X256,AA256+AB256-AC256,0)))))</x:f>
        <x:v>0</x:v>
      </x:c>
      <x:c r="Z256" s="6" t="n">
        <x:f>ROUND(MAX(0,U256+V256-W256-Y256),2)</x:f>
        <x:v>0</x:v>
      </x:c>
      <x:c r="AA256" s="6" t="n">
        <x:f>AF255</x:f>
        <x:v>0</x:v>
      </x:c>
      <x:c r="AB256" s="6" t="n">
        <x:f>ROUND(AA256*'Debt strategy'!$D$13/12,2)</x:f>
        <x:v>0</x:v>
      </x:c>
      <x:c r="AC256" s="6" t="n">
        <x:f>MIN(AA256+AB256,'Debt strategy'!$E$13)</x:f>
        <x:v>0</x:v>
      </x:c>
      <x:c r="AD256" s="27" t="n">
        <x:f>IF(AA256+AB256-AC256&lt;=0,99,1+SUM(IF(AND(C256+D256-E256&gt;0,OR(C256+D256-E256&lt;AA256+AB256-AC256,AND(C256+D256-E256=AA256+AB256-AC256,0&lt;4))),1,0),IF(AND(I256+J256-K256&gt;0,OR(I256+J256-K256&lt;AA256+AB256-AC256,AND(I256+J256-K256=AA256+AB256-AC256,1&lt;4))),1,0),IF(AND(O256+P256-Q256&gt;0,OR(O256+P256-Q256&lt;AA256+AB256-AC256,AND(O256+P256-Q256=AA256+AB256-AC256,2&lt;4))),1,0),IF(AND(U256+V256-W256&gt;0,OR(U256+V256-W256&lt;AA256+AB256-AC256,AND(U256+V256-W256=AA256+AB256-AC256,3&lt;4))),1,0)))</x:f>
        <x:v>99</x:v>
      </x:c>
      <x:c r="AE256" s="6" t="n">
        <x:f>IF('Debt strategy'!$C$16&gt;0,0,MIN(AA256+AB256-AC256,MAX(0,'Debt strategy'!$C$5-SUM(E256,K256,Q256,W256,AC256)-SUM(IF(F256&lt;AD256,C256+D256-E256,0),IF(L256&lt;AD256,I256+J256-K256,0),IF(R256&lt;AD256,O256+P256-Q256,0),IF(X256&lt;AD256,U256+V256-W256,0)))))</x:f>
        <x:v>0</x:v>
      </x:c>
      <x:c r="AF256" s="6" t="n">
        <x:f>ROUND(MAX(0,AA256+AB256-AC256-AE256),2)</x:f>
        <x:v>0</x:v>
      </x:c>
      <x:c r="AG256" s="6" t="n">
        <x:f>SUM(H256,N256,T256,Z256,AF256)</x:f>
        <x:v>0</x:v>
      </x:c>
      <x:c r="AH256" s="6" t="n">
        <x:f>SUM(D256,J256,P256,V256,AB256)+AH255</x:f>
        <x:v>1353.9499999999996</x:v>
      </x:c>
      <x:c r="AI256" s="2"/>
    </x:row>
    <x:row r="257" ht="23" customHeight="1">
      <x:c r="B257" s="2" t="n">
        <x:f>249</x:f>
        <x:v>249</x:v>
      </x:c>
      <x:c r="C257" s="6" t="n">
        <x:f>H256</x:f>
        <x:v>0</x:v>
      </x:c>
      <x:c r="D257" s="6" t="n">
        <x:f>ROUND(C257*'Debt strategy'!$D$9/12,2)</x:f>
        <x:v>0</x:v>
      </x:c>
      <x:c r="E257" s="6" t="n">
        <x:f>MIN(C257+D257,'Debt strategy'!$E$9)</x:f>
        <x:v>0</x:v>
      </x:c>
      <x:c r="F257" s="27" t="n">
        <x:f>IF(C257+D257-E257&lt;=0,99,1+SUM(IF(AND(I257+J257-K257&gt;0,OR(I257+J257-K257&lt;C257+D257-E257,AND(I257+J257-K257=C257+D257-E257,1&lt;0))),1,0),IF(AND(O257+P257-Q257&gt;0,OR(O257+P257-Q257&lt;C257+D257-E257,AND(O257+P257-Q257=C257+D257-E257,2&lt;0))),1,0),IF(AND(U257+V257-W257&gt;0,OR(U257+V257-W257&lt;C257+D257-E257,AND(U257+V257-W257=C257+D257-E257,3&lt;0))),1,0),IF(AND(AA257+AB257-AC257&gt;0,OR(AA257+AB257-AC257&lt;C257+D257-E257,AND(AA257+AB257-AC257=C257+D257-E257,4&lt;0))),1,0)))</x:f>
        <x:v>99</x:v>
      </x:c>
      <x:c r="G257" s="6" t="n">
        <x:f>IF('Debt strategy'!$C$16&gt;0,0,MIN(C257+D257-E257,MAX(0,'Debt strategy'!$C$5-SUM(E257,K257,Q257,W257,AC257)-SUM(IF(L257&lt;F257,I257+J257-K257,0),IF(R257&lt;F257,O257+P257-Q257,0),IF(X257&lt;F257,U257+V257-W257,0),IF(AD257&lt;F257,AA257+AB257-AC257,0)))))</x:f>
        <x:v>0</x:v>
      </x:c>
      <x:c r="H257" s="6" t="n">
        <x:f>ROUND(MAX(0,C257+D257-E257-G257),2)</x:f>
        <x:v>0</x:v>
      </x:c>
      <x:c r="I257" s="6" t="n">
        <x:f>N256</x:f>
        <x:v>0</x:v>
      </x:c>
      <x:c r="J257" s="6" t="n">
        <x:f>ROUND(I257*'Debt strategy'!$D$10/12,2)</x:f>
        <x:v>0</x:v>
      </x:c>
      <x:c r="K257" s="6" t="n">
        <x:f>MIN(I257+J257,'Debt strategy'!$E$10)</x:f>
        <x:v>0</x:v>
      </x:c>
      <x:c r="L257" s="27" t="n">
        <x:f>IF(I257+J257-K257&lt;=0,99,1+SUM(IF(AND(C257+D257-E257&gt;0,OR(C257+D257-E257&lt;I257+J257-K257,AND(C257+D257-E257=I257+J257-K257,0&lt;1))),1,0),IF(AND(O257+P257-Q257&gt;0,OR(O257+P257-Q257&lt;I257+J257-K257,AND(O257+P257-Q257=I257+J257-K257,2&lt;1))),1,0),IF(AND(U257+V257-W257&gt;0,OR(U257+V257-W257&lt;I257+J257-K257,AND(U257+V257-W257=I257+J257-K257,3&lt;1))),1,0),IF(AND(AA257+AB257-AC257&gt;0,OR(AA257+AB257-AC257&lt;I257+J257-K257,AND(AA257+AB257-AC257=I257+J257-K257,4&lt;1))),1,0)))</x:f>
        <x:v>99</x:v>
      </x:c>
      <x:c r="M257" s="6" t="n">
        <x:f>IF('Debt strategy'!$C$16&gt;0,0,MIN(I257+J257-K257,MAX(0,'Debt strategy'!$C$5-SUM(E257,K257,Q257,W257,AC257)-SUM(IF(F257&lt;L257,C257+D257-E257,0),IF(R257&lt;L257,O257+P257-Q257,0),IF(X257&lt;L257,U257+V257-W257,0),IF(AD257&lt;L257,AA257+AB257-AC257,0)))))</x:f>
        <x:v>0</x:v>
      </x:c>
      <x:c r="N257" s="6" t="n">
        <x:f>ROUND(MAX(0,I257+J257-K257-M257),2)</x:f>
        <x:v>0</x:v>
      </x:c>
      <x:c r="O257" s="6" t="n">
        <x:f>T256</x:f>
        <x:v>0</x:v>
      </x:c>
      <x:c r="P257" s="6" t="n">
        <x:f>ROUND(O257*'Debt strategy'!$D$11/12,2)</x:f>
        <x:v>0</x:v>
      </x:c>
      <x:c r="Q257" s="6" t="n">
        <x:f>MIN(O257+P257,'Debt strategy'!$E$11)</x:f>
        <x:v>0</x:v>
      </x:c>
      <x:c r="R257" s="27" t="n">
        <x:f>IF(O257+P257-Q257&lt;=0,99,1+SUM(IF(AND(C257+D257-E257&gt;0,OR(C257+D257-E257&lt;O257+P257-Q257,AND(C257+D257-E257=O257+P257-Q257,0&lt;2))),1,0),IF(AND(I257+J257-K257&gt;0,OR(I257+J257-K257&lt;O257+P257-Q257,AND(I257+J257-K257=O257+P257-Q257,1&lt;2))),1,0),IF(AND(U257+V257-W257&gt;0,OR(U257+V257-W257&lt;O257+P257-Q257,AND(U257+V257-W257=O257+P257-Q257,3&lt;2))),1,0),IF(AND(AA257+AB257-AC257&gt;0,OR(AA257+AB257-AC257&lt;O257+P257-Q257,AND(AA257+AB257-AC257=O257+P257-Q257,4&lt;2))),1,0)))</x:f>
        <x:v>99</x:v>
      </x:c>
      <x:c r="S257" s="6" t="n">
        <x:f>IF('Debt strategy'!$C$16&gt;0,0,MIN(O257+P257-Q257,MAX(0,'Debt strategy'!$C$5-SUM(E257,K257,Q257,W257,AC257)-SUM(IF(F257&lt;R257,C257+D257-E257,0),IF(L257&lt;R257,I257+J257-K257,0),IF(X257&lt;R257,U257+V257-W257,0),IF(AD257&lt;R257,AA257+AB257-AC257,0)))))</x:f>
        <x:v>0</x:v>
      </x:c>
      <x:c r="T257" s="6" t="n">
        <x:f>ROUND(MAX(0,O257+P257-Q257-S257),2)</x:f>
        <x:v>0</x:v>
      </x:c>
      <x:c r="U257" s="6" t="n">
        <x:f>Z256</x:f>
        <x:v>0</x:v>
      </x:c>
      <x:c r="V257" s="6" t="n">
        <x:f>ROUND(U257*'Debt strategy'!$D$12/12,2)</x:f>
        <x:v>0</x:v>
      </x:c>
      <x:c r="W257" s="6" t="n">
        <x:f>MIN(U257+V257,'Debt strategy'!$E$12)</x:f>
        <x:v>0</x:v>
      </x:c>
      <x:c r="X257" s="27" t="n">
        <x:f>IF(U257+V257-W257&lt;=0,99,1+SUM(IF(AND(C257+D257-E257&gt;0,OR(C257+D257-E257&lt;U257+V257-W257,AND(C257+D257-E257=U257+V257-W257,0&lt;3))),1,0),IF(AND(I257+J257-K257&gt;0,OR(I257+J257-K257&lt;U257+V257-W257,AND(I257+J257-K257=U257+V257-W257,1&lt;3))),1,0),IF(AND(O257+P257-Q257&gt;0,OR(O257+P257-Q257&lt;U257+V257-W257,AND(O257+P257-Q257=U257+V257-W257,2&lt;3))),1,0),IF(AND(AA257+AB257-AC257&gt;0,OR(AA257+AB257-AC257&lt;U257+V257-W257,AND(AA257+AB257-AC257=U257+V257-W257,4&lt;3))),1,0)))</x:f>
        <x:v>99</x:v>
      </x:c>
      <x:c r="Y257" s="6" t="n">
        <x:f>IF('Debt strategy'!$C$16&gt;0,0,MIN(U257+V257-W257,MAX(0,'Debt strategy'!$C$5-SUM(E257,K257,Q257,W257,AC257)-SUM(IF(F257&lt;X257,C257+D257-E257,0),IF(L257&lt;X257,I257+J257-K257,0),IF(R257&lt;X257,O257+P257-Q257,0),IF(AD257&lt;X257,AA257+AB257-AC257,0)))))</x:f>
        <x:v>0</x:v>
      </x:c>
      <x:c r="Z257" s="6" t="n">
        <x:f>ROUND(MAX(0,U257+V257-W257-Y257),2)</x:f>
        <x:v>0</x:v>
      </x:c>
      <x:c r="AA257" s="6" t="n">
        <x:f>AF256</x:f>
        <x:v>0</x:v>
      </x:c>
      <x:c r="AB257" s="6" t="n">
        <x:f>ROUND(AA257*'Debt strategy'!$D$13/12,2)</x:f>
        <x:v>0</x:v>
      </x:c>
      <x:c r="AC257" s="6" t="n">
        <x:f>MIN(AA257+AB257,'Debt strategy'!$E$13)</x:f>
        <x:v>0</x:v>
      </x:c>
      <x:c r="AD257" s="27" t="n">
        <x:f>IF(AA257+AB257-AC257&lt;=0,99,1+SUM(IF(AND(C257+D257-E257&gt;0,OR(C257+D257-E257&lt;AA257+AB257-AC257,AND(C257+D257-E257=AA257+AB257-AC257,0&lt;4))),1,0),IF(AND(I257+J257-K257&gt;0,OR(I257+J257-K257&lt;AA257+AB257-AC257,AND(I257+J257-K257=AA257+AB257-AC257,1&lt;4))),1,0),IF(AND(O257+P257-Q257&gt;0,OR(O257+P257-Q257&lt;AA257+AB257-AC257,AND(O257+P257-Q257=AA257+AB257-AC257,2&lt;4))),1,0),IF(AND(U257+V257-W257&gt;0,OR(U257+V257-W257&lt;AA257+AB257-AC257,AND(U257+V257-W257=AA257+AB257-AC257,3&lt;4))),1,0)))</x:f>
        <x:v>99</x:v>
      </x:c>
      <x:c r="AE257" s="6" t="n">
        <x:f>IF('Debt strategy'!$C$16&gt;0,0,MIN(AA257+AB257-AC257,MAX(0,'Debt strategy'!$C$5-SUM(E257,K257,Q257,W257,AC257)-SUM(IF(F257&lt;AD257,C257+D257-E257,0),IF(L257&lt;AD257,I257+J257-K257,0),IF(R257&lt;AD257,O257+P257-Q257,0),IF(X257&lt;AD257,U257+V257-W257,0)))))</x:f>
        <x:v>0</x:v>
      </x:c>
      <x:c r="AF257" s="6" t="n">
        <x:f>ROUND(MAX(0,AA257+AB257-AC257-AE257),2)</x:f>
        <x:v>0</x:v>
      </x:c>
      <x:c r="AG257" s="6" t="n">
        <x:f>SUM(H257,N257,T257,Z257,AF257)</x:f>
        <x:v>0</x:v>
      </x:c>
      <x:c r="AH257" s="6" t="n">
        <x:f>SUM(D257,J257,P257,V257,AB257)+AH256</x:f>
        <x:v>1353.9499999999996</x:v>
      </x:c>
      <x:c r="AI257" s="2"/>
    </x:row>
    <x:row r="258" ht="23" customHeight="1">
      <x:c r="B258" s="2" t="n">
        <x:f>250</x:f>
        <x:v>250</x:v>
      </x:c>
      <x:c r="C258" s="6" t="n">
        <x:f>H257</x:f>
        <x:v>0</x:v>
      </x:c>
      <x:c r="D258" s="6" t="n">
        <x:f>ROUND(C258*'Debt strategy'!$D$9/12,2)</x:f>
        <x:v>0</x:v>
      </x:c>
      <x:c r="E258" s="6" t="n">
        <x:f>MIN(C258+D258,'Debt strategy'!$E$9)</x:f>
        <x:v>0</x:v>
      </x:c>
      <x:c r="F258" s="27" t="n">
        <x:f>IF(C258+D258-E258&lt;=0,99,1+SUM(IF(AND(I258+J258-K258&gt;0,OR(I258+J258-K258&lt;C258+D258-E258,AND(I258+J258-K258=C258+D258-E258,1&lt;0))),1,0),IF(AND(O258+P258-Q258&gt;0,OR(O258+P258-Q258&lt;C258+D258-E258,AND(O258+P258-Q258=C258+D258-E258,2&lt;0))),1,0),IF(AND(U258+V258-W258&gt;0,OR(U258+V258-W258&lt;C258+D258-E258,AND(U258+V258-W258=C258+D258-E258,3&lt;0))),1,0),IF(AND(AA258+AB258-AC258&gt;0,OR(AA258+AB258-AC258&lt;C258+D258-E258,AND(AA258+AB258-AC258=C258+D258-E258,4&lt;0))),1,0)))</x:f>
        <x:v>99</x:v>
      </x:c>
      <x:c r="G258" s="6" t="n">
        <x:f>IF('Debt strategy'!$C$16&gt;0,0,MIN(C258+D258-E258,MAX(0,'Debt strategy'!$C$5-SUM(E258,K258,Q258,W258,AC258)-SUM(IF(L258&lt;F258,I258+J258-K258,0),IF(R258&lt;F258,O258+P258-Q258,0),IF(X258&lt;F258,U258+V258-W258,0),IF(AD258&lt;F258,AA258+AB258-AC258,0)))))</x:f>
        <x:v>0</x:v>
      </x:c>
      <x:c r="H258" s="6" t="n">
        <x:f>ROUND(MAX(0,C258+D258-E258-G258),2)</x:f>
        <x:v>0</x:v>
      </x:c>
      <x:c r="I258" s="6" t="n">
        <x:f>N257</x:f>
        <x:v>0</x:v>
      </x:c>
      <x:c r="J258" s="6" t="n">
        <x:f>ROUND(I258*'Debt strategy'!$D$10/12,2)</x:f>
        <x:v>0</x:v>
      </x:c>
      <x:c r="K258" s="6" t="n">
        <x:f>MIN(I258+J258,'Debt strategy'!$E$10)</x:f>
        <x:v>0</x:v>
      </x:c>
      <x:c r="L258" s="27" t="n">
        <x:f>IF(I258+J258-K258&lt;=0,99,1+SUM(IF(AND(C258+D258-E258&gt;0,OR(C258+D258-E258&lt;I258+J258-K258,AND(C258+D258-E258=I258+J258-K258,0&lt;1))),1,0),IF(AND(O258+P258-Q258&gt;0,OR(O258+P258-Q258&lt;I258+J258-K258,AND(O258+P258-Q258=I258+J258-K258,2&lt;1))),1,0),IF(AND(U258+V258-W258&gt;0,OR(U258+V258-W258&lt;I258+J258-K258,AND(U258+V258-W258=I258+J258-K258,3&lt;1))),1,0),IF(AND(AA258+AB258-AC258&gt;0,OR(AA258+AB258-AC258&lt;I258+J258-K258,AND(AA258+AB258-AC258=I258+J258-K258,4&lt;1))),1,0)))</x:f>
        <x:v>99</x:v>
      </x:c>
      <x:c r="M258" s="6" t="n">
        <x:f>IF('Debt strategy'!$C$16&gt;0,0,MIN(I258+J258-K258,MAX(0,'Debt strategy'!$C$5-SUM(E258,K258,Q258,W258,AC258)-SUM(IF(F258&lt;L258,C258+D258-E258,0),IF(R258&lt;L258,O258+P258-Q258,0),IF(X258&lt;L258,U258+V258-W258,0),IF(AD258&lt;L258,AA258+AB258-AC258,0)))))</x:f>
        <x:v>0</x:v>
      </x:c>
      <x:c r="N258" s="6" t="n">
        <x:f>ROUND(MAX(0,I258+J258-K258-M258),2)</x:f>
        <x:v>0</x:v>
      </x:c>
      <x:c r="O258" s="6" t="n">
        <x:f>T257</x:f>
        <x:v>0</x:v>
      </x:c>
      <x:c r="P258" s="6" t="n">
        <x:f>ROUND(O258*'Debt strategy'!$D$11/12,2)</x:f>
        <x:v>0</x:v>
      </x:c>
      <x:c r="Q258" s="6" t="n">
        <x:f>MIN(O258+P258,'Debt strategy'!$E$11)</x:f>
        <x:v>0</x:v>
      </x:c>
      <x:c r="R258" s="27" t="n">
        <x:f>IF(O258+P258-Q258&lt;=0,99,1+SUM(IF(AND(C258+D258-E258&gt;0,OR(C258+D258-E258&lt;O258+P258-Q258,AND(C258+D258-E258=O258+P258-Q258,0&lt;2))),1,0),IF(AND(I258+J258-K258&gt;0,OR(I258+J258-K258&lt;O258+P258-Q258,AND(I258+J258-K258=O258+P258-Q258,1&lt;2))),1,0),IF(AND(U258+V258-W258&gt;0,OR(U258+V258-W258&lt;O258+P258-Q258,AND(U258+V258-W258=O258+P258-Q258,3&lt;2))),1,0),IF(AND(AA258+AB258-AC258&gt;0,OR(AA258+AB258-AC258&lt;O258+P258-Q258,AND(AA258+AB258-AC258=O258+P258-Q258,4&lt;2))),1,0)))</x:f>
        <x:v>99</x:v>
      </x:c>
      <x:c r="S258" s="6" t="n">
        <x:f>IF('Debt strategy'!$C$16&gt;0,0,MIN(O258+P258-Q258,MAX(0,'Debt strategy'!$C$5-SUM(E258,K258,Q258,W258,AC258)-SUM(IF(F258&lt;R258,C258+D258-E258,0),IF(L258&lt;R258,I258+J258-K258,0),IF(X258&lt;R258,U258+V258-W258,0),IF(AD258&lt;R258,AA258+AB258-AC258,0)))))</x:f>
        <x:v>0</x:v>
      </x:c>
      <x:c r="T258" s="6" t="n">
        <x:f>ROUND(MAX(0,O258+P258-Q258-S258),2)</x:f>
        <x:v>0</x:v>
      </x:c>
      <x:c r="U258" s="6" t="n">
        <x:f>Z257</x:f>
        <x:v>0</x:v>
      </x:c>
      <x:c r="V258" s="6" t="n">
        <x:f>ROUND(U258*'Debt strategy'!$D$12/12,2)</x:f>
        <x:v>0</x:v>
      </x:c>
      <x:c r="W258" s="6" t="n">
        <x:f>MIN(U258+V258,'Debt strategy'!$E$12)</x:f>
        <x:v>0</x:v>
      </x:c>
      <x:c r="X258" s="27" t="n">
        <x:f>IF(U258+V258-W258&lt;=0,99,1+SUM(IF(AND(C258+D258-E258&gt;0,OR(C258+D258-E258&lt;U258+V258-W258,AND(C258+D258-E258=U258+V258-W258,0&lt;3))),1,0),IF(AND(I258+J258-K258&gt;0,OR(I258+J258-K258&lt;U258+V258-W258,AND(I258+J258-K258=U258+V258-W258,1&lt;3))),1,0),IF(AND(O258+P258-Q258&gt;0,OR(O258+P258-Q258&lt;U258+V258-W258,AND(O258+P258-Q258=U258+V258-W258,2&lt;3))),1,0),IF(AND(AA258+AB258-AC258&gt;0,OR(AA258+AB258-AC258&lt;U258+V258-W258,AND(AA258+AB258-AC258=U258+V258-W258,4&lt;3))),1,0)))</x:f>
        <x:v>99</x:v>
      </x:c>
      <x:c r="Y258" s="6" t="n">
        <x:f>IF('Debt strategy'!$C$16&gt;0,0,MIN(U258+V258-W258,MAX(0,'Debt strategy'!$C$5-SUM(E258,K258,Q258,W258,AC258)-SUM(IF(F258&lt;X258,C258+D258-E258,0),IF(L258&lt;X258,I258+J258-K258,0),IF(R258&lt;X258,O258+P258-Q258,0),IF(AD258&lt;X258,AA258+AB258-AC258,0)))))</x:f>
        <x:v>0</x:v>
      </x:c>
      <x:c r="Z258" s="6" t="n">
        <x:f>ROUND(MAX(0,U258+V258-W258-Y258),2)</x:f>
        <x:v>0</x:v>
      </x:c>
      <x:c r="AA258" s="6" t="n">
        <x:f>AF257</x:f>
        <x:v>0</x:v>
      </x:c>
      <x:c r="AB258" s="6" t="n">
        <x:f>ROUND(AA258*'Debt strategy'!$D$13/12,2)</x:f>
        <x:v>0</x:v>
      </x:c>
      <x:c r="AC258" s="6" t="n">
        <x:f>MIN(AA258+AB258,'Debt strategy'!$E$13)</x:f>
        <x:v>0</x:v>
      </x:c>
      <x:c r="AD258" s="27" t="n">
        <x:f>IF(AA258+AB258-AC258&lt;=0,99,1+SUM(IF(AND(C258+D258-E258&gt;0,OR(C258+D258-E258&lt;AA258+AB258-AC258,AND(C258+D258-E258=AA258+AB258-AC258,0&lt;4))),1,0),IF(AND(I258+J258-K258&gt;0,OR(I258+J258-K258&lt;AA258+AB258-AC258,AND(I258+J258-K258=AA258+AB258-AC258,1&lt;4))),1,0),IF(AND(O258+P258-Q258&gt;0,OR(O258+P258-Q258&lt;AA258+AB258-AC258,AND(O258+P258-Q258=AA258+AB258-AC258,2&lt;4))),1,0),IF(AND(U258+V258-W258&gt;0,OR(U258+V258-W258&lt;AA258+AB258-AC258,AND(U258+V258-W258=AA258+AB258-AC258,3&lt;4))),1,0)))</x:f>
        <x:v>99</x:v>
      </x:c>
      <x:c r="AE258" s="6" t="n">
        <x:f>IF('Debt strategy'!$C$16&gt;0,0,MIN(AA258+AB258-AC258,MAX(0,'Debt strategy'!$C$5-SUM(E258,K258,Q258,W258,AC258)-SUM(IF(F258&lt;AD258,C258+D258-E258,0),IF(L258&lt;AD258,I258+J258-K258,0),IF(R258&lt;AD258,O258+P258-Q258,0),IF(X258&lt;AD258,U258+V258-W258,0)))))</x:f>
        <x:v>0</x:v>
      </x:c>
      <x:c r="AF258" s="6" t="n">
        <x:f>ROUND(MAX(0,AA258+AB258-AC258-AE258),2)</x:f>
        <x:v>0</x:v>
      </x:c>
      <x:c r="AG258" s="6" t="n">
        <x:f>SUM(H258,N258,T258,Z258,AF258)</x:f>
        <x:v>0</x:v>
      </x:c>
      <x:c r="AH258" s="6" t="n">
        <x:f>SUM(D258,J258,P258,V258,AB258)+AH257</x:f>
        <x:v>1353.9499999999996</x:v>
      </x:c>
      <x:c r="AI258" s="2"/>
    </x:row>
    <x:row r="259" ht="23" customHeight="1">
      <x:c r="B259" s="2" t="n">
        <x:f>251</x:f>
        <x:v>251</x:v>
      </x:c>
      <x:c r="C259" s="6" t="n">
        <x:f>H258</x:f>
        <x:v>0</x:v>
      </x:c>
      <x:c r="D259" s="6" t="n">
        <x:f>ROUND(C259*'Debt strategy'!$D$9/12,2)</x:f>
        <x:v>0</x:v>
      </x:c>
      <x:c r="E259" s="6" t="n">
        <x:f>MIN(C259+D259,'Debt strategy'!$E$9)</x:f>
        <x:v>0</x:v>
      </x:c>
      <x:c r="F259" s="27" t="n">
        <x:f>IF(C259+D259-E259&lt;=0,99,1+SUM(IF(AND(I259+J259-K259&gt;0,OR(I259+J259-K259&lt;C259+D259-E259,AND(I259+J259-K259=C259+D259-E259,1&lt;0))),1,0),IF(AND(O259+P259-Q259&gt;0,OR(O259+P259-Q259&lt;C259+D259-E259,AND(O259+P259-Q259=C259+D259-E259,2&lt;0))),1,0),IF(AND(U259+V259-W259&gt;0,OR(U259+V259-W259&lt;C259+D259-E259,AND(U259+V259-W259=C259+D259-E259,3&lt;0))),1,0),IF(AND(AA259+AB259-AC259&gt;0,OR(AA259+AB259-AC259&lt;C259+D259-E259,AND(AA259+AB259-AC259=C259+D259-E259,4&lt;0))),1,0)))</x:f>
        <x:v>99</x:v>
      </x:c>
      <x:c r="G259" s="6" t="n">
        <x:f>IF('Debt strategy'!$C$16&gt;0,0,MIN(C259+D259-E259,MAX(0,'Debt strategy'!$C$5-SUM(E259,K259,Q259,W259,AC259)-SUM(IF(L259&lt;F259,I259+J259-K259,0),IF(R259&lt;F259,O259+P259-Q259,0),IF(X259&lt;F259,U259+V259-W259,0),IF(AD259&lt;F259,AA259+AB259-AC259,0)))))</x:f>
        <x:v>0</x:v>
      </x:c>
      <x:c r="H259" s="6" t="n">
        <x:f>ROUND(MAX(0,C259+D259-E259-G259),2)</x:f>
        <x:v>0</x:v>
      </x:c>
      <x:c r="I259" s="6" t="n">
        <x:f>N258</x:f>
        <x:v>0</x:v>
      </x:c>
      <x:c r="J259" s="6" t="n">
        <x:f>ROUND(I259*'Debt strategy'!$D$10/12,2)</x:f>
        <x:v>0</x:v>
      </x:c>
      <x:c r="K259" s="6" t="n">
        <x:f>MIN(I259+J259,'Debt strategy'!$E$10)</x:f>
        <x:v>0</x:v>
      </x:c>
      <x:c r="L259" s="27" t="n">
        <x:f>IF(I259+J259-K259&lt;=0,99,1+SUM(IF(AND(C259+D259-E259&gt;0,OR(C259+D259-E259&lt;I259+J259-K259,AND(C259+D259-E259=I259+J259-K259,0&lt;1))),1,0),IF(AND(O259+P259-Q259&gt;0,OR(O259+P259-Q259&lt;I259+J259-K259,AND(O259+P259-Q259=I259+J259-K259,2&lt;1))),1,0),IF(AND(U259+V259-W259&gt;0,OR(U259+V259-W259&lt;I259+J259-K259,AND(U259+V259-W259=I259+J259-K259,3&lt;1))),1,0),IF(AND(AA259+AB259-AC259&gt;0,OR(AA259+AB259-AC259&lt;I259+J259-K259,AND(AA259+AB259-AC259=I259+J259-K259,4&lt;1))),1,0)))</x:f>
        <x:v>99</x:v>
      </x:c>
      <x:c r="M259" s="6" t="n">
        <x:f>IF('Debt strategy'!$C$16&gt;0,0,MIN(I259+J259-K259,MAX(0,'Debt strategy'!$C$5-SUM(E259,K259,Q259,W259,AC259)-SUM(IF(F259&lt;L259,C259+D259-E259,0),IF(R259&lt;L259,O259+P259-Q259,0),IF(X259&lt;L259,U259+V259-W259,0),IF(AD259&lt;L259,AA259+AB259-AC259,0)))))</x:f>
        <x:v>0</x:v>
      </x:c>
      <x:c r="N259" s="6" t="n">
        <x:f>ROUND(MAX(0,I259+J259-K259-M259),2)</x:f>
        <x:v>0</x:v>
      </x:c>
      <x:c r="O259" s="6" t="n">
        <x:f>T258</x:f>
        <x:v>0</x:v>
      </x:c>
      <x:c r="P259" s="6" t="n">
        <x:f>ROUND(O259*'Debt strategy'!$D$11/12,2)</x:f>
        <x:v>0</x:v>
      </x:c>
      <x:c r="Q259" s="6" t="n">
        <x:f>MIN(O259+P259,'Debt strategy'!$E$11)</x:f>
        <x:v>0</x:v>
      </x:c>
      <x:c r="R259" s="27" t="n">
        <x:f>IF(O259+P259-Q259&lt;=0,99,1+SUM(IF(AND(C259+D259-E259&gt;0,OR(C259+D259-E259&lt;O259+P259-Q259,AND(C259+D259-E259=O259+P259-Q259,0&lt;2))),1,0),IF(AND(I259+J259-K259&gt;0,OR(I259+J259-K259&lt;O259+P259-Q259,AND(I259+J259-K259=O259+P259-Q259,1&lt;2))),1,0),IF(AND(U259+V259-W259&gt;0,OR(U259+V259-W259&lt;O259+P259-Q259,AND(U259+V259-W259=O259+P259-Q259,3&lt;2))),1,0),IF(AND(AA259+AB259-AC259&gt;0,OR(AA259+AB259-AC259&lt;O259+P259-Q259,AND(AA259+AB259-AC259=O259+P259-Q259,4&lt;2))),1,0)))</x:f>
        <x:v>99</x:v>
      </x:c>
      <x:c r="S259" s="6" t="n">
        <x:f>IF('Debt strategy'!$C$16&gt;0,0,MIN(O259+P259-Q259,MAX(0,'Debt strategy'!$C$5-SUM(E259,K259,Q259,W259,AC259)-SUM(IF(F259&lt;R259,C259+D259-E259,0),IF(L259&lt;R259,I259+J259-K259,0),IF(X259&lt;R259,U259+V259-W259,0),IF(AD259&lt;R259,AA259+AB259-AC259,0)))))</x:f>
        <x:v>0</x:v>
      </x:c>
      <x:c r="T259" s="6" t="n">
        <x:f>ROUND(MAX(0,O259+P259-Q259-S259),2)</x:f>
        <x:v>0</x:v>
      </x:c>
      <x:c r="U259" s="6" t="n">
        <x:f>Z258</x:f>
        <x:v>0</x:v>
      </x:c>
      <x:c r="V259" s="6" t="n">
        <x:f>ROUND(U259*'Debt strategy'!$D$12/12,2)</x:f>
        <x:v>0</x:v>
      </x:c>
      <x:c r="W259" s="6" t="n">
        <x:f>MIN(U259+V259,'Debt strategy'!$E$12)</x:f>
        <x:v>0</x:v>
      </x:c>
      <x:c r="X259" s="27" t="n">
        <x:f>IF(U259+V259-W259&lt;=0,99,1+SUM(IF(AND(C259+D259-E259&gt;0,OR(C259+D259-E259&lt;U259+V259-W259,AND(C259+D259-E259=U259+V259-W259,0&lt;3))),1,0),IF(AND(I259+J259-K259&gt;0,OR(I259+J259-K259&lt;U259+V259-W259,AND(I259+J259-K259=U259+V259-W259,1&lt;3))),1,0),IF(AND(O259+P259-Q259&gt;0,OR(O259+P259-Q259&lt;U259+V259-W259,AND(O259+P259-Q259=U259+V259-W259,2&lt;3))),1,0),IF(AND(AA259+AB259-AC259&gt;0,OR(AA259+AB259-AC259&lt;U259+V259-W259,AND(AA259+AB259-AC259=U259+V259-W259,4&lt;3))),1,0)))</x:f>
        <x:v>99</x:v>
      </x:c>
      <x:c r="Y259" s="6" t="n">
        <x:f>IF('Debt strategy'!$C$16&gt;0,0,MIN(U259+V259-W259,MAX(0,'Debt strategy'!$C$5-SUM(E259,K259,Q259,W259,AC259)-SUM(IF(F259&lt;X259,C259+D259-E259,0),IF(L259&lt;X259,I259+J259-K259,0),IF(R259&lt;X259,O259+P259-Q259,0),IF(AD259&lt;X259,AA259+AB259-AC259,0)))))</x:f>
        <x:v>0</x:v>
      </x:c>
      <x:c r="Z259" s="6" t="n">
        <x:f>ROUND(MAX(0,U259+V259-W259-Y259),2)</x:f>
        <x:v>0</x:v>
      </x:c>
      <x:c r="AA259" s="6" t="n">
        <x:f>AF258</x:f>
        <x:v>0</x:v>
      </x:c>
      <x:c r="AB259" s="6" t="n">
        <x:f>ROUND(AA259*'Debt strategy'!$D$13/12,2)</x:f>
        <x:v>0</x:v>
      </x:c>
      <x:c r="AC259" s="6" t="n">
        <x:f>MIN(AA259+AB259,'Debt strategy'!$E$13)</x:f>
        <x:v>0</x:v>
      </x:c>
      <x:c r="AD259" s="27" t="n">
        <x:f>IF(AA259+AB259-AC259&lt;=0,99,1+SUM(IF(AND(C259+D259-E259&gt;0,OR(C259+D259-E259&lt;AA259+AB259-AC259,AND(C259+D259-E259=AA259+AB259-AC259,0&lt;4))),1,0),IF(AND(I259+J259-K259&gt;0,OR(I259+J259-K259&lt;AA259+AB259-AC259,AND(I259+J259-K259=AA259+AB259-AC259,1&lt;4))),1,0),IF(AND(O259+P259-Q259&gt;0,OR(O259+P259-Q259&lt;AA259+AB259-AC259,AND(O259+P259-Q259=AA259+AB259-AC259,2&lt;4))),1,0),IF(AND(U259+V259-W259&gt;0,OR(U259+V259-W259&lt;AA259+AB259-AC259,AND(U259+V259-W259=AA259+AB259-AC259,3&lt;4))),1,0)))</x:f>
        <x:v>99</x:v>
      </x:c>
      <x:c r="AE259" s="6" t="n">
        <x:f>IF('Debt strategy'!$C$16&gt;0,0,MIN(AA259+AB259-AC259,MAX(0,'Debt strategy'!$C$5-SUM(E259,K259,Q259,W259,AC259)-SUM(IF(F259&lt;AD259,C259+D259-E259,0),IF(L259&lt;AD259,I259+J259-K259,0),IF(R259&lt;AD259,O259+P259-Q259,0),IF(X259&lt;AD259,U259+V259-W259,0)))))</x:f>
        <x:v>0</x:v>
      </x:c>
      <x:c r="AF259" s="6" t="n">
        <x:f>ROUND(MAX(0,AA259+AB259-AC259-AE259),2)</x:f>
        <x:v>0</x:v>
      </x:c>
      <x:c r="AG259" s="6" t="n">
        <x:f>SUM(H259,N259,T259,Z259,AF259)</x:f>
        <x:v>0</x:v>
      </x:c>
      <x:c r="AH259" s="6" t="n">
        <x:f>SUM(D259,J259,P259,V259,AB259)+AH258</x:f>
        <x:v>1353.9499999999996</x:v>
      </x:c>
      <x:c r="AI259" s="2"/>
    </x:row>
    <x:row r="260" ht="23" customHeight="1">
      <x:c r="B260" s="2" t="n">
        <x:f>252</x:f>
        <x:v>252</x:v>
      </x:c>
      <x:c r="C260" s="6" t="n">
        <x:f>H259</x:f>
        <x:v>0</x:v>
      </x:c>
      <x:c r="D260" s="6" t="n">
        <x:f>ROUND(C260*'Debt strategy'!$D$9/12,2)</x:f>
        <x:v>0</x:v>
      </x:c>
      <x:c r="E260" s="6" t="n">
        <x:f>MIN(C260+D260,'Debt strategy'!$E$9)</x:f>
        <x:v>0</x:v>
      </x:c>
      <x:c r="F260" s="27" t="n">
        <x:f>IF(C260+D260-E260&lt;=0,99,1+SUM(IF(AND(I260+J260-K260&gt;0,OR(I260+J260-K260&lt;C260+D260-E260,AND(I260+J260-K260=C260+D260-E260,1&lt;0))),1,0),IF(AND(O260+P260-Q260&gt;0,OR(O260+P260-Q260&lt;C260+D260-E260,AND(O260+P260-Q260=C260+D260-E260,2&lt;0))),1,0),IF(AND(U260+V260-W260&gt;0,OR(U260+V260-W260&lt;C260+D260-E260,AND(U260+V260-W260=C260+D260-E260,3&lt;0))),1,0),IF(AND(AA260+AB260-AC260&gt;0,OR(AA260+AB260-AC260&lt;C260+D260-E260,AND(AA260+AB260-AC260=C260+D260-E260,4&lt;0))),1,0)))</x:f>
        <x:v>99</x:v>
      </x:c>
      <x:c r="G260" s="6" t="n">
        <x:f>IF('Debt strategy'!$C$16&gt;0,0,MIN(C260+D260-E260,MAX(0,'Debt strategy'!$C$5-SUM(E260,K260,Q260,W260,AC260)-SUM(IF(L260&lt;F260,I260+J260-K260,0),IF(R260&lt;F260,O260+P260-Q260,0),IF(X260&lt;F260,U260+V260-W260,0),IF(AD260&lt;F260,AA260+AB260-AC260,0)))))</x:f>
        <x:v>0</x:v>
      </x:c>
      <x:c r="H260" s="6" t="n">
        <x:f>ROUND(MAX(0,C260+D260-E260-G260),2)</x:f>
        <x:v>0</x:v>
      </x:c>
      <x:c r="I260" s="6" t="n">
        <x:f>N259</x:f>
        <x:v>0</x:v>
      </x:c>
      <x:c r="J260" s="6" t="n">
        <x:f>ROUND(I260*'Debt strategy'!$D$10/12,2)</x:f>
        <x:v>0</x:v>
      </x:c>
      <x:c r="K260" s="6" t="n">
        <x:f>MIN(I260+J260,'Debt strategy'!$E$10)</x:f>
        <x:v>0</x:v>
      </x:c>
      <x:c r="L260" s="27" t="n">
        <x:f>IF(I260+J260-K260&lt;=0,99,1+SUM(IF(AND(C260+D260-E260&gt;0,OR(C260+D260-E260&lt;I260+J260-K260,AND(C260+D260-E260=I260+J260-K260,0&lt;1))),1,0),IF(AND(O260+P260-Q260&gt;0,OR(O260+P260-Q260&lt;I260+J260-K260,AND(O260+P260-Q260=I260+J260-K260,2&lt;1))),1,0),IF(AND(U260+V260-W260&gt;0,OR(U260+V260-W260&lt;I260+J260-K260,AND(U260+V260-W260=I260+J260-K260,3&lt;1))),1,0),IF(AND(AA260+AB260-AC260&gt;0,OR(AA260+AB260-AC260&lt;I260+J260-K260,AND(AA260+AB260-AC260=I260+J260-K260,4&lt;1))),1,0)))</x:f>
        <x:v>99</x:v>
      </x:c>
      <x:c r="M260" s="6" t="n">
        <x:f>IF('Debt strategy'!$C$16&gt;0,0,MIN(I260+J260-K260,MAX(0,'Debt strategy'!$C$5-SUM(E260,K260,Q260,W260,AC260)-SUM(IF(F260&lt;L260,C260+D260-E260,0),IF(R260&lt;L260,O260+P260-Q260,0),IF(X260&lt;L260,U260+V260-W260,0),IF(AD260&lt;L260,AA260+AB260-AC260,0)))))</x:f>
        <x:v>0</x:v>
      </x:c>
      <x:c r="N260" s="6" t="n">
        <x:f>ROUND(MAX(0,I260+J260-K260-M260),2)</x:f>
        <x:v>0</x:v>
      </x:c>
      <x:c r="O260" s="6" t="n">
        <x:f>T259</x:f>
        <x:v>0</x:v>
      </x:c>
      <x:c r="P260" s="6" t="n">
        <x:f>ROUND(O260*'Debt strategy'!$D$11/12,2)</x:f>
        <x:v>0</x:v>
      </x:c>
      <x:c r="Q260" s="6" t="n">
        <x:f>MIN(O260+P260,'Debt strategy'!$E$11)</x:f>
        <x:v>0</x:v>
      </x:c>
      <x:c r="R260" s="27" t="n">
        <x:f>IF(O260+P260-Q260&lt;=0,99,1+SUM(IF(AND(C260+D260-E260&gt;0,OR(C260+D260-E260&lt;O260+P260-Q260,AND(C260+D260-E260=O260+P260-Q260,0&lt;2))),1,0),IF(AND(I260+J260-K260&gt;0,OR(I260+J260-K260&lt;O260+P260-Q260,AND(I260+J260-K260=O260+P260-Q260,1&lt;2))),1,0),IF(AND(U260+V260-W260&gt;0,OR(U260+V260-W260&lt;O260+P260-Q260,AND(U260+V260-W260=O260+P260-Q260,3&lt;2))),1,0),IF(AND(AA260+AB260-AC260&gt;0,OR(AA260+AB260-AC260&lt;O260+P260-Q260,AND(AA260+AB260-AC260=O260+P260-Q260,4&lt;2))),1,0)))</x:f>
        <x:v>99</x:v>
      </x:c>
      <x:c r="S260" s="6" t="n">
        <x:f>IF('Debt strategy'!$C$16&gt;0,0,MIN(O260+P260-Q260,MAX(0,'Debt strategy'!$C$5-SUM(E260,K260,Q260,W260,AC260)-SUM(IF(F260&lt;R260,C260+D260-E260,0),IF(L260&lt;R260,I260+J260-K260,0),IF(X260&lt;R260,U260+V260-W260,0),IF(AD260&lt;R260,AA260+AB260-AC260,0)))))</x:f>
        <x:v>0</x:v>
      </x:c>
      <x:c r="T260" s="6" t="n">
        <x:f>ROUND(MAX(0,O260+P260-Q260-S260),2)</x:f>
        <x:v>0</x:v>
      </x:c>
      <x:c r="U260" s="6" t="n">
        <x:f>Z259</x:f>
        <x:v>0</x:v>
      </x:c>
      <x:c r="V260" s="6" t="n">
        <x:f>ROUND(U260*'Debt strategy'!$D$12/12,2)</x:f>
        <x:v>0</x:v>
      </x:c>
      <x:c r="W260" s="6" t="n">
        <x:f>MIN(U260+V260,'Debt strategy'!$E$12)</x:f>
        <x:v>0</x:v>
      </x:c>
      <x:c r="X260" s="27" t="n">
        <x:f>IF(U260+V260-W260&lt;=0,99,1+SUM(IF(AND(C260+D260-E260&gt;0,OR(C260+D260-E260&lt;U260+V260-W260,AND(C260+D260-E260=U260+V260-W260,0&lt;3))),1,0),IF(AND(I260+J260-K260&gt;0,OR(I260+J260-K260&lt;U260+V260-W260,AND(I260+J260-K260=U260+V260-W260,1&lt;3))),1,0),IF(AND(O260+P260-Q260&gt;0,OR(O260+P260-Q260&lt;U260+V260-W260,AND(O260+P260-Q260=U260+V260-W260,2&lt;3))),1,0),IF(AND(AA260+AB260-AC260&gt;0,OR(AA260+AB260-AC260&lt;U260+V260-W260,AND(AA260+AB260-AC260=U260+V260-W260,4&lt;3))),1,0)))</x:f>
        <x:v>99</x:v>
      </x:c>
      <x:c r="Y260" s="6" t="n">
        <x:f>IF('Debt strategy'!$C$16&gt;0,0,MIN(U260+V260-W260,MAX(0,'Debt strategy'!$C$5-SUM(E260,K260,Q260,W260,AC260)-SUM(IF(F260&lt;X260,C260+D260-E260,0),IF(L260&lt;X260,I260+J260-K260,0),IF(R260&lt;X260,O260+P260-Q260,0),IF(AD260&lt;X260,AA260+AB260-AC260,0)))))</x:f>
        <x:v>0</x:v>
      </x:c>
      <x:c r="Z260" s="6" t="n">
        <x:f>ROUND(MAX(0,U260+V260-W260-Y260),2)</x:f>
        <x:v>0</x:v>
      </x:c>
      <x:c r="AA260" s="6" t="n">
        <x:f>AF259</x:f>
        <x:v>0</x:v>
      </x:c>
      <x:c r="AB260" s="6" t="n">
        <x:f>ROUND(AA260*'Debt strategy'!$D$13/12,2)</x:f>
        <x:v>0</x:v>
      </x:c>
      <x:c r="AC260" s="6" t="n">
        <x:f>MIN(AA260+AB260,'Debt strategy'!$E$13)</x:f>
        <x:v>0</x:v>
      </x:c>
      <x:c r="AD260" s="27" t="n">
        <x:f>IF(AA260+AB260-AC260&lt;=0,99,1+SUM(IF(AND(C260+D260-E260&gt;0,OR(C260+D260-E260&lt;AA260+AB260-AC260,AND(C260+D260-E260=AA260+AB260-AC260,0&lt;4))),1,0),IF(AND(I260+J260-K260&gt;0,OR(I260+J260-K260&lt;AA260+AB260-AC260,AND(I260+J260-K260=AA260+AB260-AC260,1&lt;4))),1,0),IF(AND(O260+P260-Q260&gt;0,OR(O260+P260-Q260&lt;AA260+AB260-AC260,AND(O260+P260-Q260=AA260+AB260-AC260,2&lt;4))),1,0),IF(AND(U260+V260-W260&gt;0,OR(U260+V260-W260&lt;AA260+AB260-AC260,AND(U260+V260-W260=AA260+AB260-AC260,3&lt;4))),1,0)))</x:f>
        <x:v>99</x:v>
      </x:c>
      <x:c r="AE260" s="6" t="n">
        <x:f>IF('Debt strategy'!$C$16&gt;0,0,MIN(AA260+AB260-AC260,MAX(0,'Debt strategy'!$C$5-SUM(E260,K260,Q260,W260,AC260)-SUM(IF(F260&lt;AD260,C260+D260-E260,0),IF(L260&lt;AD260,I260+J260-K260,0),IF(R260&lt;AD260,O260+P260-Q260,0),IF(X260&lt;AD260,U260+V260-W260,0)))))</x:f>
        <x:v>0</x:v>
      </x:c>
      <x:c r="AF260" s="6" t="n">
        <x:f>ROUND(MAX(0,AA260+AB260-AC260-AE260),2)</x:f>
        <x:v>0</x:v>
      </x:c>
      <x:c r="AG260" s="6" t="n">
        <x:f>SUM(H260,N260,T260,Z260,AF260)</x:f>
        <x:v>0</x:v>
      </x:c>
      <x:c r="AH260" s="6" t="n">
        <x:f>SUM(D260,J260,P260,V260,AB260)+AH259</x:f>
        <x:v>1353.9499999999996</x:v>
      </x:c>
      <x:c r="AI260" s="2"/>
    </x:row>
    <x:row r="261" ht="23" customHeight="1">
      <x:c r="B261" s="2" t="n">
        <x:f>253</x:f>
        <x:v>253</x:v>
      </x:c>
      <x:c r="C261" s="6" t="n">
        <x:f>H260</x:f>
        <x:v>0</x:v>
      </x:c>
      <x:c r="D261" s="6" t="n">
        <x:f>ROUND(C261*'Debt strategy'!$D$9/12,2)</x:f>
        <x:v>0</x:v>
      </x:c>
      <x:c r="E261" s="6" t="n">
        <x:f>MIN(C261+D261,'Debt strategy'!$E$9)</x:f>
        <x:v>0</x:v>
      </x:c>
      <x:c r="F261" s="27" t="n">
        <x:f>IF(C261+D261-E261&lt;=0,99,1+SUM(IF(AND(I261+J261-K261&gt;0,OR(I261+J261-K261&lt;C261+D261-E261,AND(I261+J261-K261=C261+D261-E261,1&lt;0))),1,0),IF(AND(O261+P261-Q261&gt;0,OR(O261+P261-Q261&lt;C261+D261-E261,AND(O261+P261-Q261=C261+D261-E261,2&lt;0))),1,0),IF(AND(U261+V261-W261&gt;0,OR(U261+V261-W261&lt;C261+D261-E261,AND(U261+V261-W261=C261+D261-E261,3&lt;0))),1,0),IF(AND(AA261+AB261-AC261&gt;0,OR(AA261+AB261-AC261&lt;C261+D261-E261,AND(AA261+AB261-AC261=C261+D261-E261,4&lt;0))),1,0)))</x:f>
        <x:v>99</x:v>
      </x:c>
      <x:c r="G261" s="6" t="n">
        <x:f>IF('Debt strategy'!$C$16&gt;0,0,MIN(C261+D261-E261,MAX(0,'Debt strategy'!$C$5-SUM(E261,K261,Q261,W261,AC261)-SUM(IF(L261&lt;F261,I261+J261-K261,0),IF(R261&lt;F261,O261+P261-Q261,0),IF(X261&lt;F261,U261+V261-W261,0),IF(AD261&lt;F261,AA261+AB261-AC261,0)))))</x:f>
        <x:v>0</x:v>
      </x:c>
      <x:c r="H261" s="6" t="n">
        <x:f>ROUND(MAX(0,C261+D261-E261-G261),2)</x:f>
        <x:v>0</x:v>
      </x:c>
      <x:c r="I261" s="6" t="n">
        <x:f>N260</x:f>
        <x:v>0</x:v>
      </x:c>
      <x:c r="J261" s="6" t="n">
        <x:f>ROUND(I261*'Debt strategy'!$D$10/12,2)</x:f>
        <x:v>0</x:v>
      </x:c>
      <x:c r="K261" s="6" t="n">
        <x:f>MIN(I261+J261,'Debt strategy'!$E$10)</x:f>
        <x:v>0</x:v>
      </x:c>
      <x:c r="L261" s="27" t="n">
        <x:f>IF(I261+J261-K261&lt;=0,99,1+SUM(IF(AND(C261+D261-E261&gt;0,OR(C261+D261-E261&lt;I261+J261-K261,AND(C261+D261-E261=I261+J261-K261,0&lt;1))),1,0),IF(AND(O261+P261-Q261&gt;0,OR(O261+P261-Q261&lt;I261+J261-K261,AND(O261+P261-Q261=I261+J261-K261,2&lt;1))),1,0),IF(AND(U261+V261-W261&gt;0,OR(U261+V261-W261&lt;I261+J261-K261,AND(U261+V261-W261=I261+J261-K261,3&lt;1))),1,0),IF(AND(AA261+AB261-AC261&gt;0,OR(AA261+AB261-AC261&lt;I261+J261-K261,AND(AA261+AB261-AC261=I261+J261-K261,4&lt;1))),1,0)))</x:f>
        <x:v>99</x:v>
      </x:c>
      <x:c r="M261" s="6" t="n">
        <x:f>IF('Debt strategy'!$C$16&gt;0,0,MIN(I261+J261-K261,MAX(0,'Debt strategy'!$C$5-SUM(E261,K261,Q261,W261,AC261)-SUM(IF(F261&lt;L261,C261+D261-E261,0),IF(R261&lt;L261,O261+P261-Q261,0),IF(X261&lt;L261,U261+V261-W261,0),IF(AD261&lt;L261,AA261+AB261-AC261,0)))))</x:f>
        <x:v>0</x:v>
      </x:c>
      <x:c r="N261" s="6" t="n">
        <x:f>ROUND(MAX(0,I261+J261-K261-M261),2)</x:f>
        <x:v>0</x:v>
      </x:c>
      <x:c r="O261" s="6" t="n">
        <x:f>T260</x:f>
        <x:v>0</x:v>
      </x:c>
      <x:c r="P261" s="6" t="n">
        <x:f>ROUND(O261*'Debt strategy'!$D$11/12,2)</x:f>
        <x:v>0</x:v>
      </x:c>
      <x:c r="Q261" s="6" t="n">
        <x:f>MIN(O261+P261,'Debt strategy'!$E$11)</x:f>
        <x:v>0</x:v>
      </x:c>
      <x:c r="R261" s="27" t="n">
        <x:f>IF(O261+P261-Q261&lt;=0,99,1+SUM(IF(AND(C261+D261-E261&gt;0,OR(C261+D261-E261&lt;O261+P261-Q261,AND(C261+D261-E261=O261+P261-Q261,0&lt;2))),1,0),IF(AND(I261+J261-K261&gt;0,OR(I261+J261-K261&lt;O261+P261-Q261,AND(I261+J261-K261=O261+P261-Q261,1&lt;2))),1,0),IF(AND(U261+V261-W261&gt;0,OR(U261+V261-W261&lt;O261+P261-Q261,AND(U261+V261-W261=O261+P261-Q261,3&lt;2))),1,0),IF(AND(AA261+AB261-AC261&gt;0,OR(AA261+AB261-AC261&lt;O261+P261-Q261,AND(AA261+AB261-AC261=O261+P261-Q261,4&lt;2))),1,0)))</x:f>
        <x:v>99</x:v>
      </x:c>
      <x:c r="S261" s="6" t="n">
        <x:f>IF('Debt strategy'!$C$16&gt;0,0,MIN(O261+P261-Q261,MAX(0,'Debt strategy'!$C$5-SUM(E261,K261,Q261,W261,AC261)-SUM(IF(F261&lt;R261,C261+D261-E261,0),IF(L261&lt;R261,I261+J261-K261,0),IF(X261&lt;R261,U261+V261-W261,0),IF(AD261&lt;R261,AA261+AB261-AC261,0)))))</x:f>
        <x:v>0</x:v>
      </x:c>
      <x:c r="T261" s="6" t="n">
        <x:f>ROUND(MAX(0,O261+P261-Q261-S261),2)</x:f>
        <x:v>0</x:v>
      </x:c>
      <x:c r="U261" s="6" t="n">
        <x:f>Z260</x:f>
        <x:v>0</x:v>
      </x:c>
      <x:c r="V261" s="6" t="n">
        <x:f>ROUND(U261*'Debt strategy'!$D$12/12,2)</x:f>
        <x:v>0</x:v>
      </x:c>
      <x:c r="W261" s="6" t="n">
        <x:f>MIN(U261+V261,'Debt strategy'!$E$12)</x:f>
        <x:v>0</x:v>
      </x:c>
      <x:c r="X261" s="27" t="n">
        <x:f>IF(U261+V261-W261&lt;=0,99,1+SUM(IF(AND(C261+D261-E261&gt;0,OR(C261+D261-E261&lt;U261+V261-W261,AND(C261+D261-E261=U261+V261-W261,0&lt;3))),1,0),IF(AND(I261+J261-K261&gt;0,OR(I261+J261-K261&lt;U261+V261-W261,AND(I261+J261-K261=U261+V261-W261,1&lt;3))),1,0),IF(AND(O261+P261-Q261&gt;0,OR(O261+P261-Q261&lt;U261+V261-W261,AND(O261+P261-Q261=U261+V261-W261,2&lt;3))),1,0),IF(AND(AA261+AB261-AC261&gt;0,OR(AA261+AB261-AC261&lt;U261+V261-W261,AND(AA261+AB261-AC261=U261+V261-W261,4&lt;3))),1,0)))</x:f>
        <x:v>99</x:v>
      </x:c>
      <x:c r="Y261" s="6" t="n">
        <x:f>IF('Debt strategy'!$C$16&gt;0,0,MIN(U261+V261-W261,MAX(0,'Debt strategy'!$C$5-SUM(E261,K261,Q261,W261,AC261)-SUM(IF(F261&lt;X261,C261+D261-E261,0),IF(L261&lt;X261,I261+J261-K261,0),IF(R261&lt;X261,O261+P261-Q261,0),IF(AD261&lt;X261,AA261+AB261-AC261,0)))))</x:f>
        <x:v>0</x:v>
      </x:c>
      <x:c r="Z261" s="6" t="n">
        <x:f>ROUND(MAX(0,U261+V261-W261-Y261),2)</x:f>
        <x:v>0</x:v>
      </x:c>
      <x:c r="AA261" s="6" t="n">
        <x:f>AF260</x:f>
        <x:v>0</x:v>
      </x:c>
      <x:c r="AB261" s="6" t="n">
        <x:f>ROUND(AA261*'Debt strategy'!$D$13/12,2)</x:f>
        <x:v>0</x:v>
      </x:c>
      <x:c r="AC261" s="6" t="n">
        <x:f>MIN(AA261+AB261,'Debt strategy'!$E$13)</x:f>
        <x:v>0</x:v>
      </x:c>
      <x:c r="AD261" s="27" t="n">
        <x:f>IF(AA261+AB261-AC261&lt;=0,99,1+SUM(IF(AND(C261+D261-E261&gt;0,OR(C261+D261-E261&lt;AA261+AB261-AC261,AND(C261+D261-E261=AA261+AB261-AC261,0&lt;4))),1,0),IF(AND(I261+J261-K261&gt;0,OR(I261+J261-K261&lt;AA261+AB261-AC261,AND(I261+J261-K261=AA261+AB261-AC261,1&lt;4))),1,0),IF(AND(O261+P261-Q261&gt;0,OR(O261+P261-Q261&lt;AA261+AB261-AC261,AND(O261+P261-Q261=AA261+AB261-AC261,2&lt;4))),1,0),IF(AND(U261+V261-W261&gt;0,OR(U261+V261-W261&lt;AA261+AB261-AC261,AND(U261+V261-W261=AA261+AB261-AC261,3&lt;4))),1,0)))</x:f>
        <x:v>99</x:v>
      </x:c>
      <x:c r="AE261" s="6" t="n">
        <x:f>IF('Debt strategy'!$C$16&gt;0,0,MIN(AA261+AB261-AC261,MAX(0,'Debt strategy'!$C$5-SUM(E261,K261,Q261,W261,AC261)-SUM(IF(F261&lt;AD261,C261+D261-E261,0),IF(L261&lt;AD261,I261+J261-K261,0),IF(R261&lt;AD261,O261+P261-Q261,0),IF(X261&lt;AD261,U261+V261-W261,0)))))</x:f>
        <x:v>0</x:v>
      </x:c>
      <x:c r="AF261" s="6" t="n">
        <x:f>ROUND(MAX(0,AA261+AB261-AC261-AE261),2)</x:f>
        <x:v>0</x:v>
      </x:c>
      <x:c r="AG261" s="6" t="n">
        <x:f>SUM(H261,N261,T261,Z261,AF261)</x:f>
        <x:v>0</x:v>
      </x:c>
      <x:c r="AH261" s="6" t="n">
        <x:f>SUM(D261,J261,P261,V261,AB261)+AH260</x:f>
        <x:v>1353.9499999999996</x:v>
      </x:c>
      <x:c r="AI261" s="2"/>
    </x:row>
    <x:row r="262" ht="23" customHeight="1">
      <x:c r="B262" s="2" t="n">
        <x:f>254</x:f>
        <x:v>254</x:v>
      </x:c>
      <x:c r="C262" s="6" t="n">
        <x:f>H261</x:f>
        <x:v>0</x:v>
      </x:c>
      <x:c r="D262" s="6" t="n">
        <x:f>ROUND(C262*'Debt strategy'!$D$9/12,2)</x:f>
        <x:v>0</x:v>
      </x:c>
      <x:c r="E262" s="6" t="n">
        <x:f>MIN(C262+D262,'Debt strategy'!$E$9)</x:f>
        <x:v>0</x:v>
      </x:c>
      <x:c r="F262" s="27" t="n">
        <x:f>IF(C262+D262-E262&lt;=0,99,1+SUM(IF(AND(I262+J262-K262&gt;0,OR(I262+J262-K262&lt;C262+D262-E262,AND(I262+J262-K262=C262+D262-E262,1&lt;0))),1,0),IF(AND(O262+P262-Q262&gt;0,OR(O262+P262-Q262&lt;C262+D262-E262,AND(O262+P262-Q262=C262+D262-E262,2&lt;0))),1,0),IF(AND(U262+V262-W262&gt;0,OR(U262+V262-W262&lt;C262+D262-E262,AND(U262+V262-W262=C262+D262-E262,3&lt;0))),1,0),IF(AND(AA262+AB262-AC262&gt;0,OR(AA262+AB262-AC262&lt;C262+D262-E262,AND(AA262+AB262-AC262=C262+D262-E262,4&lt;0))),1,0)))</x:f>
        <x:v>99</x:v>
      </x:c>
      <x:c r="G262" s="6" t="n">
        <x:f>IF('Debt strategy'!$C$16&gt;0,0,MIN(C262+D262-E262,MAX(0,'Debt strategy'!$C$5-SUM(E262,K262,Q262,W262,AC262)-SUM(IF(L262&lt;F262,I262+J262-K262,0),IF(R262&lt;F262,O262+P262-Q262,0),IF(X262&lt;F262,U262+V262-W262,0),IF(AD262&lt;F262,AA262+AB262-AC262,0)))))</x:f>
        <x:v>0</x:v>
      </x:c>
      <x:c r="H262" s="6" t="n">
        <x:f>ROUND(MAX(0,C262+D262-E262-G262),2)</x:f>
        <x:v>0</x:v>
      </x:c>
      <x:c r="I262" s="6" t="n">
        <x:f>N261</x:f>
        <x:v>0</x:v>
      </x:c>
      <x:c r="J262" s="6" t="n">
        <x:f>ROUND(I262*'Debt strategy'!$D$10/12,2)</x:f>
        <x:v>0</x:v>
      </x:c>
      <x:c r="K262" s="6" t="n">
        <x:f>MIN(I262+J262,'Debt strategy'!$E$10)</x:f>
        <x:v>0</x:v>
      </x:c>
      <x:c r="L262" s="27" t="n">
        <x:f>IF(I262+J262-K262&lt;=0,99,1+SUM(IF(AND(C262+D262-E262&gt;0,OR(C262+D262-E262&lt;I262+J262-K262,AND(C262+D262-E262=I262+J262-K262,0&lt;1))),1,0),IF(AND(O262+P262-Q262&gt;0,OR(O262+P262-Q262&lt;I262+J262-K262,AND(O262+P262-Q262=I262+J262-K262,2&lt;1))),1,0),IF(AND(U262+V262-W262&gt;0,OR(U262+V262-W262&lt;I262+J262-K262,AND(U262+V262-W262=I262+J262-K262,3&lt;1))),1,0),IF(AND(AA262+AB262-AC262&gt;0,OR(AA262+AB262-AC262&lt;I262+J262-K262,AND(AA262+AB262-AC262=I262+J262-K262,4&lt;1))),1,0)))</x:f>
        <x:v>99</x:v>
      </x:c>
      <x:c r="M262" s="6" t="n">
        <x:f>IF('Debt strategy'!$C$16&gt;0,0,MIN(I262+J262-K262,MAX(0,'Debt strategy'!$C$5-SUM(E262,K262,Q262,W262,AC262)-SUM(IF(F262&lt;L262,C262+D262-E262,0),IF(R262&lt;L262,O262+P262-Q262,0),IF(X262&lt;L262,U262+V262-W262,0),IF(AD262&lt;L262,AA262+AB262-AC262,0)))))</x:f>
        <x:v>0</x:v>
      </x:c>
      <x:c r="N262" s="6" t="n">
        <x:f>ROUND(MAX(0,I262+J262-K262-M262),2)</x:f>
        <x:v>0</x:v>
      </x:c>
      <x:c r="O262" s="6" t="n">
        <x:f>T261</x:f>
        <x:v>0</x:v>
      </x:c>
      <x:c r="P262" s="6" t="n">
        <x:f>ROUND(O262*'Debt strategy'!$D$11/12,2)</x:f>
        <x:v>0</x:v>
      </x:c>
      <x:c r="Q262" s="6" t="n">
        <x:f>MIN(O262+P262,'Debt strategy'!$E$11)</x:f>
        <x:v>0</x:v>
      </x:c>
      <x:c r="R262" s="27" t="n">
        <x:f>IF(O262+P262-Q262&lt;=0,99,1+SUM(IF(AND(C262+D262-E262&gt;0,OR(C262+D262-E262&lt;O262+P262-Q262,AND(C262+D262-E262=O262+P262-Q262,0&lt;2))),1,0),IF(AND(I262+J262-K262&gt;0,OR(I262+J262-K262&lt;O262+P262-Q262,AND(I262+J262-K262=O262+P262-Q262,1&lt;2))),1,0),IF(AND(U262+V262-W262&gt;0,OR(U262+V262-W262&lt;O262+P262-Q262,AND(U262+V262-W262=O262+P262-Q262,3&lt;2))),1,0),IF(AND(AA262+AB262-AC262&gt;0,OR(AA262+AB262-AC262&lt;O262+P262-Q262,AND(AA262+AB262-AC262=O262+P262-Q262,4&lt;2))),1,0)))</x:f>
        <x:v>99</x:v>
      </x:c>
      <x:c r="S262" s="6" t="n">
        <x:f>IF('Debt strategy'!$C$16&gt;0,0,MIN(O262+P262-Q262,MAX(0,'Debt strategy'!$C$5-SUM(E262,K262,Q262,W262,AC262)-SUM(IF(F262&lt;R262,C262+D262-E262,0),IF(L262&lt;R262,I262+J262-K262,0),IF(X262&lt;R262,U262+V262-W262,0),IF(AD262&lt;R262,AA262+AB262-AC262,0)))))</x:f>
        <x:v>0</x:v>
      </x:c>
      <x:c r="T262" s="6" t="n">
        <x:f>ROUND(MAX(0,O262+P262-Q262-S262),2)</x:f>
        <x:v>0</x:v>
      </x:c>
      <x:c r="U262" s="6" t="n">
        <x:f>Z261</x:f>
        <x:v>0</x:v>
      </x:c>
      <x:c r="V262" s="6" t="n">
        <x:f>ROUND(U262*'Debt strategy'!$D$12/12,2)</x:f>
        <x:v>0</x:v>
      </x:c>
      <x:c r="W262" s="6" t="n">
        <x:f>MIN(U262+V262,'Debt strategy'!$E$12)</x:f>
        <x:v>0</x:v>
      </x:c>
      <x:c r="X262" s="27" t="n">
        <x:f>IF(U262+V262-W262&lt;=0,99,1+SUM(IF(AND(C262+D262-E262&gt;0,OR(C262+D262-E262&lt;U262+V262-W262,AND(C262+D262-E262=U262+V262-W262,0&lt;3))),1,0),IF(AND(I262+J262-K262&gt;0,OR(I262+J262-K262&lt;U262+V262-W262,AND(I262+J262-K262=U262+V262-W262,1&lt;3))),1,0),IF(AND(O262+P262-Q262&gt;0,OR(O262+P262-Q262&lt;U262+V262-W262,AND(O262+P262-Q262=U262+V262-W262,2&lt;3))),1,0),IF(AND(AA262+AB262-AC262&gt;0,OR(AA262+AB262-AC262&lt;U262+V262-W262,AND(AA262+AB262-AC262=U262+V262-W262,4&lt;3))),1,0)))</x:f>
        <x:v>99</x:v>
      </x:c>
      <x:c r="Y262" s="6" t="n">
        <x:f>IF('Debt strategy'!$C$16&gt;0,0,MIN(U262+V262-W262,MAX(0,'Debt strategy'!$C$5-SUM(E262,K262,Q262,W262,AC262)-SUM(IF(F262&lt;X262,C262+D262-E262,0),IF(L262&lt;X262,I262+J262-K262,0),IF(R262&lt;X262,O262+P262-Q262,0),IF(AD262&lt;X262,AA262+AB262-AC262,0)))))</x:f>
        <x:v>0</x:v>
      </x:c>
      <x:c r="Z262" s="6" t="n">
        <x:f>ROUND(MAX(0,U262+V262-W262-Y262),2)</x:f>
        <x:v>0</x:v>
      </x:c>
      <x:c r="AA262" s="6" t="n">
        <x:f>AF261</x:f>
        <x:v>0</x:v>
      </x:c>
      <x:c r="AB262" s="6" t="n">
        <x:f>ROUND(AA262*'Debt strategy'!$D$13/12,2)</x:f>
        <x:v>0</x:v>
      </x:c>
      <x:c r="AC262" s="6" t="n">
        <x:f>MIN(AA262+AB262,'Debt strategy'!$E$13)</x:f>
        <x:v>0</x:v>
      </x:c>
      <x:c r="AD262" s="27" t="n">
        <x:f>IF(AA262+AB262-AC262&lt;=0,99,1+SUM(IF(AND(C262+D262-E262&gt;0,OR(C262+D262-E262&lt;AA262+AB262-AC262,AND(C262+D262-E262=AA262+AB262-AC262,0&lt;4))),1,0),IF(AND(I262+J262-K262&gt;0,OR(I262+J262-K262&lt;AA262+AB262-AC262,AND(I262+J262-K262=AA262+AB262-AC262,1&lt;4))),1,0),IF(AND(O262+P262-Q262&gt;0,OR(O262+P262-Q262&lt;AA262+AB262-AC262,AND(O262+P262-Q262=AA262+AB262-AC262,2&lt;4))),1,0),IF(AND(U262+V262-W262&gt;0,OR(U262+V262-W262&lt;AA262+AB262-AC262,AND(U262+V262-W262=AA262+AB262-AC262,3&lt;4))),1,0)))</x:f>
        <x:v>99</x:v>
      </x:c>
      <x:c r="AE262" s="6" t="n">
        <x:f>IF('Debt strategy'!$C$16&gt;0,0,MIN(AA262+AB262-AC262,MAX(0,'Debt strategy'!$C$5-SUM(E262,K262,Q262,W262,AC262)-SUM(IF(F262&lt;AD262,C262+D262-E262,0),IF(L262&lt;AD262,I262+J262-K262,0),IF(R262&lt;AD262,O262+P262-Q262,0),IF(X262&lt;AD262,U262+V262-W262,0)))))</x:f>
        <x:v>0</x:v>
      </x:c>
      <x:c r="AF262" s="6" t="n">
        <x:f>ROUND(MAX(0,AA262+AB262-AC262-AE262),2)</x:f>
        <x:v>0</x:v>
      </x:c>
      <x:c r="AG262" s="6" t="n">
        <x:f>SUM(H262,N262,T262,Z262,AF262)</x:f>
        <x:v>0</x:v>
      </x:c>
      <x:c r="AH262" s="6" t="n">
        <x:f>SUM(D262,J262,P262,V262,AB262)+AH261</x:f>
        <x:v>1353.9499999999996</x:v>
      </x:c>
      <x:c r="AI262" s="2"/>
    </x:row>
    <x:row r="263" ht="23" customHeight="1">
      <x:c r="B263" s="2" t="n">
        <x:f>255</x:f>
        <x:v>255</x:v>
      </x:c>
      <x:c r="C263" s="6" t="n">
        <x:f>H262</x:f>
        <x:v>0</x:v>
      </x:c>
      <x:c r="D263" s="6" t="n">
        <x:f>ROUND(C263*'Debt strategy'!$D$9/12,2)</x:f>
        <x:v>0</x:v>
      </x:c>
      <x:c r="E263" s="6" t="n">
        <x:f>MIN(C263+D263,'Debt strategy'!$E$9)</x:f>
        <x:v>0</x:v>
      </x:c>
      <x:c r="F263" s="27" t="n">
        <x:f>IF(C263+D263-E263&lt;=0,99,1+SUM(IF(AND(I263+J263-K263&gt;0,OR(I263+J263-K263&lt;C263+D263-E263,AND(I263+J263-K263=C263+D263-E263,1&lt;0))),1,0),IF(AND(O263+P263-Q263&gt;0,OR(O263+P263-Q263&lt;C263+D263-E263,AND(O263+P263-Q263=C263+D263-E263,2&lt;0))),1,0),IF(AND(U263+V263-W263&gt;0,OR(U263+V263-W263&lt;C263+D263-E263,AND(U263+V263-W263=C263+D263-E263,3&lt;0))),1,0),IF(AND(AA263+AB263-AC263&gt;0,OR(AA263+AB263-AC263&lt;C263+D263-E263,AND(AA263+AB263-AC263=C263+D263-E263,4&lt;0))),1,0)))</x:f>
        <x:v>99</x:v>
      </x:c>
      <x:c r="G263" s="6" t="n">
        <x:f>IF('Debt strategy'!$C$16&gt;0,0,MIN(C263+D263-E263,MAX(0,'Debt strategy'!$C$5-SUM(E263,K263,Q263,W263,AC263)-SUM(IF(L263&lt;F263,I263+J263-K263,0),IF(R263&lt;F263,O263+P263-Q263,0),IF(X263&lt;F263,U263+V263-W263,0),IF(AD263&lt;F263,AA263+AB263-AC263,0)))))</x:f>
        <x:v>0</x:v>
      </x:c>
      <x:c r="H263" s="6" t="n">
        <x:f>ROUND(MAX(0,C263+D263-E263-G263),2)</x:f>
        <x:v>0</x:v>
      </x:c>
      <x:c r="I263" s="6" t="n">
        <x:f>N262</x:f>
        <x:v>0</x:v>
      </x:c>
      <x:c r="J263" s="6" t="n">
        <x:f>ROUND(I263*'Debt strategy'!$D$10/12,2)</x:f>
        <x:v>0</x:v>
      </x:c>
      <x:c r="K263" s="6" t="n">
        <x:f>MIN(I263+J263,'Debt strategy'!$E$10)</x:f>
        <x:v>0</x:v>
      </x:c>
      <x:c r="L263" s="27" t="n">
        <x:f>IF(I263+J263-K263&lt;=0,99,1+SUM(IF(AND(C263+D263-E263&gt;0,OR(C263+D263-E263&lt;I263+J263-K263,AND(C263+D263-E263=I263+J263-K263,0&lt;1))),1,0),IF(AND(O263+P263-Q263&gt;0,OR(O263+P263-Q263&lt;I263+J263-K263,AND(O263+P263-Q263=I263+J263-K263,2&lt;1))),1,0),IF(AND(U263+V263-W263&gt;0,OR(U263+V263-W263&lt;I263+J263-K263,AND(U263+V263-W263=I263+J263-K263,3&lt;1))),1,0),IF(AND(AA263+AB263-AC263&gt;0,OR(AA263+AB263-AC263&lt;I263+J263-K263,AND(AA263+AB263-AC263=I263+J263-K263,4&lt;1))),1,0)))</x:f>
        <x:v>99</x:v>
      </x:c>
      <x:c r="M263" s="6" t="n">
        <x:f>IF('Debt strategy'!$C$16&gt;0,0,MIN(I263+J263-K263,MAX(0,'Debt strategy'!$C$5-SUM(E263,K263,Q263,W263,AC263)-SUM(IF(F263&lt;L263,C263+D263-E263,0),IF(R263&lt;L263,O263+P263-Q263,0),IF(X263&lt;L263,U263+V263-W263,0),IF(AD263&lt;L263,AA263+AB263-AC263,0)))))</x:f>
        <x:v>0</x:v>
      </x:c>
      <x:c r="N263" s="6" t="n">
        <x:f>ROUND(MAX(0,I263+J263-K263-M263),2)</x:f>
        <x:v>0</x:v>
      </x:c>
      <x:c r="O263" s="6" t="n">
        <x:f>T262</x:f>
        <x:v>0</x:v>
      </x:c>
      <x:c r="P263" s="6" t="n">
        <x:f>ROUND(O263*'Debt strategy'!$D$11/12,2)</x:f>
        <x:v>0</x:v>
      </x:c>
      <x:c r="Q263" s="6" t="n">
        <x:f>MIN(O263+P263,'Debt strategy'!$E$11)</x:f>
        <x:v>0</x:v>
      </x:c>
      <x:c r="R263" s="27" t="n">
        <x:f>IF(O263+P263-Q263&lt;=0,99,1+SUM(IF(AND(C263+D263-E263&gt;0,OR(C263+D263-E263&lt;O263+P263-Q263,AND(C263+D263-E263=O263+P263-Q263,0&lt;2))),1,0),IF(AND(I263+J263-K263&gt;0,OR(I263+J263-K263&lt;O263+P263-Q263,AND(I263+J263-K263=O263+P263-Q263,1&lt;2))),1,0),IF(AND(U263+V263-W263&gt;0,OR(U263+V263-W263&lt;O263+P263-Q263,AND(U263+V263-W263=O263+P263-Q263,3&lt;2))),1,0),IF(AND(AA263+AB263-AC263&gt;0,OR(AA263+AB263-AC263&lt;O263+P263-Q263,AND(AA263+AB263-AC263=O263+P263-Q263,4&lt;2))),1,0)))</x:f>
        <x:v>99</x:v>
      </x:c>
      <x:c r="S263" s="6" t="n">
        <x:f>IF('Debt strategy'!$C$16&gt;0,0,MIN(O263+P263-Q263,MAX(0,'Debt strategy'!$C$5-SUM(E263,K263,Q263,W263,AC263)-SUM(IF(F263&lt;R263,C263+D263-E263,0),IF(L263&lt;R263,I263+J263-K263,0),IF(X263&lt;R263,U263+V263-W263,0),IF(AD263&lt;R263,AA263+AB263-AC263,0)))))</x:f>
        <x:v>0</x:v>
      </x:c>
      <x:c r="T263" s="6" t="n">
        <x:f>ROUND(MAX(0,O263+P263-Q263-S263),2)</x:f>
        <x:v>0</x:v>
      </x:c>
      <x:c r="U263" s="6" t="n">
        <x:f>Z262</x:f>
        <x:v>0</x:v>
      </x:c>
      <x:c r="V263" s="6" t="n">
        <x:f>ROUND(U263*'Debt strategy'!$D$12/12,2)</x:f>
        <x:v>0</x:v>
      </x:c>
      <x:c r="W263" s="6" t="n">
        <x:f>MIN(U263+V263,'Debt strategy'!$E$12)</x:f>
        <x:v>0</x:v>
      </x:c>
      <x:c r="X263" s="27" t="n">
        <x:f>IF(U263+V263-W263&lt;=0,99,1+SUM(IF(AND(C263+D263-E263&gt;0,OR(C263+D263-E263&lt;U263+V263-W263,AND(C263+D263-E263=U263+V263-W263,0&lt;3))),1,0),IF(AND(I263+J263-K263&gt;0,OR(I263+J263-K263&lt;U263+V263-W263,AND(I263+J263-K263=U263+V263-W263,1&lt;3))),1,0),IF(AND(O263+P263-Q263&gt;0,OR(O263+P263-Q263&lt;U263+V263-W263,AND(O263+P263-Q263=U263+V263-W263,2&lt;3))),1,0),IF(AND(AA263+AB263-AC263&gt;0,OR(AA263+AB263-AC263&lt;U263+V263-W263,AND(AA263+AB263-AC263=U263+V263-W263,4&lt;3))),1,0)))</x:f>
        <x:v>99</x:v>
      </x:c>
      <x:c r="Y263" s="6" t="n">
        <x:f>IF('Debt strategy'!$C$16&gt;0,0,MIN(U263+V263-W263,MAX(0,'Debt strategy'!$C$5-SUM(E263,K263,Q263,W263,AC263)-SUM(IF(F263&lt;X263,C263+D263-E263,0),IF(L263&lt;X263,I263+J263-K263,0),IF(R263&lt;X263,O263+P263-Q263,0),IF(AD263&lt;X263,AA263+AB263-AC263,0)))))</x:f>
        <x:v>0</x:v>
      </x:c>
      <x:c r="Z263" s="6" t="n">
        <x:f>ROUND(MAX(0,U263+V263-W263-Y263),2)</x:f>
        <x:v>0</x:v>
      </x:c>
      <x:c r="AA263" s="6" t="n">
        <x:f>AF262</x:f>
        <x:v>0</x:v>
      </x:c>
      <x:c r="AB263" s="6" t="n">
        <x:f>ROUND(AA263*'Debt strategy'!$D$13/12,2)</x:f>
        <x:v>0</x:v>
      </x:c>
      <x:c r="AC263" s="6" t="n">
        <x:f>MIN(AA263+AB263,'Debt strategy'!$E$13)</x:f>
        <x:v>0</x:v>
      </x:c>
      <x:c r="AD263" s="27" t="n">
        <x:f>IF(AA263+AB263-AC263&lt;=0,99,1+SUM(IF(AND(C263+D263-E263&gt;0,OR(C263+D263-E263&lt;AA263+AB263-AC263,AND(C263+D263-E263=AA263+AB263-AC263,0&lt;4))),1,0),IF(AND(I263+J263-K263&gt;0,OR(I263+J263-K263&lt;AA263+AB263-AC263,AND(I263+J263-K263=AA263+AB263-AC263,1&lt;4))),1,0),IF(AND(O263+P263-Q263&gt;0,OR(O263+P263-Q263&lt;AA263+AB263-AC263,AND(O263+P263-Q263=AA263+AB263-AC263,2&lt;4))),1,0),IF(AND(U263+V263-W263&gt;0,OR(U263+V263-W263&lt;AA263+AB263-AC263,AND(U263+V263-W263=AA263+AB263-AC263,3&lt;4))),1,0)))</x:f>
        <x:v>99</x:v>
      </x:c>
      <x:c r="AE263" s="6" t="n">
        <x:f>IF('Debt strategy'!$C$16&gt;0,0,MIN(AA263+AB263-AC263,MAX(0,'Debt strategy'!$C$5-SUM(E263,K263,Q263,W263,AC263)-SUM(IF(F263&lt;AD263,C263+D263-E263,0),IF(L263&lt;AD263,I263+J263-K263,0),IF(R263&lt;AD263,O263+P263-Q263,0),IF(X263&lt;AD263,U263+V263-W263,0)))))</x:f>
        <x:v>0</x:v>
      </x:c>
      <x:c r="AF263" s="6" t="n">
        <x:f>ROUND(MAX(0,AA263+AB263-AC263-AE263),2)</x:f>
        <x:v>0</x:v>
      </x:c>
      <x:c r="AG263" s="6" t="n">
        <x:f>SUM(H263,N263,T263,Z263,AF263)</x:f>
        <x:v>0</x:v>
      </x:c>
      <x:c r="AH263" s="6" t="n">
        <x:f>SUM(D263,J263,P263,V263,AB263)+AH262</x:f>
        <x:v>1353.9499999999996</x:v>
      </x:c>
      <x:c r="AI263" s="2"/>
    </x:row>
    <x:row r="264" ht="23" customHeight="1">
      <x:c r="B264" s="2" t="n">
        <x:f>256</x:f>
        <x:v>256</x:v>
      </x:c>
      <x:c r="C264" s="6" t="n">
        <x:f>H263</x:f>
        <x:v>0</x:v>
      </x:c>
      <x:c r="D264" s="6" t="n">
        <x:f>ROUND(C264*'Debt strategy'!$D$9/12,2)</x:f>
        <x:v>0</x:v>
      </x:c>
      <x:c r="E264" s="6" t="n">
        <x:f>MIN(C264+D264,'Debt strategy'!$E$9)</x:f>
        <x:v>0</x:v>
      </x:c>
      <x:c r="F264" s="27" t="n">
        <x:f>IF(C264+D264-E264&lt;=0,99,1+SUM(IF(AND(I264+J264-K264&gt;0,OR(I264+J264-K264&lt;C264+D264-E264,AND(I264+J264-K264=C264+D264-E264,1&lt;0))),1,0),IF(AND(O264+P264-Q264&gt;0,OR(O264+P264-Q264&lt;C264+D264-E264,AND(O264+P264-Q264=C264+D264-E264,2&lt;0))),1,0),IF(AND(U264+V264-W264&gt;0,OR(U264+V264-W264&lt;C264+D264-E264,AND(U264+V264-W264=C264+D264-E264,3&lt;0))),1,0),IF(AND(AA264+AB264-AC264&gt;0,OR(AA264+AB264-AC264&lt;C264+D264-E264,AND(AA264+AB264-AC264=C264+D264-E264,4&lt;0))),1,0)))</x:f>
        <x:v>99</x:v>
      </x:c>
      <x:c r="G264" s="6" t="n">
        <x:f>IF('Debt strategy'!$C$16&gt;0,0,MIN(C264+D264-E264,MAX(0,'Debt strategy'!$C$5-SUM(E264,K264,Q264,W264,AC264)-SUM(IF(L264&lt;F264,I264+J264-K264,0),IF(R264&lt;F264,O264+P264-Q264,0),IF(X264&lt;F264,U264+V264-W264,0),IF(AD264&lt;F264,AA264+AB264-AC264,0)))))</x:f>
        <x:v>0</x:v>
      </x:c>
      <x:c r="H264" s="6" t="n">
        <x:f>ROUND(MAX(0,C264+D264-E264-G264),2)</x:f>
        <x:v>0</x:v>
      </x:c>
      <x:c r="I264" s="6" t="n">
        <x:f>N263</x:f>
        <x:v>0</x:v>
      </x:c>
      <x:c r="J264" s="6" t="n">
        <x:f>ROUND(I264*'Debt strategy'!$D$10/12,2)</x:f>
        <x:v>0</x:v>
      </x:c>
      <x:c r="K264" s="6" t="n">
        <x:f>MIN(I264+J264,'Debt strategy'!$E$10)</x:f>
        <x:v>0</x:v>
      </x:c>
      <x:c r="L264" s="27" t="n">
        <x:f>IF(I264+J264-K264&lt;=0,99,1+SUM(IF(AND(C264+D264-E264&gt;0,OR(C264+D264-E264&lt;I264+J264-K264,AND(C264+D264-E264=I264+J264-K264,0&lt;1))),1,0),IF(AND(O264+P264-Q264&gt;0,OR(O264+P264-Q264&lt;I264+J264-K264,AND(O264+P264-Q264=I264+J264-K264,2&lt;1))),1,0),IF(AND(U264+V264-W264&gt;0,OR(U264+V264-W264&lt;I264+J264-K264,AND(U264+V264-W264=I264+J264-K264,3&lt;1))),1,0),IF(AND(AA264+AB264-AC264&gt;0,OR(AA264+AB264-AC264&lt;I264+J264-K264,AND(AA264+AB264-AC264=I264+J264-K264,4&lt;1))),1,0)))</x:f>
        <x:v>99</x:v>
      </x:c>
      <x:c r="M264" s="6" t="n">
        <x:f>IF('Debt strategy'!$C$16&gt;0,0,MIN(I264+J264-K264,MAX(0,'Debt strategy'!$C$5-SUM(E264,K264,Q264,W264,AC264)-SUM(IF(F264&lt;L264,C264+D264-E264,0),IF(R264&lt;L264,O264+P264-Q264,0),IF(X264&lt;L264,U264+V264-W264,0),IF(AD264&lt;L264,AA264+AB264-AC264,0)))))</x:f>
        <x:v>0</x:v>
      </x:c>
      <x:c r="N264" s="6" t="n">
        <x:f>ROUND(MAX(0,I264+J264-K264-M264),2)</x:f>
        <x:v>0</x:v>
      </x:c>
      <x:c r="O264" s="6" t="n">
        <x:f>T263</x:f>
        <x:v>0</x:v>
      </x:c>
      <x:c r="P264" s="6" t="n">
        <x:f>ROUND(O264*'Debt strategy'!$D$11/12,2)</x:f>
        <x:v>0</x:v>
      </x:c>
      <x:c r="Q264" s="6" t="n">
        <x:f>MIN(O264+P264,'Debt strategy'!$E$11)</x:f>
        <x:v>0</x:v>
      </x:c>
      <x:c r="R264" s="27" t="n">
        <x:f>IF(O264+P264-Q264&lt;=0,99,1+SUM(IF(AND(C264+D264-E264&gt;0,OR(C264+D264-E264&lt;O264+P264-Q264,AND(C264+D264-E264=O264+P264-Q264,0&lt;2))),1,0),IF(AND(I264+J264-K264&gt;0,OR(I264+J264-K264&lt;O264+P264-Q264,AND(I264+J264-K264=O264+P264-Q264,1&lt;2))),1,0),IF(AND(U264+V264-W264&gt;0,OR(U264+V264-W264&lt;O264+P264-Q264,AND(U264+V264-W264=O264+P264-Q264,3&lt;2))),1,0),IF(AND(AA264+AB264-AC264&gt;0,OR(AA264+AB264-AC264&lt;O264+P264-Q264,AND(AA264+AB264-AC264=O264+P264-Q264,4&lt;2))),1,0)))</x:f>
        <x:v>99</x:v>
      </x:c>
      <x:c r="S264" s="6" t="n">
        <x:f>IF('Debt strategy'!$C$16&gt;0,0,MIN(O264+P264-Q264,MAX(0,'Debt strategy'!$C$5-SUM(E264,K264,Q264,W264,AC264)-SUM(IF(F264&lt;R264,C264+D264-E264,0),IF(L264&lt;R264,I264+J264-K264,0),IF(X264&lt;R264,U264+V264-W264,0),IF(AD264&lt;R264,AA264+AB264-AC264,0)))))</x:f>
        <x:v>0</x:v>
      </x:c>
      <x:c r="T264" s="6" t="n">
        <x:f>ROUND(MAX(0,O264+P264-Q264-S264),2)</x:f>
        <x:v>0</x:v>
      </x:c>
      <x:c r="U264" s="6" t="n">
        <x:f>Z263</x:f>
        <x:v>0</x:v>
      </x:c>
      <x:c r="V264" s="6" t="n">
        <x:f>ROUND(U264*'Debt strategy'!$D$12/12,2)</x:f>
        <x:v>0</x:v>
      </x:c>
      <x:c r="W264" s="6" t="n">
        <x:f>MIN(U264+V264,'Debt strategy'!$E$12)</x:f>
        <x:v>0</x:v>
      </x:c>
      <x:c r="X264" s="27" t="n">
        <x:f>IF(U264+V264-W264&lt;=0,99,1+SUM(IF(AND(C264+D264-E264&gt;0,OR(C264+D264-E264&lt;U264+V264-W264,AND(C264+D264-E264=U264+V264-W264,0&lt;3))),1,0),IF(AND(I264+J264-K264&gt;0,OR(I264+J264-K264&lt;U264+V264-W264,AND(I264+J264-K264=U264+V264-W264,1&lt;3))),1,0),IF(AND(O264+P264-Q264&gt;0,OR(O264+P264-Q264&lt;U264+V264-W264,AND(O264+P264-Q264=U264+V264-W264,2&lt;3))),1,0),IF(AND(AA264+AB264-AC264&gt;0,OR(AA264+AB264-AC264&lt;U264+V264-W264,AND(AA264+AB264-AC264=U264+V264-W264,4&lt;3))),1,0)))</x:f>
        <x:v>99</x:v>
      </x:c>
      <x:c r="Y264" s="6" t="n">
        <x:f>IF('Debt strategy'!$C$16&gt;0,0,MIN(U264+V264-W264,MAX(0,'Debt strategy'!$C$5-SUM(E264,K264,Q264,W264,AC264)-SUM(IF(F264&lt;X264,C264+D264-E264,0),IF(L264&lt;X264,I264+J264-K264,0),IF(R264&lt;X264,O264+P264-Q264,0),IF(AD264&lt;X264,AA264+AB264-AC264,0)))))</x:f>
        <x:v>0</x:v>
      </x:c>
      <x:c r="Z264" s="6" t="n">
        <x:f>ROUND(MAX(0,U264+V264-W264-Y264),2)</x:f>
        <x:v>0</x:v>
      </x:c>
      <x:c r="AA264" s="6" t="n">
        <x:f>AF263</x:f>
        <x:v>0</x:v>
      </x:c>
      <x:c r="AB264" s="6" t="n">
        <x:f>ROUND(AA264*'Debt strategy'!$D$13/12,2)</x:f>
        <x:v>0</x:v>
      </x:c>
      <x:c r="AC264" s="6" t="n">
        <x:f>MIN(AA264+AB264,'Debt strategy'!$E$13)</x:f>
        <x:v>0</x:v>
      </x:c>
      <x:c r="AD264" s="27" t="n">
        <x:f>IF(AA264+AB264-AC264&lt;=0,99,1+SUM(IF(AND(C264+D264-E264&gt;0,OR(C264+D264-E264&lt;AA264+AB264-AC264,AND(C264+D264-E264=AA264+AB264-AC264,0&lt;4))),1,0),IF(AND(I264+J264-K264&gt;0,OR(I264+J264-K264&lt;AA264+AB264-AC264,AND(I264+J264-K264=AA264+AB264-AC264,1&lt;4))),1,0),IF(AND(O264+P264-Q264&gt;0,OR(O264+P264-Q264&lt;AA264+AB264-AC264,AND(O264+P264-Q264=AA264+AB264-AC264,2&lt;4))),1,0),IF(AND(U264+V264-W264&gt;0,OR(U264+V264-W264&lt;AA264+AB264-AC264,AND(U264+V264-W264=AA264+AB264-AC264,3&lt;4))),1,0)))</x:f>
        <x:v>99</x:v>
      </x:c>
      <x:c r="AE264" s="6" t="n">
        <x:f>IF('Debt strategy'!$C$16&gt;0,0,MIN(AA264+AB264-AC264,MAX(0,'Debt strategy'!$C$5-SUM(E264,K264,Q264,W264,AC264)-SUM(IF(F264&lt;AD264,C264+D264-E264,0),IF(L264&lt;AD264,I264+J264-K264,0),IF(R264&lt;AD264,O264+P264-Q264,0),IF(X264&lt;AD264,U264+V264-W264,0)))))</x:f>
        <x:v>0</x:v>
      </x:c>
      <x:c r="AF264" s="6" t="n">
        <x:f>ROUND(MAX(0,AA264+AB264-AC264-AE264),2)</x:f>
        <x:v>0</x:v>
      </x:c>
      <x:c r="AG264" s="6" t="n">
        <x:f>SUM(H264,N264,T264,Z264,AF264)</x:f>
        <x:v>0</x:v>
      </x:c>
      <x:c r="AH264" s="6" t="n">
        <x:f>SUM(D264,J264,P264,V264,AB264)+AH263</x:f>
        <x:v>1353.9499999999996</x:v>
      </x:c>
      <x:c r="AI264" s="2"/>
    </x:row>
    <x:row r="265" ht="23" customHeight="1">
      <x:c r="B265" s="2" t="n">
        <x:f>257</x:f>
        <x:v>257</x:v>
      </x:c>
      <x:c r="C265" s="6" t="n">
        <x:f>H264</x:f>
        <x:v>0</x:v>
      </x:c>
      <x:c r="D265" s="6" t="n">
        <x:f>ROUND(C265*'Debt strategy'!$D$9/12,2)</x:f>
        <x:v>0</x:v>
      </x:c>
      <x:c r="E265" s="6" t="n">
        <x:f>MIN(C265+D265,'Debt strategy'!$E$9)</x:f>
        <x:v>0</x:v>
      </x:c>
      <x:c r="F265" s="27" t="n">
        <x:f>IF(C265+D265-E265&lt;=0,99,1+SUM(IF(AND(I265+J265-K265&gt;0,OR(I265+J265-K265&lt;C265+D265-E265,AND(I265+J265-K265=C265+D265-E265,1&lt;0))),1,0),IF(AND(O265+P265-Q265&gt;0,OR(O265+P265-Q265&lt;C265+D265-E265,AND(O265+P265-Q265=C265+D265-E265,2&lt;0))),1,0),IF(AND(U265+V265-W265&gt;0,OR(U265+V265-W265&lt;C265+D265-E265,AND(U265+V265-W265=C265+D265-E265,3&lt;0))),1,0),IF(AND(AA265+AB265-AC265&gt;0,OR(AA265+AB265-AC265&lt;C265+D265-E265,AND(AA265+AB265-AC265=C265+D265-E265,4&lt;0))),1,0)))</x:f>
        <x:v>99</x:v>
      </x:c>
      <x:c r="G265" s="6" t="n">
        <x:f>IF('Debt strategy'!$C$16&gt;0,0,MIN(C265+D265-E265,MAX(0,'Debt strategy'!$C$5-SUM(E265,K265,Q265,W265,AC265)-SUM(IF(L265&lt;F265,I265+J265-K265,0),IF(R265&lt;F265,O265+P265-Q265,0),IF(X265&lt;F265,U265+V265-W265,0),IF(AD265&lt;F265,AA265+AB265-AC265,0)))))</x:f>
        <x:v>0</x:v>
      </x:c>
      <x:c r="H265" s="6" t="n">
        <x:f>ROUND(MAX(0,C265+D265-E265-G265),2)</x:f>
        <x:v>0</x:v>
      </x:c>
      <x:c r="I265" s="6" t="n">
        <x:f>N264</x:f>
        <x:v>0</x:v>
      </x:c>
      <x:c r="J265" s="6" t="n">
        <x:f>ROUND(I265*'Debt strategy'!$D$10/12,2)</x:f>
        <x:v>0</x:v>
      </x:c>
      <x:c r="K265" s="6" t="n">
        <x:f>MIN(I265+J265,'Debt strategy'!$E$10)</x:f>
        <x:v>0</x:v>
      </x:c>
      <x:c r="L265" s="27" t="n">
        <x:f>IF(I265+J265-K265&lt;=0,99,1+SUM(IF(AND(C265+D265-E265&gt;0,OR(C265+D265-E265&lt;I265+J265-K265,AND(C265+D265-E265=I265+J265-K265,0&lt;1))),1,0),IF(AND(O265+P265-Q265&gt;0,OR(O265+P265-Q265&lt;I265+J265-K265,AND(O265+P265-Q265=I265+J265-K265,2&lt;1))),1,0),IF(AND(U265+V265-W265&gt;0,OR(U265+V265-W265&lt;I265+J265-K265,AND(U265+V265-W265=I265+J265-K265,3&lt;1))),1,0),IF(AND(AA265+AB265-AC265&gt;0,OR(AA265+AB265-AC265&lt;I265+J265-K265,AND(AA265+AB265-AC265=I265+J265-K265,4&lt;1))),1,0)))</x:f>
        <x:v>99</x:v>
      </x:c>
      <x:c r="M265" s="6" t="n">
        <x:f>IF('Debt strategy'!$C$16&gt;0,0,MIN(I265+J265-K265,MAX(0,'Debt strategy'!$C$5-SUM(E265,K265,Q265,W265,AC265)-SUM(IF(F265&lt;L265,C265+D265-E265,0),IF(R265&lt;L265,O265+P265-Q265,0),IF(X265&lt;L265,U265+V265-W265,0),IF(AD265&lt;L265,AA265+AB265-AC265,0)))))</x:f>
        <x:v>0</x:v>
      </x:c>
      <x:c r="N265" s="6" t="n">
        <x:f>ROUND(MAX(0,I265+J265-K265-M265),2)</x:f>
        <x:v>0</x:v>
      </x:c>
      <x:c r="O265" s="6" t="n">
        <x:f>T264</x:f>
        <x:v>0</x:v>
      </x:c>
      <x:c r="P265" s="6" t="n">
        <x:f>ROUND(O265*'Debt strategy'!$D$11/12,2)</x:f>
        <x:v>0</x:v>
      </x:c>
      <x:c r="Q265" s="6" t="n">
        <x:f>MIN(O265+P265,'Debt strategy'!$E$11)</x:f>
        <x:v>0</x:v>
      </x:c>
      <x:c r="R265" s="27" t="n">
        <x:f>IF(O265+P265-Q265&lt;=0,99,1+SUM(IF(AND(C265+D265-E265&gt;0,OR(C265+D265-E265&lt;O265+P265-Q265,AND(C265+D265-E265=O265+P265-Q265,0&lt;2))),1,0),IF(AND(I265+J265-K265&gt;0,OR(I265+J265-K265&lt;O265+P265-Q265,AND(I265+J265-K265=O265+P265-Q265,1&lt;2))),1,0),IF(AND(U265+V265-W265&gt;0,OR(U265+V265-W265&lt;O265+P265-Q265,AND(U265+V265-W265=O265+P265-Q265,3&lt;2))),1,0),IF(AND(AA265+AB265-AC265&gt;0,OR(AA265+AB265-AC265&lt;O265+P265-Q265,AND(AA265+AB265-AC265=O265+P265-Q265,4&lt;2))),1,0)))</x:f>
        <x:v>99</x:v>
      </x:c>
      <x:c r="S265" s="6" t="n">
        <x:f>IF('Debt strategy'!$C$16&gt;0,0,MIN(O265+P265-Q265,MAX(0,'Debt strategy'!$C$5-SUM(E265,K265,Q265,W265,AC265)-SUM(IF(F265&lt;R265,C265+D265-E265,0),IF(L265&lt;R265,I265+J265-K265,0),IF(X265&lt;R265,U265+V265-W265,0),IF(AD265&lt;R265,AA265+AB265-AC265,0)))))</x:f>
        <x:v>0</x:v>
      </x:c>
      <x:c r="T265" s="6" t="n">
        <x:f>ROUND(MAX(0,O265+P265-Q265-S265),2)</x:f>
        <x:v>0</x:v>
      </x:c>
      <x:c r="U265" s="6" t="n">
        <x:f>Z264</x:f>
        <x:v>0</x:v>
      </x:c>
      <x:c r="V265" s="6" t="n">
        <x:f>ROUND(U265*'Debt strategy'!$D$12/12,2)</x:f>
        <x:v>0</x:v>
      </x:c>
      <x:c r="W265" s="6" t="n">
        <x:f>MIN(U265+V265,'Debt strategy'!$E$12)</x:f>
        <x:v>0</x:v>
      </x:c>
      <x:c r="X265" s="27" t="n">
        <x:f>IF(U265+V265-W265&lt;=0,99,1+SUM(IF(AND(C265+D265-E265&gt;0,OR(C265+D265-E265&lt;U265+V265-W265,AND(C265+D265-E265=U265+V265-W265,0&lt;3))),1,0),IF(AND(I265+J265-K265&gt;0,OR(I265+J265-K265&lt;U265+V265-W265,AND(I265+J265-K265=U265+V265-W265,1&lt;3))),1,0),IF(AND(O265+P265-Q265&gt;0,OR(O265+P265-Q265&lt;U265+V265-W265,AND(O265+P265-Q265=U265+V265-W265,2&lt;3))),1,0),IF(AND(AA265+AB265-AC265&gt;0,OR(AA265+AB265-AC265&lt;U265+V265-W265,AND(AA265+AB265-AC265=U265+V265-W265,4&lt;3))),1,0)))</x:f>
        <x:v>99</x:v>
      </x:c>
      <x:c r="Y265" s="6" t="n">
        <x:f>IF('Debt strategy'!$C$16&gt;0,0,MIN(U265+V265-W265,MAX(0,'Debt strategy'!$C$5-SUM(E265,K265,Q265,W265,AC265)-SUM(IF(F265&lt;X265,C265+D265-E265,0),IF(L265&lt;X265,I265+J265-K265,0),IF(R265&lt;X265,O265+P265-Q265,0),IF(AD265&lt;X265,AA265+AB265-AC265,0)))))</x:f>
        <x:v>0</x:v>
      </x:c>
      <x:c r="Z265" s="6" t="n">
        <x:f>ROUND(MAX(0,U265+V265-W265-Y265),2)</x:f>
        <x:v>0</x:v>
      </x:c>
      <x:c r="AA265" s="6" t="n">
        <x:f>AF264</x:f>
        <x:v>0</x:v>
      </x:c>
      <x:c r="AB265" s="6" t="n">
        <x:f>ROUND(AA265*'Debt strategy'!$D$13/12,2)</x:f>
        <x:v>0</x:v>
      </x:c>
      <x:c r="AC265" s="6" t="n">
        <x:f>MIN(AA265+AB265,'Debt strategy'!$E$13)</x:f>
        <x:v>0</x:v>
      </x:c>
      <x:c r="AD265" s="27" t="n">
        <x:f>IF(AA265+AB265-AC265&lt;=0,99,1+SUM(IF(AND(C265+D265-E265&gt;0,OR(C265+D265-E265&lt;AA265+AB265-AC265,AND(C265+D265-E265=AA265+AB265-AC265,0&lt;4))),1,0),IF(AND(I265+J265-K265&gt;0,OR(I265+J265-K265&lt;AA265+AB265-AC265,AND(I265+J265-K265=AA265+AB265-AC265,1&lt;4))),1,0),IF(AND(O265+P265-Q265&gt;0,OR(O265+P265-Q265&lt;AA265+AB265-AC265,AND(O265+P265-Q265=AA265+AB265-AC265,2&lt;4))),1,0),IF(AND(U265+V265-W265&gt;0,OR(U265+V265-W265&lt;AA265+AB265-AC265,AND(U265+V265-W265=AA265+AB265-AC265,3&lt;4))),1,0)))</x:f>
        <x:v>99</x:v>
      </x:c>
      <x:c r="AE265" s="6" t="n">
        <x:f>IF('Debt strategy'!$C$16&gt;0,0,MIN(AA265+AB265-AC265,MAX(0,'Debt strategy'!$C$5-SUM(E265,K265,Q265,W265,AC265)-SUM(IF(F265&lt;AD265,C265+D265-E265,0),IF(L265&lt;AD265,I265+J265-K265,0),IF(R265&lt;AD265,O265+P265-Q265,0),IF(X265&lt;AD265,U265+V265-W265,0)))))</x:f>
        <x:v>0</x:v>
      </x:c>
      <x:c r="AF265" s="6" t="n">
        <x:f>ROUND(MAX(0,AA265+AB265-AC265-AE265),2)</x:f>
        <x:v>0</x:v>
      </x:c>
      <x:c r="AG265" s="6" t="n">
        <x:f>SUM(H265,N265,T265,Z265,AF265)</x:f>
        <x:v>0</x:v>
      </x:c>
      <x:c r="AH265" s="6" t="n">
        <x:f>SUM(D265,J265,P265,V265,AB265)+AH264</x:f>
        <x:v>1353.9499999999996</x:v>
      </x:c>
      <x:c r="AI265" s="2"/>
    </x:row>
    <x:row r="266" ht="23" customHeight="1">
      <x:c r="B266" s="2" t="n">
        <x:f>258</x:f>
        <x:v>258</x:v>
      </x:c>
      <x:c r="C266" s="6" t="n">
        <x:f>H265</x:f>
        <x:v>0</x:v>
      </x:c>
      <x:c r="D266" s="6" t="n">
        <x:f>ROUND(C266*'Debt strategy'!$D$9/12,2)</x:f>
        <x:v>0</x:v>
      </x:c>
      <x:c r="E266" s="6" t="n">
        <x:f>MIN(C266+D266,'Debt strategy'!$E$9)</x:f>
        <x:v>0</x:v>
      </x:c>
      <x:c r="F266" s="27" t="n">
        <x:f>IF(C266+D266-E266&lt;=0,99,1+SUM(IF(AND(I266+J266-K266&gt;0,OR(I266+J266-K266&lt;C266+D266-E266,AND(I266+J266-K266=C266+D266-E266,1&lt;0))),1,0),IF(AND(O266+P266-Q266&gt;0,OR(O266+P266-Q266&lt;C266+D266-E266,AND(O266+P266-Q266=C266+D266-E266,2&lt;0))),1,0),IF(AND(U266+V266-W266&gt;0,OR(U266+V266-W266&lt;C266+D266-E266,AND(U266+V266-W266=C266+D266-E266,3&lt;0))),1,0),IF(AND(AA266+AB266-AC266&gt;0,OR(AA266+AB266-AC266&lt;C266+D266-E266,AND(AA266+AB266-AC266=C266+D266-E266,4&lt;0))),1,0)))</x:f>
        <x:v>99</x:v>
      </x:c>
      <x:c r="G266" s="6" t="n">
        <x:f>IF('Debt strategy'!$C$16&gt;0,0,MIN(C266+D266-E266,MAX(0,'Debt strategy'!$C$5-SUM(E266,K266,Q266,W266,AC266)-SUM(IF(L266&lt;F266,I266+J266-K266,0),IF(R266&lt;F266,O266+P266-Q266,0),IF(X266&lt;F266,U266+V266-W266,0),IF(AD266&lt;F266,AA266+AB266-AC266,0)))))</x:f>
        <x:v>0</x:v>
      </x:c>
      <x:c r="H266" s="6" t="n">
        <x:f>ROUND(MAX(0,C266+D266-E266-G266),2)</x:f>
        <x:v>0</x:v>
      </x:c>
      <x:c r="I266" s="6" t="n">
        <x:f>N265</x:f>
        <x:v>0</x:v>
      </x:c>
      <x:c r="J266" s="6" t="n">
        <x:f>ROUND(I266*'Debt strategy'!$D$10/12,2)</x:f>
        <x:v>0</x:v>
      </x:c>
      <x:c r="K266" s="6" t="n">
        <x:f>MIN(I266+J266,'Debt strategy'!$E$10)</x:f>
        <x:v>0</x:v>
      </x:c>
      <x:c r="L266" s="27" t="n">
        <x:f>IF(I266+J266-K266&lt;=0,99,1+SUM(IF(AND(C266+D266-E266&gt;0,OR(C266+D266-E266&lt;I266+J266-K266,AND(C266+D266-E266=I266+J266-K266,0&lt;1))),1,0),IF(AND(O266+P266-Q266&gt;0,OR(O266+P266-Q266&lt;I266+J266-K266,AND(O266+P266-Q266=I266+J266-K266,2&lt;1))),1,0),IF(AND(U266+V266-W266&gt;0,OR(U266+V266-W266&lt;I266+J266-K266,AND(U266+V266-W266=I266+J266-K266,3&lt;1))),1,0),IF(AND(AA266+AB266-AC266&gt;0,OR(AA266+AB266-AC266&lt;I266+J266-K266,AND(AA266+AB266-AC266=I266+J266-K266,4&lt;1))),1,0)))</x:f>
        <x:v>99</x:v>
      </x:c>
      <x:c r="M266" s="6" t="n">
        <x:f>IF('Debt strategy'!$C$16&gt;0,0,MIN(I266+J266-K266,MAX(0,'Debt strategy'!$C$5-SUM(E266,K266,Q266,W266,AC266)-SUM(IF(F266&lt;L266,C266+D266-E266,0),IF(R266&lt;L266,O266+P266-Q266,0),IF(X266&lt;L266,U266+V266-W266,0),IF(AD266&lt;L266,AA266+AB266-AC266,0)))))</x:f>
        <x:v>0</x:v>
      </x:c>
      <x:c r="N266" s="6" t="n">
        <x:f>ROUND(MAX(0,I266+J266-K266-M266),2)</x:f>
        <x:v>0</x:v>
      </x:c>
      <x:c r="O266" s="6" t="n">
        <x:f>T265</x:f>
        <x:v>0</x:v>
      </x:c>
      <x:c r="P266" s="6" t="n">
        <x:f>ROUND(O266*'Debt strategy'!$D$11/12,2)</x:f>
        <x:v>0</x:v>
      </x:c>
      <x:c r="Q266" s="6" t="n">
        <x:f>MIN(O266+P266,'Debt strategy'!$E$11)</x:f>
        <x:v>0</x:v>
      </x:c>
      <x:c r="R266" s="27" t="n">
        <x:f>IF(O266+P266-Q266&lt;=0,99,1+SUM(IF(AND(C266+D266-E266&gt;0,OR(C266+D266-E266&lt;O266+P266-Q266,AND(C266+D266-E266=O266+P266-Q266,0&lt;2))),1,0),IF(AND(I266+J266-K266&gt;0,OR(I266+J266-K266&lt;O266+P266-Q266,AND(I266+J266-K266=O266+P266-Q266,1&lt;2))),1,0),IF(AND(U266+V266-W266&gt;0,OR(U266+V266-W266&lt;O266+P266-Q266,AND(U266+V266-W266=O266+P266-Q266,3&lt;2))),1,0),IF(AND(AA266+AB266-AC266&gt;0,OR(AA266+AB266-AC266&lt;O266+P266-Q266,AND(AA266+AB266-AC266=O266+P266-Q266,4&lt;2))),1,0)))</x:f>
        <x:v>99</x:v>
      </x:c>
      <x:c r="S266" s="6" t="n">
        <x:f>IF('Debt strategy'!$C$16&gt;0,0,MIN(O266+P266-Q266,MAX(0,'Debt strategy'!$C$5-SUM(E266,K266,Q266,W266,AC266)-SUM(IF(F266&lt;R266,C266+D266-E266,0),IF(L266&lt;R266,I266+J266-K266,0),IF(X266&lt;R266,U266+V266-W266,0),IF(AD266&lt;R266,AA266+AB266-AC266,0)))))</x:f>
        <x:v>0</x:v>
      </x:c>
      <x:c r="T266" s="6" t="n">
        <x:f>ROUND(MAX(0,O266+P266-Q266-S266),2)</x:f>
        <x:v>0</x:v>
      </x:c>
      <x:c r="U266" s="6" t="n">
        <x:f>Z265</x:f>
        <x:v>0</x:v>
      </x:c>
      <x:c r="V266" s="6" t="n">
        <x:f>ROUND(U266*'Debt strategy'!$D$12/12,2)</x:f>
        <x:v>0</x:v>
      </x:c>
      <x:c r="W266" s="6" t="n">
        <x:f>MIN(U266+V266,'Debt strategy'!$E$12)</x:f>
        <x:v>0</x:v>
      </x:c>
      <x:c r="X266" s="27" t="n">
        <x:f>IF(U266+V266-W266&lt;=0,99,1+SUM(IF(AND(C266+D266-E266&gt;0,OR(C266+D266-E266&lt;U266+V266-W266,AND(C266+D266-E266=U266+V266-W266,0&lt;3))),1,0),IF(AND(I266+J266-K266&gt;0,OR(I266+J266-K266&lt;U266+V266-W266,AND(I266+J266-K266=U266+V266-W266,1&lt;3))),1,0),IF(AND(O266+P266-Q266&gt;0,OR(O266+P266-Q266&lt;U266+V266-W266,AND(O266+P266-Q266=U266+V266-W266,2&lt;3))),1,0),IF(AND(AA266+AB266-AC266&gt;0,OR(AA266+AB266-AC266&lt;U266+V266-W266,AND(AA266+AB266-AC266=U266+V266-W266,4&lt;3))),1,0)))</x:f>
        <x:v>99</x:v>
      </x:c>
      <x:c r="Y266" s="6" t="n">
        <x:f>IF('Debt strategy'!$C$16&gt;0,0,MIN(U266+V266-W266,MAX(0,'Debt strategy'!$C$5-SUM(E266,K266,Q266,W266,AC266)-SUM(IF(F266&lt;X266,C266+D266-E266,0),IF(L266&lt;X266,I266+J266-K266,0),IF(R266&lt;X266,O266+P266-Q266,0),IF(AD266&lt;X266,AA266+AB266-AC266,0)))))</x:f>
        <x:v>0</x:v>
      </x:c>
      <x:c r="Z266" s="6" t="n">
        <x:f>ROUND(MAX(0,U266+V266-W266-Y266),2)</x:f>
        <x:v>0</x:v>
      </x:c>
      <x:c r="AA266" s="6" t="n">
        <x:f>AF265</x:f>
        <x:v>0</x:v>
      </x:c>
      <x:c r="AB266" s="6" t="n">
        <x:f>ROUND(AA266*'Debt strategy'!$D$13/12,2)</x:f>
        <x:v>0</x:v>
      </x:c>
      <x:c r="AC266" s="6" t="n">
        <x:f>MIN(AA266+AB266,'Debt strategy'!$E$13)</x:f>
        <x:v>0</x:v>
      </x:c>
      <x:c r="AD266" s="27" t="n">
        <x:f>IF(AA266+AB266-AC266&lt;=0,99,1+SUM(IF(AND(C266+D266-E266&gt;0,OR(C266+D266-E266&lt;AA266+AB266-AC266,AND(C266+D266-E266=AA266+AB266-AC266,0&lt;4))),1,0),IF(AND(I266+J266-K266&gt;0,OR(I266+J266-K266&lt;AA266+AB266-AC266,AND(I266+J266-K266=AA266+AB266-AC266,1&lt;4))),1,0),IF(AND(O266+P266-Q266&gt;0,OR(O266+P266-Q266&lt;AA266+AB266-AC266,AND(O266+P266-Q266=AA266+AB266-AC266,2&lt;4))),1,0),IF(AND(U266+V266-W266&gt;0,OR(U266+V266-W266&lt;AA266+AB266-AC266,AND(U266+V266-W266=AA266+AB266-AC266,3&lt;4))),1,0)))</x:f>
        <x:v>99</x:v>
      </x:c>
      <x:c r="AE266" s="6" t="n">
        <x:f>IF('Debt strategy'!$C$16&gt;0,0,MIN(AA266+AB266-AC266,MAX(0,'Debt strategy'!$C$5-SUM(E266,K266,Q266,W266,AC266)-SUM(IF(F266&lt;AD266,C266+D266-E266,0),IF(L266&lt;AD266,I266+J266-K266,0),IF(R266&lt;AD266,O266+P266-Q266,0),IF(X266&lt;AD266,U266+V266-W266,0)))))</x:f>
        <x:v>0</x:v>
      </x:c>
      <x:c r="AF266" s="6" t="n">
        <x:f>ROUND(MAX(0,AA266+AB266-AC266-AE266),2)</x:f>
        <x:v>0</x:v>
      </x:c>
      <x:c r="AG266" s="6" t="n">
        <x:f>SUM(H266,N266,T266,Z266,AF266)</x:f>
        <x:v>0</x:v>
      </x:c>
      <x:c r="AH266" s="6" t="n">
        <x:f>SUM(D266,J266,P266,V266,AB266)+AH265</x:f>
        <x:v>1353.9499999999996</x:v>
      </x:c>
      <x:c r="AI266" s="2"/>
    </x:row>
    <x:row r="267" ht="23" customHeight="1">
      <x:c r="B267" s="2" t="n">
        <x:f>259</x:f>
        <x:v>259</x:v>
      </x:c>
      <x:c r="C267" s="6" t="n">
        <x:f>H266</x:f>
        <x:v>0</x:v>
      </x:c>
      <x:c r="D267" s="6" t="n">
        <x:f>ROUND(C267*'Debt strategy'!$D$9/12,2)</x:f>
        <x:v>0</x:v>
      </x:c>
      <x:c r="E267" s="6" t="n">
        <x:f>MIN(C267+D267,'Debt strategy'!$E$9)</x:f>
        <x:v>0</x:v>
      </x:c>
      <x:c r="F267" s="27" t="n">
        <x:f>IF(C267+D267-E267&lt;=0,99,1+SUM(IF(AND(I267+J267-K267&gt;0,OR(I267+J267-K267&lt;C267+D267-E267,AND(I267+J267-K267=C267+D267-E267,1&lt;0))),1,0),IF(AND(O267+P267-Q267&gt;0,OR(O267+P267-Q267&lt;C267+D267-E267,AND(O267+P267-Q267=C267+D267-E267,2&lt;0))),1,0),IF(AND(U267+V267-W267&gt;0,OR(U267+V267-W267&lt;C267+D267-E267,AND(U267+V267-W267=C267+D267-E267,3&lt;0))),1,0),IF(AND(AA267+AB267-AC267&gt;0,OR(AA267+AB267-AC267&lt;C267+D267-E267,AND(AA267+AB267-AC267=C267+D267-E267,4&lt;0))),1,0)))</x:f>
        <x:v>99</x:v>
      </x:c>
      <x:c r="G267" s="6" t="n">
        <x:f>IF('Debt strategy'!$C$16&gt;0,0,MIN(C267+D267-E267,MAX(0,'Debt strategy'!$C$5-SUM(E267,K267,Q267,W267,AC267)-SUM(IF(L267&lt;F267,I267+J267-K267,0),IF(R267&lt;F267,O267+P267-Q267,0),IF(X267&lt;F267,U267+V267-W267,0),IF(AD267&lt;F267,AA267+AB267-AC267,0)))))</x:f>
        <x:v>0</x:v>
      </x:c>
      <x:c r="H267" s="6" t="n">
        <x:f>ROUND(MAX(0,C267+D267-E267-G267),2)</x:f>
        <x:v>0</x:v>
      </x:c>
      <x:c r="I267" s="6" t="n">
        <x:f>N266</x:f>
        <x:v>0</x:v>
      </x:c>
      <x:c r="J267" s="6" t="n">
        <x:f>ROUND(I267*'Debt strategy'!$D$10/12,2)</x:f>
        <x:v>0</x:v>
      </x:c>
      <x:c r="K267" s="6" t="n">
        <x:f>MIN(I267+J267,'Debt strategy'!$E$10)</x:f>
        <x:v>0</x:v>
      </x:c>
      <x:c r="L267" s="27" t="n">
        <x:f>IF(I267+J267-K267&lt;=0,99,1+SUM(IF(AND(C267+D267-E267&gt;0,OR(C267+D267-E267&lt;I267+J267-K267,AND(C267+D267-E267=I267+J267-K267,0&lt;1))),1,0),IF(AND(O267+P267-Q267&gt;0,OR(O267+P267-Q267&lt;I267+J267-K267,AND(O267+P267-Q267=I267+J267-K267,2&lt;1))),1,0),IF(AND(U267+V267-W267&gt;0,OR(U267+V267-W267&lt;I267+J267-K267,AND(U267+V267-W267=I267+J267-K267,3&lt;1))),1,0),IF(AND(AA267+AB267-AC267&gt;0,OR(AA267+AB267-AC267&lt;I267+J267-K267,AND(AA267+AB267-AC267=I267+J267-K267,4&lt;1))),1,0)))</x:f>
        <x:v>99</x:v>
      </x:c>
      <x:c r="M267" s="6" t="n">
        <x:f>IF('Debt strategy'!$C$16&gt;0,0,MIN(I267+J267-K267,MAX(0,'Debt strategy'!$C$5-SUM(E267,K267,Q267,W267,AC267)-SUM(IF(F267&lt;L267,C267+D267-E267,0),IF(R267&lt;L267,O267+P267-Q267,0),IF(X267&lt;L267,U267+V267-W267,0),IF(AD267&lt;L267,AA267+AB267-AC267,0)))))</x:f>
        <x:v>0</x:v>
      </x:c>
      <x:c r="N267" s="6" t="n">
        <x:f>ROUND(MAX(0,I267+J267-K267-M267),2)</x:f>
        <x:v>0</x:v>
      </x:c>
      <x:c r="O267" s="6" t="n">
        <x:f>T266</x:f>
        <x:v>0</x:v>
      </x:c>
      <x:c r="P267" s="6" t="n">
        <x:f>ROUND(O267*'Debt strategy'!$D$11/12,2)</x:f>
        <x:v>0</x:v>
      </x:c>
      <x:c r="Q267" s="6" t="n">
        <x:f>MIN(O267+P267,'Debt strategy'!$E$11)</x:f>
        <x:v>0</x:v>
      </x:c>
      <x:c r="R267" s="27" t="n">
        <x:f>IF(O267+P267-Q267&lt;=0,99,1+SUM(IF(AND(C267+D267-E267&gt;0,OR(C267+D267-E267&lt;O267+P267-Q267,AND(C267+D267-E267=O267+P267-Q267,0&lt;2))),1,0),IF(AND(I267+J267-K267&gt;0,OR(I267+J267-K267&lt;O267+P267-Q267,AND(I267+J267-K267=O267+P267-Q267,1&lt;2))),1,0),IF(AND(U267+V267-W267&gt;0,OR(U267+V267-W267&lt;O267+P267-Q267,AND(U267+V267-W267=O267+P267-Q267,3&lt;2))),1,0),IF(AND(AA267+AB267-AC267&gt;0,OR(AA267+AB267-AC267&lt;O267+P267-Q267,AND(AA267+AB267-AC267=O267+P267-Q267,4&lt;2))),1,0)))</x:f>
        <x:v>99</x:v>
      </x:c>
      <x:c r="S267" s="6" t="n">
        <x:f>IF('Debt strategy'!$C$16&gt;0,0,MIN(O267+P267-Q267,MAX(0,'Debt strategy'!$C$5-SUM(E267,K267,Q267,W267,AC267)-SUM(IF(F267&lt;R267,C267+D267-E267,0),IF(L267&lt;R267,I267+J267-K267,0),IF(X267&lt;R267,U267+V267-W267,0),IF(AD267&lt;R267,AA267+AB267-AC267,0)))))</x:f>
        <x:v>0</x:v>
      </x:c>
      <x:c r="T267" s="6" t="n">
        <x:f>ROUND(MAX(0,O267+P267-Q267-S267),2)</x:f>
        <x:v>0</x:v>
      </x:c>
      <x:c r="U267" s="6" t="n">
        <x:f>Z266</x:f>
        <x:v>0</x:v>
      </x:c>
      <x:c r="V267" s="6" t="n">
        <x:f>ROUND(U267*'Debt strategy'!$D$12/12,2)</x:f>
        <x:v>0</x:v>
      </x:c>
      <x:c r="W267" s="6" t="n">
        <x:f>MIN(U267+V267,'Debt strategy'!$E$12)</x:f>
        <x:v>0</x:v>
      </x:c>
      <x:c r="X267" s="27" t="n">
        <x:f>IF(U267+V267-W267&lt;=0,99,1+SUM(IF(AND(C267+D267-E267&gt;0,OR(C267+D267-E267&lt;U267+V267-W267,AND(C267+D267-E267=U267+V267-W267,0&lt;3))),1,0),IF(AND(I267+J267-K267&gt;0,OR(I267+J267-K267&lt;U267+V267-W267,AND(I267+J267-K267=U267+V267-W267,1&lt;3))),1,0),IF(AND(O267+P267-Q267&gt;0,OR(O267+P267-Q267&lt;U267+V267-W267,AND(O267+P267-Q267=U267+V267-W267,2&lt;3))),1,0),IF(AND(AA267+AB267-AC267&gt;0,OR(AA267+AB267-AC267&lt;U267+V267-W267,AND(AA267+AB267-AC267=U267+V267-W267,4&lt;3))),1,0)))</x:f>
        <x:v>99</x:v>
      </x:c>
      <x:c r="Y267" s="6" t="n">
        <x:f>IF('Debt strategy'!$C$16&gt;0,0,MIN(U267+V267-W267,MAX(0,'Debt strategy'!$C$5-SUM(E267,K267,Q267,W267,AC267)-SUM(IF(F267&lt;X267,C267+D267-E267,0),IF(L267&lt;X267,I267+J267-K267,0),IF(R267&lt;X267,O267+P267-Q267,0),IF(AD267&lt;X267,AA267+AB267-AC267,0)))))</x:f>
        <x:v>0</x:v>
      </x:c>
      <x:c r="Z267" s="6" t="n">
        <x:f>ROUND(MAX(0,U267+V267-W267-Y267),2)</x:f>
        <x:v>0</x:v>
      </x:c>
      <x:c r="AA267" s="6" t="n">
        <x:f>AF266</x:f>
        <x:v>0</x:v>
      </x:c>
      <x:c r="AB267" s="6" t="n">
        <x:f>ROUND(AA267*'Debt strategy'!$D$13/12,2)</x:f>
        <x:v>0</x:v>
      </x:c>
      <x:c r="AC267" s="6" t="n">
        <x:f>MIN(AA267+AB267,'Debt strategy'!$E$13)</x:f>
        <x:v>0</x:v>
      </x:c>
      <x:c r="AD267" s="27" t="n">
        <x:f>IF(AA267+AB267-AC267&lt;=0,99,1+SUM(IF(AND(C267+D267-E267&gt;0,OR(C267+D267-E267&lt;AA267+AB267-AC267,AND(C267+D267-E267=AA267+AB267-AC267,0&lt;4))),1,0),IF(AND(I267+J267-K267&gt;0,OR(I267+J267-K267&lt;AA267+AB267-AC267,AND(I267+J267-K267=AA267+AB267-AC267,1&lt;4))),1,0),IF(AND(O267+P267-Q267&gt;0,OR(O267+P267-Q267&lt;AA267+AB267-AC267,AND(O267+P267-Q267=AA267+AB267-AC267,2&lt;4))),1,0),IF(AND(U267+V267-W267&gt;0,OR(U267+V267-W267&lt;AA267+AB267-AC267,AND(U267+V267-W267=AA267+AB267-AC267,3&lt;4))),1,0)))</x:f>
        <x:v>99</x:v>
      </x:c>
      <x:c r="AE267" s="6" t="n">
        <x:f>IF('Debt strategy'!$C$16&gt;0,0,MIN(AA267+AB267-AC267,MAX(0,'Debt strategy'!$C$5-SUM(E267,K267,Q267,W267,AC267)-SUM(IF(F267&lt;AD267,C267+D267-E267,0),IF(L267&lt;AD267,I267+J267-K267,0),IF(R267&lt;AD267,O267+P267-Q267,0),IF(X267&lt;AD267,U267+V267-W267,0)))))</x:f>
        <x:v>0</x:v>
      </x:c>
      <x:c r="AF267" s="6" t="n">
        <x:f>ROUND(MAX(0,AA267+AB267-AC267-AE267),2)</x:f>
        <x:v>0</x:v>
      </x:c>
      <x:c r="AG267" s="6" t="n">
        <x:f>SUM(H267,N267,T267,Z267,AF267)</x:f>
        <x:v>0</x:v>
      </x:c>
      <x:c r="AH267" s="6" t="n">
        <x:f>SUM(D267,J267,P267,V267,AB267)+AH266</x:f>
        <x:v>1353.9499999999996</x:v>
      </x:c>
      <x:c r="AI267" s="2"/>
    </x:row>
    <x:row r="268" ht="23" customHeight="1">
      <x:c r="B268" s="2" t="n">
        <x:f>260</x:f>
        <x:v>260</x:v>
      </x:c>
      <x:c r="C268" s="6" t="n">
        <x:f>H267</x:f>
        <x:v>0</x:v>
      </x:c>
      <x:c r="D268" s="6" t="n">
        <x:f>ROUND(C268*'Debt strategy'!$D$9/12,2)</x:f>
        <x:v>0</x:v>
      </x:c>
      <x:c r="E268" s="6" t="n">
        <x:f>MIN(C268+D268,'Debt strategy'!$E$9)</x:f>
        <x:v>0</x:v>
      </x:c>
      <x:c r="F268" s="27" t="n">
        <x:f>IF(C268+D268-E268&lt;=0,99,1+SUM(IF(AND(I268+J268-K268&gt;0,OR(I268+J268-K268&lt;C268+D268-E268,AND(I268+J268-K268=C268+D268-E268,1&lt;0))),1,0),IF(AND(O268+P268-Q268&gt;0,OR(O268+P268-Q268&lt;C268+D268-E268,AND(O268+P268-Q268=C268+D268-E268,2&lt;0))),1,0),IF(AND(U268+V268-W268&gt;0,OR(U268+V268-W268&lt;C268+D268-E268,AND(U268+V268-W268=C268+D268-E268,3&lt;0))),1,0),IF(AND(AA268+AB268-AC268&gt;0,OR(AA268+AB268-AC268&lt;C268+D268-E268,AND(AA268+AB268-AC268=C268+D268-E268,4&lt;0))),1,0)))</x:f>
        <x:v>99</x:v>
      </x:c>
      <x:c r="G268" s="6" t="n">
        <x:f>IF('Debt strategy'!$C$16&gt;0,0,MIN(C268+D268-E268,MAX(0,'Debt strategy'!$C$5-SUM(E268,K268,Q268,W268,AC268)-SUM(IF(L268&lt;F268,I268+J268-K268,0),IF(R268&lt;F268,O268+P268-Q268,0),IF(X268&lt;F268,U268+V268-W268,0),IF(AD268&lt;F268,AA268+AB268-AC268,0)))))</x:f>
        <x:v>0</x:v>
      </x:c>
      <x:c r="H268" s="6" t="n">
        <x:f>ROUND(MAX(0,C268+D268-E268-G268),2)</x:f>
        <x:v>0</x:v>
      </x:c>
      <x:c r="I268" s="6" t="n">
        <x:f>N267</x:f>
        <x:v>0</x:v>
      </x:c>
      <x:c r="J268" s="6" t="n">
        <x:f>ROUND(I268*'Debt strategy'!$D$10/12,2)</x:f>
        <x:v>0</x:v>
      </x:c>
      <x:c r="K268" s="6" t="n">
        <x:f>MIN(I268+J268,'Debt strategy'!$E$10)</x:f>
        <x:v>0</x:v>
      </x:c>
      <x:c r="L268" s="27" t="n">
        <x:f>IF(I268+J268-K268&lt;=0,99,1+SUM(IF(AND(C268+D268-E268&gt;0,OR(C268+D268-E268&lt;I268+J268-K268,AND(C268+D268-E268=I268+J268-K268,0&lt;1))),1,0),IF(AND(O268+P268-Q268&gt;0,OR(O268+P268-Q268&lt;I268+J268-K268,AND(O268+P268-Q268=I268+J268-K268,2&lt;1))),1,0),IF(AND(U268+V268-W268&gt;0,OR(U268+V268-W268&lt;I268+J268-K268,AND(U268+V268-W268=I268+J268-K268,3&lt;1))),1,0),IF(AND(AA268+AB268-AC268&gt;0,OR(AA268+AB268-AC268&lt;I268+J268-K268,AND(AA268+AB268-AC268=I268+J268-K268,4&lt;1))),1,0)))</x:f>
        <x:v>99</x:v>
      </x:c>
      <x:c r="M268" s="6" t="n">
        <x:f>IF('Debt strategy'!$C$16&gt;0,0,MIN(I268+J268-K268,MAX(0,'Debt strategy'!$C$5-SUM(E268,K268,Q268,W268,AC268)-SUM(IF(F268&lt;L268,C268+D268-E268,0),IF(R268&lt;L268,O268+P268-Q268,0),IF(X268&lt;L268,U268+V268-W268,0),IF(AD268&lt;L268,AA268+AB268-AC268,0)))))</x:f>
        <x:v>0</x:v>
      </x:c>
      <x:c r="N268" s="6" t="n">
        <x:f>ROUND(MAX(0,I268+J268-K268-M268),2)</x:f>
        <x:v>0</x:v>
      </x:c>
      <x:c r="O268" s="6" t="n">
        <x:f>T267</x:f>
        <x:v>0</x:v>
      </x:c>
      <x:c r="P268" s="6" t="n">
        <x:f>ROUND(O268*'Debt strategy'!$D$11/12,2)</x:f>
        <x:v>0</x:v>
      </x:c>
      <x:c r="Q268" s="6" t="n">
        <x:f>MIN(O268+P268,'Debt strategy'!$E$11)</x:f>
        <x:v>0</x:v>
      </x:c>
      <x:c r="R268" s="27" t="n">
        <x:f>IF(O268+P268-Q268&lt;=0,99,1+SUM(IF(AND(C268+D268-E268&gt;0,OR(C268+D268-E268&lt;O268+P268-Q268,AND(C268+D268-E268=O268+P268-Q268,0&lt;2))),1,0),IF(AND(I268+J268-K268&gt;0,OR(I268+J268-K268&lt;O268+P268-Q268,AND(I268+J268-K268=O268+P268-Q268,1&lt;2))),1,0),IF(AND(U268+V268-W268&gt;0,OR(U268+V268-W268&lt;O268+P268-Q268,AND(U268+V268-W268=O268+P268-Q268,3&lt;2))),1,0),IF(AND(AA268+AB268-AC268&gt;0,OR(AA268+AB268-AC268&lt;O268+P268-Q268,AND(AA268+AB268-AC268=O268+P268-Q268,4&lt;2))),1,0)))</x:f>
        <x:v>99</x:v>
      </x:c>
      <x:c r="S268" s="6" t="n">
        <x:f>IF('Debt strategy'!$C$16&gt;0,0,MIN(O268+P268-Q268,MAX(0,'Debt strategy'!$C$5-SUM(E268,K268,Q268,W268,AC268)-SUM(IF(F268&lt;R268,C268+D268-E268,0),IF(L268&lt;R268,I268+J268-K268,0),IF(X268&lt;R268,U268+V268-W268,0),IF(AD268&lt;R268,AA268+AB268-AC268,0)))))</x:f>
        <x:v>0</x:v>
      </x:c>
      <x:c r="T268" s="6" t="n">
        <x:f>ROUND(MAX(0,O268+P268-Q268-S268),2)</x:f>
        <x:v>0</x:v>
      </x:c>
      <x:c r="U268" s="6" t="n">
        <x:f>Z267</x:f>
        <x:v>0</x:v>
      </x:c>
      <x:c r="V268" s="6" t="n">
        <x:f>ROUND(U268*'Debt strategy'!$D$12/12,2)</x:f>
        <x:v>0</x:v>
      </x:c>
      <x:c r="W268" s="6" t="n">
        <x:f>MIN(U268+V268,'Debt strategy'!$E$12)</x:f>
        <x:v>0</x:v>
      </x:c>
      <x:c r="X268" s="27" t="n">
        <x:f>IF(U268+V268-W268&lt;=0,99,1+SUM(IF(AND(C268+D268-E268&gt;0,OR(C268+D268-E268&lt;U268+V268-W268,AND(C268+D268-E268=U268+V268-W268,0&lt;3))),1,0),IF(AND(I268+J268-K268&gt;0,OR(I268+J268-K268&lt;U268+V268-W268,AND(I268+J268-K268=U268+V268-W268,1&lt;3))),1,0),IF(AND(O268+P268-Q268&gt;0,OR(O268+P268-Q268&lt;U268+V268-W268,AND(O268+P268-Q268=U268+V268-W268,2&lt;3))),1,0),IF(AND(AA268+AB268-AC268&gt;0,OR(AA268+AB268-AC268&lt;U268+V268-W268,AND(AA268+AB268-AC268=U268+V268-W268,4&lt;3))),1,0)))</x:f>
        <x:v>99</x:v>
      </x:c>
      <x:c r="Y268" s="6" t="n">
        <x:f>IF('Debt strategy'!$C$16&gt;0,0,MIN(U268+V268-W268,MAX(0,'Debt strategy'!$C$5-SUM(E268,K268,Q268,W268,AC268)-SUM(IF(F268&lt;X268,C268+D268-E268,0),IF(L268&lt;X268,I268+J268-K268,0),IF(R268&lt;X268,O268+P268-Q268,0),IF(AD268&lt;X268,AA268+AB268-AC268,0)))))</x:f>
        <x:v>0</x:v>
      </x:c>
      <x:c r="Z268" s="6" t="n">
        <x:f>ROUND(MAX(0,U268+V268-W268-Y268),2)</x:f>
        <x:v>0</x:v>
      </x:c>
      <x:c r="AA268" s="6" t="n">
        <x:f>AF267</x:f>
        <x:v>0</x:v>
      </x:c>
      <x:c r="AB268" s="6" t="n">
        <x:f>ROUND(AA268*'Debt strategy'!$D$13/12,2)</x:f>
        <x:v>0</x:v>
      </x:c>
      <x:c r="AC268" s="6" t="n">
        <x:f>MIN(AA268+AB268,'Debt strategy'!$E$13)</x:f>
        <x:v>0</x:v>
      </x:c>
      <x:c r="AD268" s="27" t="n">
        <x:f>IF(AA268+AB268-AC268&lt;=0,99,1+SUM(IF(AND(C268+D268-E268&gt;0,OR(C268+D268-E268&lt;AA268+AB268-AC268,AND(C268+D268-E268=AA268+AB268-AC268,0&lt;4))),1,0),IF(AND(I268+J268-K268&gt;0,OR(I268+J268-K268&lt;AA268+AB268-AC268,AND(I268+J268-K268=AA268+AB268-AC268,1&lt;4))),1,0),IF(AND(O268+P268-Q268&gt;0,OR(O268+P268-Q268&lt;AA268+AB268-AC268,AND(O268+P268-Q268=AA268+AB268-AC268,2&lt;4))),1,0),IF(AND(U268+V268-W268&gt;0,OR(U268+V268-W268&lt;AA268+AB268-AC268,AND(U268+V268-W268=AA268+AB268-AC268,3&lt;4))),1,0)))</x:f>
        <x:v>99</x:v>
      </x:c>
      <x:c r="AE268" s="6" t="n">
        <x:f>IF('Debt strategy'!$C$16&gt;0,0,MIN(AA268+AB268-AC268,MAX(0,'Debt strategy'!$C$5-SUM(E268,K268,Q268,W268,AC268)-SUM(IF(F268&lt;AD268,C268+D268-E268,0),IF(L268&lt;AD268,I268+J268-K268,0),IF(R268&lt;AD268,O268+P268-Q268,0),IF(X268&lt;AD268,U268+V268-W268,0)))))</x:f>
        <x:v>0</x:v>
      </x:c>
      <x:c r="AF268" s="6" t="n">
        <x:f>ROUND(MAX(0,AA268+AB268-AC268-AE268),2)</x:f>
        <x:v>0</x:v>
      </x:c>
      <x:c r="AG268" s="6" t="n">
        <x:f>SUM(H268,N268,T268,Z268,AF268)</x:f>
        <x:v>0</x:v>
      </x:c>
      <x:c r="AH268" s="6" t="n">
        <x:f>SUM(D268,J268,P268,V268,AB268)+AH267</x:f>
        <x:v>1353.9499999999996</x:v>
      </x:c>
      <x:c r="AI268" s="2"/>
    </x:row>
    <x:row r="269" ht="23" customHeight="1">
      <x:c r="B269" s="2" t="n">
        <x:f>261</x:f>
        <x:v>261</x:v>
      </x:c>
      <x:c r="C269" s="6" t="n">
        <x:f>H268</x:f>
        <x:v>0</x:v>
      </x:c>
      <x:c r="D269" s="6" t="n">
        <x:f>ROUND(C269*'Debt strategy'!$D$9/12,2)</x:f>
        <x:v>0</x:v>
      </x:c>
      <x:c r="E269" s="6" t="n">
        <x:f>MIN(C269+D269,'Debt strategy'!$E$9)</x:f>
        <x:v>0</x:v>
      </x:c>
      <x:c r="F269" s="27" t="n">
        <x:f>IF(C269+D269-E269&lt;=0,99,1+SUM(IF(AND(I269+J269-K269&gt;0,OR(I269+J269-K269&lt;C269+D269-E269,AND(I269+J269-K269=C269+D269-E269,1&lt;0))),1,0),IF(AND(O269+P269-Q269&gt;0,OR(O269+P269-Q269&lt;C269+D269-E269,AND(O269+P269-Q269=C269+D269-E269,2&lt;0))),1,0),IF(AND(U269+V269-W269&gt;0,OR(U269+V269-W269&lt;C269+D269-E269,AND(U269+V269-W269=C269+D269-E269,3&lt;0))),1,0),IF(AND(AA269+AB269-AC269&gt;0,OR(AA269+AB269-AC269&lt;C269+D269-E269,AND(AA269+AB269-AC269=C269+D269-E269,4&lt;0))),1,0)))</x:f>
        <x:v>99</x:v>
      </x:c>
      <x:c r="G269" s="6" t="n">
        <x:f>IF('Debt strategy'!$C$16&gt;0,0,MIN(C269+D269-E269,MAX(0,'Debt strategy'!$C$5-SUM(E269,K269,Q269,W269,AC269)-SUM(IF(L269&lt;F269,I269+J269-K269,0),IF(R269&lt;F269,O269+P269-Q269,0),IF(X269&lt;F269,U269+V269-W269,0),IF(AD269&lt;F269,AA269+AB269-AC269,0)))))</x:f>
        <x:v>0</x:v>
      </x:c>
      <x:c r="H269" s="6" t="n">
        <x:f>ROUND(MAX(0,C269+D269-E269-G269),2)</x:f>
        <x:v>0</x:v>
      </x:c>
      <x:c r="I269" s="6" t="n">
        <x:f>N268</x:f>
        <x:v>0</x:v>
      </x:c>
      <x:c r="J269" s="6" t="n">
        <x:f>ROUND(I269*'Debt strategy'!$D$10/12,2)</x:f>
        <x:v>0</x:v>
      </x:c>
      <x:c r="K269" s="6" t="n">
        <x:f>MIN(I269+J269,'Debt strategy'!$E$10)</x:f>
        <x:v>0</x:v>
      </x:c>
      <x:c r="L269" s="27" t="n">
        <x:f>IF(I269+J269-K269&lt;=0,99,1+SUM(IF(AND(C269+D269-E269&gt;0,OR(C269+D269-E269&lt;I269+J269-K269,AND(C269+D269-E269=I269+J269-K269,0&lt;1))),1,0),IF(AND(O269+P269-Q269&gt;0,OR(O269+P269-Q269&lt;I269+J269-K269,AND(O269+P269-Q269=I269+J269-K269,2&lt;1))),1,0),IF(AND(U269+V269-W269&gt;0,OR(U269+V269-W269&lt;I269+J269-K269,AND(U269+V269-W269=I269+J269-K269,3&lt;1))),1,0),IF(AND(AA269+AB269-AC269&gt;0,OR(AA269+AB269-AC269&lt;I269+J269-K269,AND(AA269+AB269-AC269=I269+J269-K269,4&lt;1))),1,0)))</x:f>
        <x:v>99</x:v>
      </x:c>
      <x:c r="M269" s="6" t="n">
        <x:f>IF('Debt strategy'!$C$16&gt;0,0,MIN(I269+J269-K269,MAX(0,'Debt strategy'!$C$5-SUM(E269,K269,Q269,W269,AC269)-SUM(IF(F269&lt;L269,C269+D269-E269,0),IF(R269&lt;L269,O269+P269-Q269,0),IF(X269&lt;L269,U269+V269-W269,0),IF(AD269&lt;L269,AA269+AB269-AC269,0)))))</x:f>
        <x:v>0</x:v>
      </x:c>
      <x:c r="N269" s="6" t="n">
        <x:f>ROUND(MAX(0,I269+J269-K269-M269),2)</x:f>
        <x:v>0</x:v>
      </x:c>
      <x:c r="O269" s="6" t="n">
        <x:f>T268</x:f>
        <x:v>0</x:v>
      </x:c>
      <x:c r="P269" s="6" t="n">
        <x:f>ROUND(O269*'Debt strategy'!$D$11/12,2)</x:f>
        <x:v>0</x:v>
      </x:c>
      <x:c r="Q269" s="6" t="n">
        <x:f>MIN(O269+P269,'Debt strategy'!$E$11)</x:f>
        <x:v>0</x:v>
      </x:c>
      <x:c r="R269" s="27" t="n">
        <x:f>IF(O269+P269-Q269&lt;=0,99,1+SUM(IF(AND(C269+D269-E269&gt;0,OR(C269+D269-E269&lt;O269+P269-Q269,AND(C269+D269-E269=O269+P269-Q269,0&lt;2))),1,0),IF(AND(I269+J269-K269&gt;0,OR(I269+J269-K269&lt;O269+P269-Q269,AND(I269+J269-K269=O269+P269-Q269,1&lt;2))),1,0),IF(AND(U269+V269-W269&gt;0,OR(U269+V269-W269&lt;O269+P269-Q269,AND(U269+V269-W269=O269+P269-Q269,3&lt;2))),1,0),IF(AND(AA269+AB269-AC269&gt;0,OR(AA269+AB269-AC269&lt;O269+P269-Q269,AND(AA269+AB269-AC269=O269+P269-Q269,4&lt;2))),1,0)))</x:f>
        <x:v>99</x:v>
      </x:c>
      <x:c r="S269" s="6" t="n">
        <x:f>IF('Debt strategy'!$C$16&gt;0,0,MIN(O269+P269-Q269,MAX(0,'Debt strategy'!$C$5-SUM(E269,K269,Q269,W269,AC269)-SUM(IF(F269&lt;R269,C269+D269-E269,0),IF(L269&lt;R269,I269+J269-K269,0),IF(X269&lt;R269,U269+V269-W269,0),IF(AD269&lt;R269,AA269+AB269-AC269,0)))))</x:f>
        <x:v>0</x:v>
      </x:c>
      <x:c r="T269" s="6" t="n">
        <x:f>ROUND(MAX(0,O269+P269-Q269-S269),2)</x:f>
        <x:v>0</x:v>
      </x:c>
      <x:c r="U269" s="6" t="n">
        <x:f>Z268</x:f>
        <x:v>0</x:v>
      </x:c>
      <x:c r="V269" s="6" t="n">
        <x:f>ROUND(U269*'Debt strategy'!$D$12/12,2)</x:f>
        <x:v>0</x:v>
      </x:c>
      <x:c r="W269" s="6" t="n">
        <x:f>MIN(U269+V269,'Debt strategy'!$E$12)</x:f>
        <x:v>0</x:v>
      </x:c>
      <x:c r="X269" s="27" t="n">
        <x:f>IF(U269+V269-W269&lt;=0,99,1+SUM(IF(AND(C269+D269-E269&gt;0,OR(C269+D269-E269&lt;U269+V269-W269,AND(C269+D269-E269=U269+V269-W269,0&lt;3))),1,0),IF(AND(I269+J269-K269&gt;0,OR(I269+J269-K269&lt;U269+V269-W269,AND(I269+J269-K269=U269+V269-W269,1&lt;3))),1,0),IF(AND(O269+P269-Q269&gt;0,OR(O269+P269-Q269&lt;U269+V269-W269,AND(O269+P269-Q269=U269+V269-W269,2&lt;3))),1,0),IF(AND(AA269+AB269-AC269&gt;0,OR(AA269+AB269-AC269&lt;U269+V269-W269,AND(AA269+AB269-AC269=U269+V269-W269,4&lt;3))),1,0)))</x:f>
        <x:v>99</x:v>
      </x:c>
      <x:c r="Y269" s="6" t="n">
        <x:f>IF('Debt strategy'!$C$16&gt;0,0,MIN(U269+V269-W269,MAX(0,'Debt strategy'!$C$5-SUM(E269,K269,Q269,W269,AC269)-SUM(IF(F269&lt;X269,C269+D269-E269,0),IF(L269&lt;X269,I269+J269-K269,0),IF(R269&lt;X269,O269+P269-Q269,0),IF(AD269&lt;X269,AA269+AB269-AC269,0)))))</x:f>
        <x:v>0</x:v>
      </x:c>
      <x:c r="Z269" s="6" t="n">
        <x:f>ROUND(MAX(0,U269+V269-W269-Y269),2)</x:f>
        <x:v>0</x:v>
      </x:c>
      <x:c r="AA269" s="6" t="n">
        <x:f>AF268</x:f>
        <x:v>0</x:v>
      </x:c>
      <x:c r="AB269" s="6" t="n">
        <x:f>ROUND(AA269*'Debt strategy'!$D$13/12,2)</x:f>
        <x:v>0</x:v>
      </x:c>
      <x:c r="AC269" s="6" t="n">
        <x:f>MIN(AA269+AB269,'Debt strategy'!$E$13)</x:f>
        <x:v>0</x:v>
      </x:c>
      <x:c r="AD269" s="27" t="n">
        <x:f>IF(AA269+AB269-AC269&lt;=0,99,1+SUM(IF(AND(C269+D269-E269&gt;0,OR(C269+D269-E269&lt;AA269+AB269-AC269,AND(C269+D269-E269=AA269+AB269-AC269,0&lt;4))),1,0),IF(AND(I269+J269-K269&gt;0,OR(I269+J269-K269&lt;AA269+AB269-AC269,AND(I269+J269-K269=AA269+AB269-AC269,1&lt;4))),1,0),IF(AND(O269+P269-Q269&gt;0,OR(O269+P269-Q269&lt;AA269+AB269-AC269,AND(O269+P269-Q269=AA269+AB269-AC269,2&lt;4))),1,0),IF(AND(U269+V269-W269&gt;0,OR(U269+V269-W269&lt;AA269+AB269-AC269,AND(U269+V269-W269=AA269+AB269-AC269,3&lt;4))),1,0)))</x:f>
        <x:v>99</x:v>
      </x:c>
      <x:c r="AE269" s="6" t="n">
        <x:f>IF('Debt strategy'!$C$16&gt;0,0,MIN(AA269+AB269-AC269,MAX(0,'Debt strategy'!$C$5-SUM(E269,K269,Q269,W269,AC269)-SUM(IF(F269&lt;AD269,C269+D269-E269,0),IF(L269&lt;AD269,I269+J269-K269,0),IF(R269&lt;AD269,O269+P269-Q269,0),IF(X269&lt;AD269,U269+V269-W269,0)))))</x:f>
        <x:v>0</x:v>
      </x:c>
      <x:c r="AF269" s="6" t="n">
        <x:f>ROUND(MAX(0,AA269+AB269-AC269-AE269),2)</x:f>
        <x:v>0</x:v>
      </x:c>
      <x:c r="AG269" s="6" t="n">
        <x:f>SUM(H269,N269,T269,Z269,AF269)</x:f>
        <x:v>0</x:v>
      </x:c>
      <x:c r="AH269" s="6" t="n">
        <x:f>SUM(D269,J269,P269,V269,AB269)+AH268</x:f>
        <x:v>1353.9499999999996</x:v>
      </x:c>
      <x:c r="AI269" s="2"/>
    </x:row>
    <x:row r="270" ht="23" customHeight="1">
      <x:c r="B270" s="2" t="n">
        <x:f>262</x:f>
        <x:v>262</x:v>
      </x:c>
      <x:c r="C270" s="6" t="n">
        <x:f>H269</x:f>
        <x:v>0</x:v>
      </x:c>
      <x:c r="D270" s="6" t="n">
        <x:f>ROUND(C270*'Debt strategy'!$D$9/12,2)</x:f>
        <x:v>0</x:v>
      </x:c>
      <x:c r="E270" s="6" t="n">
        <x:f>MIN(C270+D270,'Debt strategy'!$E$9)</x:f>
        <x:v>0</x:v>
      </x:c>
      <x:c r="F270" s="27" t="n">
        <x:f>IF(C270+D270-E270&lt;=0,99,1+SUM(IF(AND(I270+J270-K270&gt;0,OR(I270+J270-K270&lt;C270+D270-E270,AND(I270+J270-K270=C270+D270-E270,1&lt;0))),1,0),IF(AND(O270+P270-Q270&gt;0,OR(O270+P270-Q270&lt;C270+D270-E270,AND(O270+P270-Q270=C270+D270-E270,2&lt;0))),1,0),IF(AND(U270+V270-W270&gt;0,OR(U270+V270-W270&lt;C270+D270-E270,AND(U270+V270-W270=C270+D270-E270,3&lt;0))),1,0),IF(AND(AA270+AB270-AC270&gt;0,OR(AA270+AB270-AC270&lt;C270+D270-E270,AND(AA270+AB270-AC270=C270+D270-E270,4&lt;0))),1,0)))</x:f>
        <x:v>99</x:v>
      </x:c>
      <x:c r="G270" s="6" t="n">
        <x:f>IF('Debt strategy'!$C$16&gt;0,0,MIN(C270+D270-E270,MAX(0,'Debt strategy'!$C$5-SUM(E270,K270,Q270,W270,AC270)-SUM(IF(L270&lt;F270,I270+J270-K270,0),IF(R270&lt;F270,O270+P270-Q270,0),IF(X270&lt;F270,U270+V270-W270,0),IF(AD270&lt;F270,AA270+AB270-AC270,0)))))</x:f>
        <x:v>0</x:v>
      </x:c>
      <x:c r="H270" s="6" t="n">
        <x:f>ROUND(MAX(0,C270+D270-E270-G270),2)</x:f>
        <x:v>0</x:v>
      </x:c>
      <x:c r="I270" s="6" t="n">
        <x:f>N269</x:f>
        <x:v>0</x:v>
      </x:c>
      <x:c r="J270" s="6" t="n">
        <x:f>ROUND(I270*'Debt strategy'!$D$10/12,2)</x:f>
        <x:v>0</x:v>
      </x:c>
      <x:c r="K270" s="6" t="n">
        <x:f>MIN(I270+J270,'Debt strategy'!$E$10)</x:f>
        <x:v>0</x:v>
      </x:c>
      <x:c r="L270" s="27" t="n">
        <x:f>IF(I270+J270-K270&lt;=0,99,1+SUM(IF(AND(C270+D270-E270&gt;0,OR(C270+D270-E270&lt;I270+J270-K270,AND(C270+D270-E270=I270+J270-K270,0&lt;1))),1,0),IF(AND(O270+P270-Q270&gt;0,OR(O270+P270-Q270&lt;I270+J270-K270,AND(O270+P270-Q270=I270+J270-K270,2&lt;1))),1,0),IF(AND(U270+V270-W270&gt;0,OR(U270+V270-W270&lt;I270+J270-K270,AND(U270+V270-W270=I270+J270-K270,3&lt;1))),1,0),IF(AND(AA270+AB270-AC270&gt;0,OR(AA270+AB270-AC270&lt;I270+J270-K270,AND(AA270+AB270-AC270=I270+J270-K270,4&lt;1))),1,0)))</x:f>
        <x:v>99</x:v>
      </x:c>
      <x:c r="M270" s="6" t="n">
        <x:f>IF('Debt strategy'!$C$16&gt;0,0,MIN(I270+J270-K270,MAX(0,'Debt strategy'!$C$5-SUM(E270,K270,Q270,W270,AC270)-SUM(IF(F270&lt;L270,C270+D270-E270,0),IF(R270&lt;L270,O270+P270-Q270,0),IF(X270&lt;L270,U270+V270-W270,0),IF(AD270&lt;L270,AA270+AB270-AC270,0)))))</x:f>
        <x:v>0</x:v>
      </x:c>
      <x:c r="N270" s="6" t="n">
        <x:f>ROUND(MAX(0,I270+J270-K270-M270),2)</x:f>
        <x:v>0</x:v>
      </x:c>
      <x:c r="O270" s="6" t="n">
        <x:f>T269</x:f>
        <x:v>0</x:v>
      </x:c>
      <x:c r="P270" s="6" t="n">
        <x:f>ROUND(O270*'Debt strategy'!$D$11/12,2)</x:f>
        <x:v>0</x:v>
      </x:c>
      <x:c r="Q270" s="6" t="n">
        <x:f>MIN(O270+P270,'Debt strategy'!$E$11)</x:f>
        <x:v>0</x:v>
      </x:c>
      <x:c r="R270" s="27" t="n">
        <x:f>IF(O270+P270-Q270&lt;=0,99,1+SUM(IF(AND(C270+D270-E270&gt;0,OR(C270+D270-E270&lt;O270+P270-Q270,AND(C270+D270-E270=O270+P270-Q270,0&lt;2))),1,0),IF(AND(I270+J270-K270&gt;0,OR(I270+J270-K270&lt;O270+P270-Q270,AND(I270+J270-K270=O270+P270-Q270,1&lt;2))),1,0),IF(AND(U270+V270-W270&gt;0,OR(U270+V270-W270&lt;O270+P270-Q270,AND(U270+V270-W270=O270+P270-Q270,3&lt;2))),1,0),IF(AND(AA270+AB270-AC270&gt;0,OR(AA270+AB270-AC270&lt;O270+P270-Q270,AND(AA270+AB270-AC270=O270+P270-Q270,4&lt;2))),1,0)))</x:f>
        <x:v>99</x:v>
      </x:c>
      <x:c r="S270" s="6" t="n">
        <x:f>IF('Debt strategy'!$C$16&gt;0,0,MIN(O270+P270-Q270,MAX(0,'Debt strategy'!$C$5-SUM(E270,K270,Q270,W270,AC270)-SUM(IF(F270&lt;R270,C270+D270-E270,0),IF(L270&lt;R270,I270+J270-K270,0),IF(X270&lt;R270,U270+V270-W270,0),IF(AD270&lt;R270,AA270+AB270-AC270,0)))))</x:f>
        <x:v>0</x:v>
      </x:c>
      <x:c r="T270" s="6" t="n">
        <x:f>ROUND(MAX(0,O270+P270-Q270-S270),2)</x:f>
        <x:v>0</x:v>
      </x:c>
      <x:c r="U270" s="6" t="n">
        <x:f>Z269</x:f>
        <x:v>0</x:v>
      </x:c>
      <x:c r="V270" s="6" t="n">
        <x:f>ROUND(U270*'Debt strategy'!$D$12/12,2)</x:f>
        <x:v>0</x:v>
      </x:c>
      <x:c r="W270" s="6" t="n">
        <x:f>MIN(U270+V270,'Debt strategy'!$E$12)</x:f>
        <x:v>0</x:v>
      </x:c>
      <x:c r="X270" s="27" t="n">
        <x:f>IF(U270+V270-W270&lt;=0,99,1+SUM(IF(AND(C270+D270-E270&gt;0,OR(C270+D270-E270&lt;U270+V270-W270,AND(C270+D270-E270=U270+V270-W270,0&lt;3))),1,0),IF(AND(I270+J270-K270&gt;0,OR(I270+J270-K270&lt;U270+V270-W270,AND(I270+J270-K270=U270+V270-W270,1&lt;3))),1,0),IF(AND(O270+P270-Q270&gt;0,OR(O270+P270-Q270&lt;U270+V270-W270,AND(O270+P270-Q270=U270+V270-W270,2&lt;3))),1,0),IF(AND(AA270+AB270-AC270&gt;0,OR(AA270+AB270-AC270&lt;U270+V270-W270,AND(AA270+AB270-AC270=U270+V270-W270,4&lt;3))),1,0)))</x:f>
        <x:v>99</x:v>
      </x:c>
      <x:c r="Y270" s="6" t="n">
        <x:f>IF('Debt strategy'!$C$16&gt;0,0,MIN(U270+V270-W270,MAX(0,'Debt strategy'!$C$5-SUM(E270,K270,Q270,W270,AC270)-SUM(IF(F270&lt;X270,C270+D270-E270,0),IF(L270&lt;X270,I270+J270-K270,0),IF(R270&lt;X270,O270+P270-Q270,0),IF(AD270&lt;X270,AA270+AB270-AC270,0)))))</x:f>
        <x:v>0</x:v>
      </x:c>
      <x:c r="Z270" s="6" t="n">
        <x:f>ROUND(MAX(0,U270+V270-W270-Y270),2)</x:f>
        <x:v>0</x:v>
      </x:c>
      <x:c r="AA270" s="6" t="n">
        <x:f>AF269</x:f>
        <x:v>0</x:v>
      </x:c>
      <x:c r="AB270" s="6" t="n">
        <x:f>ROUND(AA270*'Debt strategy'!$D$13/12,2)</x:f>
        <x:v>0</x:v>
      </x:c>
      <x:c r="AC270" s="6" t="n">
        <x:f>MIN(AA270+AB270,'Debt strategy'!$E$13)</x:f>
        <x:v>0</x:v>
      </x:c>
      <x:c r="AD270" s="27" t="n">
        <x:f>IF(AA270+AB270-AC270&lt;=0,99,1+SUM(IF(AND(C270+D270-E270&gt;0,OR(C270+D270-E270&lt;AA270+AB270-AC270,AND(C270+D270-E270=AA270+AB270-AC270,0&lt;4))),1,0),IF(AND(I270+J270-K270&gt;0,OR(I270+J270-K270&lt;AA270+AB270-AC270,AND(I270+J270-K270=AA270+AB270-AC270,1&lt;4))),1,0),IF(AND(O270+P270-Q270&gt;0,OR(O270+P270-Q270&lt;AA270+AB270-AC270,AND(O270+P270-Q270=AA270+AB270-AC270,2&lt;4))),1,0),IF(AND(U270+V270-W270&gt;0,OR(U270+V270-W270&lt;AA270+AB270-AC270,AND(U270+V270-W270=AA270+AB270-AC270,3&lt;4))),1,0)))</x:f>
        <x:v>99</x:v>
      </x:c>
      <x:c r="AE270" s="6" t="n">
        <x:f>IF('Debt strategy'!$C$16&gt;0,0,MIN(AA270+AB270-AC270,MAX(0,'Debt strategy'!$C$5-SUM(E270,K270,Q270,W270,AC270)-SUM(IF(F270&lt;AD270,C270+D270-E270,0),IF(L270&lt;AD270,I270+J270-K270,0),IF(R270&lt;AD270,O270+P270-Q270,0),IF(X270&lt;AD270,U270+V270-W270,0)))))</x:f>
        <x:v>0</x:v>
      </x:c>
      <x:c r="AF270" s="6" t="n">
        <x:f>ROUND(MAX(0,AA270+AB270-AC270-AE270),2)</x:f>
        <x:v>0</x:v>
      </x:c>
      <x:c r="AG270" s="6" t="n">
        <x:f>SUM(H270,N270,T270,Z270,AF270)</x:f>
        <x:v>0</x:v>
      </x:c>
      <x:c r="AH270" s="6" t="n">
        <x:f>SUM(D270,J270,P270,V270,AB270)+AH269</x:f>
        <x:v>1353.9499999999996</x:v>
      </x:c>
      <x:c r="AI270" s="2"/>
    </x:row>
    <x:row r="271" ht="23" customHeight="1">
      <x:c r="B271" s="2" t="n">
        <x:f>263</x:f>
        <x:v>263</x:v>
      </x:c>
      <x:c r="C271" s="6" t="n">
        <x:f>H270</x:f>
        <x:v>0</x:v>
      </x:c>
      <x:c r="D271" s="6" t="n">
        <x:f>ROUND(C271*'Debt strategy'!$D$9/12,2)</x:f>
        <x:v>0</x:v>
      </x:c>
      <x:c r="E271" s="6" t="n">
        <x:f>MIN(C271+D271,'Debt strategy'!$E$9)</x:f>
        <x:v>0</x:v>
      </x:c>
      <x:c r="F271" s="27" t="n">
        <x:f>IF(C271+D271-E271&lt;=0,99,1+SUM(IF(AND(I271+J271-K271&gt;0,OR(I271+J271-K271&lt;C271+D271-E271,AND(I271+J271-K271=C271+D271-E271,1&lt;0))),1,0),IF(AND(O271+P271-Q271&gt;0,OR(O271+P271-Q271&lt;C271+D271-E271,AND(O271+P271-Q271=C271+D271-E271,2&lt;0))),1,0),IF(AND(U271+V271-W271&gt;0,OR(U271+V271-W271&lt;C271+D271-E271,AND(U271+V271-W271=C271+D271-E271,3&lt;0))),1,0),IF(AND(AA271+AB271-AC271&gt;0,OR(AA271+AB271-AC271&lt;C271+D271-E271,AND(AA271+AB271-AC271=C271+D271-E271,4&lt;0))),1,0)))</x:f>
        <x:v>99</x:v>
      </x:c>
      <x:c r="G271" s="6" t="n">
        <x:f>IF('Debt strategy'!$C$16&gt;0,0,MIN(C271+D271-E271,MAX(0,'Debt strategy'!$C$5-SUM(E271,K271,Q271,W271,AC271)-SUM(IF(L271&lt;F271,I271+J271-K271,0),IF(R271&lt;F271,O271+P271-Q271,0),IF(X271&lt;F271,U271+V271-W271,0),IF(AD271&lt;F271,AA271+AB271-AC271,0)))))</x:f>
        <x:v>0</x:v>
      </x:c>
      <x:c r="H271" s="6" t="n">
        <x:f>ROUND(MAX(0,C271+D271-E271-G271),2)</x:f>
        <x:v>0</x:v>
      </x:c>
      <x:c r="I271" s="6" t="n">
        <x:f>N270</x:f>
        <x:v>0</x:v>
      </x:c>
      <x:c r="J271" s="6" t="n">
        <x:f>ROUND(I271*'Debt strategy'!$D$10/12,2)</x:f>
        <x:v>0</x:v>
      </x:c>
      <x:c r="K271" s="6" t="n">
        <x:f>MIN(I271+J271,'Debt strategy'!$E$10)</x:f>
        <x:v>0</x:v>
      </x:c>
      <x:c r="L271" s="27" t="n">
        <x:f>IF(I271+J271-K271&lt;=0,99,1+SUM(IF(AND(C271+D271-E271&gt;0,OR(C271+D271-E271&lt;I271+J271-K271,AND(C271+D271-E271=I271+J271-K271,0&lt;1))),1,0),IF(AND(O271+P271-Q271&gt;0,OR(O271+P271-Q271&lt;I271+J271-K271,AND(O271+P271-Q271=I271+J271-K271,2&lt;1))),1,0),IF(AND(U271+V271-W271&gt;0,OR(U271+V271-W271&lt;I271+J271-K271,AND(U271+V271-W271=I271+J271-K271,3&lt;1))),1,0),IF(AND(AA271+AB271-AC271&gt;0,OR(AA271+AB271-AC271&lt;I271+J271-K271,AND(AA271+AB271-AC271=I271+J271-K271,4&lt;1))),1,0)))</x:f>
        <x:v>99</x:v>
      </x:c>
      <x:c r="M271" s="6" t="n">
        <x:f>IF('Debt strategy'!$C$16&gt;0,0,MIN(I271+J271-K271,MAX(0,'Debt strategy'!$C$5-SUM(E271,K271,Q271,W271,AC271)-SUM(IF(F271&lt;L271,C271+D271-E271,0),IF(R271&lt;L271,O271+P271-Q271,0),IF(X271&lt;L271,U271+V271-W271,0),IF(AD271&lt;L271,AA271+AB271-AC271,0)))))</x:f>
        <x:v>0</x:v>
      </x:c>
      <x:c r="N271" s="6" t="n">
        <x:f>ROUND(MAX(0,I271+J271-K271-M271),2)</x:f>
        <x:v>0</x:v>
      </x:c>
      <x:c r="O271" s="6" t="n">
        <x:f>T270</x:f>
        <x:v>0</x:v>
      </x:c>
      <x:c r="P271" s="6" t="n">
        <x:f>ROUND(O271*'Debt strategy'!$D$11/12,2)</x:f>
        <x:v>0</x:v>
      </x:c>
      <x:c r="Q271" s="6" t="n">
        <x:f>MIN(O271+P271,'Debt strategy'!$E$11)</x:f>
        <x:v>0</x:v>
      </x:c>
      <x:c r="R271" s="27" t="n">
        <x:f>IF(O271+P271-Q271&lt;=0,99,1+SUM(IF(AND(C271+D271-E271&gt;0,OR(C271+D271-E271&lt;O271+P271-Q271,AND(C271+D271-E271=O271+P271-Q271,0&lt;2))),1,0),IF(AND(I271+J271-K271&gt;0,OR(I271+J271-K271&lt;O271+P271-Q271,AND(I271+J271-K271=O271+P271-Q271,1&lt;2))),1,0),IF(AND(U271+V271-W271&gt;0,OR(U271+V271-W271&lt;O271+P271-Q271,AND(U271+V271-W271=O271+P271-Q271,3&lt;2))),1,0),IF(AND(AA271+AB271-AC271&gt;0,OR(AA271+AB271-AC271&lt;O271+P271-Q271,AND(AA271+AB271-AC271=O271+P271-Q271,4&lt;2))),1,0)))</x:f>
        <x:v>99</x:v>
      </x:c>
      <x:c r="S271" s="6" t="n">
        <x:f>IF('Debt strategy'!$C$16&gt;0,0,MIN(O271+P271-Q271,MAX(0,'Debt strategy'!$C$5-SUM(E271,K271,Q271,W271,AC271)-SUM(IF(F271&lt;R271,C271+D271-E271,0),IF(L271&lt;R271,I271+J271-K271,0),IF(X271&lt;R271,U271+V271-W271,0),IF(AD271&lt;R271,AA271+AB271-AC271,0)))))</x:f>
        <x:v>0</x:v>
      </x:c>
      <x:c r="T271" s="6" t="n">
        <x:f>ROUND(MAX(0,O271+P271-Q271-S271),2)</x:f>
        <x:v>0</x:v>
      </x:c>
      <x:c r="U271" s="6" t="n">
        <x:f>Z270</x:f>
        <x:v>0</x:v>
      </x:c>
      <x:c r="V271" s="6" t="n">
        <x:f>ROUND(U271*'Debt strategy'!$D$12/12,2)</x:f>
        <x:v>0</x:v>
      </x:c>
      <x:c r="W271" s="6" t="n">
        <x:f>MIN(U271+V271,'Debt strategy'!$E$12)</x:f>
        <x:v>0</x:v>
      </x:c>
      <x:c r="X271" s="27" t="n">
        <x:f>IF(U271+V271-W271&lt;=0,99,1+SUM(IF(AND(C271+D271-E271&gt;0,OR(C271+D271-E271&lt;U271+V271-W271,AND(C271+D271-E271=U271+V271-W271,0&lt;3))),1,0),IF(AND(I271+J271-K271&gt;0,OR(I271+J271-K271&lt;U271+V271-W271,AND(I271+J271-K271=U271+V271-W271,1&lt;3))),1,0),IF(AND(O271+P271-Q271&gt;0,OR(O271+P271-Q271&lt;U271+V271-W271,AND(O271+P271-Q271=U271+V271-W271,2&lt;3))),1,0),IF(AND(AA271+AB271-AC271&gt;0,OR(AA271+AB271-AC271&lt;U271+V271-W271,AND(AA271+AB271-AC271=U271+V271-W271,4&lt;3))),1,0)))</x:f>
        <x:v>99</x:v>
      </x:c>
      <x:c r="Y271" s="6" t="n">
        <x:f>IF('Debt strategy'!$C$16&gt;0,0,MIN(U271+V271-W271,MAX(0,'Debt strategy'!$C$5-SUM(E271,K271,Q271,W271,AC271)-SUM(IF(F271&lt;X271,C271+D271-E271,0),IF(L271&lt;X271,I271+J271-K271,0),IF(R271&lt;X271,O271+P271-Q271,0),IF(AD271&lt;X271,AA271+AB271-AC271,0)))))</x:f>
        <x:v>0</x:v>
      </x:c>
      <x:c r="Z271" s="6" t="n">
        <x:f>ROUND(MAX(0,U271+V271-W271-Y271),2)</x:f>
        <x:v>0</x:v>
      </x:c>
      <x:c r="AA271" s="6" t="n">
        <x:f>AF270</x:f>
        <x:v>0</x:v>
      </x:c>
      <x:c r="AB271" s="6" t="n">
        <x:f>ROUND(AA271*'Debt strategy'!$D$13/12,2)</x:f>
        <x:v>0</x:v>
      </x:c>
      <x:c r="AC271" s="6" t="n">
        <x:f>MIN(AA271+AB271,'Debt strategy'!$E$13)</x:f>
        <x:v>0</x:v>
      </x:c>
      <x:c r="AD271" s="27" t="n">
        <x:f>IF(AA271+AB271-AC271&lt;=0,99,1+SUM(IF(AND(C271+D271-E271&gt;0,OR(C271+D271-E271&lt;AA271+AB271-AC271,AND(C271+D271-E271=AA271+AB271-AC271,0&lt;4))),1,0),IF(AND(I271+J271-K271&gt;0,OR(I271+J271-K271&lt;AA271+AB271-AC271,AND(I271+J271-K271=AA271+AB271-AC271,1&lt;4))),1,0),IF(AND(O271+P271-Q271&gt;0,OR(O271+P271-Q271&lt;AA271+AB271-AC271,AND(O271+P271-Q271=AA271+AB271-AC271,2&lt;4))),1,0),IF(AND(U271+V271-W271&gt;0,OR(U271+V271-W271&lt;AA271+AB271-AC271,AND(U271+V271-W271=AA271+AB271-AC271,3&lt;4))),1,0)))</x:f>
        <x:v>99</x:v>
      </x:c>
      <x:c r="AE271" s="6" t="n">
        <x:f>IF('Debt strategy'!$C$16&gt;0,0,MIN(AA271+AB271-AC271,MAX(0,'Debt strategy'!$C$5-SUM(E271,K271,Q271,W271,AC271)-SUM(IF(F271&lt;AD271,C271+D271-E271,0),IF(L271&lt;AD271,I271+J271-K271,0),IF(R271&lt;AD271,O271+P271-Q271,0),IF(X271&lt;AD271,U271+V271-W271,0)))))</x:f>
        <x:v>0</x:v>
      </x:c>
      <x:c r="AF271" s="6" t="n">
        <x:f>ROUND(MAX(0,AA271+AB271-AC271-AE271),2)</x:f>
        <x:v>0</x:v>
      </x:c>
      <x:c r="AG271" s="6" t="n">
        <x:f>SUM(H271,N271,T271,Z271,AF271)</x:f>
        <x:v>0</x:v>
      </x:c>
      <x:c r="AH271" s="6" t="n">
        <x:f>SUM(D271,J271,P271,V271,AB271)+AH270</x:f>
        <x:v>1353.9499999999996</x:v>
      </x:c>
      <x:c r="AI271" s="2"/>
    </x:row>
    <x:row r="272" ht="23" customHeight="1">
      <x:c r="B272" s="2" t="n">
        <x:f>264</x:f>
        <x:v>264</x:v>
      </x:c>
      <x:c r="C272" s="6" t="n">
        <x:f>H271</x:f>
        <x:v>0</x:v>
      </x:c>
      <x:c r="D272" s="6" t="n">
        <x:f>ROUND(C272*'Debt strategy'!$D$9/12,2)</x:f>
        <x:v>0</x:v>
      </x:c>
      <x:c r="E272" s="6" t="n">
        <x:f>MIN(C272+D272,'Debt strategy'!$E$9)</x:f>
        <x:v>0</x:v>
      </x:c>
      <x:c r="F272" s="27" t="n">
        <x:f>IF(C272+D272-E272&lt;=0,99,1+SUM(IF(AND(I272+J272-K272&gt;0,OR(I272+J272-K272&lt;C272+D272-E272,AND(I272+J272-K272=C272+D272-E272,1&lt;0))),1,0),IF(AND(O272+P272-Q272&gt;0,OR(O272+P272-Q272&lt;C272+D272-E272,AND(O272+P272-Q272=C272+D272-E272,2&lt;0))),1,0),IF(AND(U272+V272-W272&gt;0,OR(U272+V272-W272&lt;C272+D272-E272,AND(U272+V272-W272=C272+D272-E272,3&lt;0))),1,0),IF(AND(AA272+AB272-AC272&gt;0,OR(AA272+AB272-AC272&lt;C272+D272-E272,AND(AA272+AB272-AC272=C272+D272-E272,4&lt;0))),1,0)))</x:f>
        <x:v>99</x:v>
      </x:c>
      <x:c r="G272" s="6" t="n">
        <x:f>IF('Debt strategy'!$C$16&gt;0,0,MIN(C272+D272-E272,MAX(0,'Debt strategy'!$C$5-SUM(E272,K272,Q272,W272,AC272)-SUM(IF(L272&lt;F272,I272+J272-K272,0),IF(R272&lt;F272,O272+P272-Q272,0),IF(X272&lt;F272,U272+V272-W272,0),IF(AD272&lt;F272,AA272+AB272-AC272,0)))))</x:f>
        <x:v>0</x:v>
      </x:c>
      <x:c r="H272" s="6" t="n">
        <x:f>ROUND(MAX(0,C272+D272-E272-G272),2)</x:f>
        <x:v>0</x:v>
      </x:c>
      <x:c r="I272" s="6" t="n">
        <x:f>N271</x:f>
        <x:v>0</x:v>
      </x:c>
      <x:c r="J272" s="6" t="n">
        <x:f>ROUND(I272*'Debt strategy'!$D$10/12,2)</x:f>
        <x:v>0</x:v>
      </x:c>
      <x:c r="K272" s="6" t="n">
        <x:f>MIN(I272+J272,'Debt strategy'!$E$10)</x:f>
        <x:v>0</x:v>
      </x:c>
      <x:c r="L272" s="27" t="n">
        <x:f>IF(I272+J272-K272&lt;=0,99,1+SUM(IF(AND(C272+D272-E272&gt;0,OR(C272+D272-E272&lt;I272+J272-K272,AND(C272+D272-E272=I272+J272-K272,0&lt;1))),1,0),IF(AND(O272+P272-Q272&gt;0,OR(O272+P272-Q272&lt;I272+J272-K272,AND(O272+P272-Q272=I272+J272-K272,2&lt;1))),1,0),IF(AND(U272+V272-W272&gt;0,OR(U272+V272-W272&lt;I272+J272-K272,AND(U272+V272-W272=I272+J272-K272,3&lt;1))),1,0),IF(AND(AA272+AB272-AC272&gt;0,OR(AA272+AB272-AC272&lt;I272+J272-K272,AND(AA272+AB272-AC272=I272+J272-K272,4&lt;1))),1,0)))</x:f>
        <x:v>99</x:v>
      </x:c>
      <x:c r="M272" s="6" t="n">
        <x:f>IF('Debt strategy'!$C$16&gt;0,0,MIN(I272+J272-K272,MAX(0,'Debt strategy'!$C$5-SUM(E272,K272,Q272,W272,AC272)-SUM(IF(F272&lt;L272,C272+D272-E272,0),IF(R272&lt;L272,O272+P272-Q272,0),IF(X272&lt;L272,U272+V272-W272,0),IF(AD272&lt;L272,AA272+AB272-AC272,0)))))</x:f>
        <x:v>0</x:v>
      </x:c>
      <x:c r="N272" s="6" t="n">
        <x:f>ROUND(MAX(0,I272+J272-K272-M272),2)</x:f>
        <x:v>0</x:v>
      </x:c>
      <x:c r="O272" s="6" t="n">
        <x:f>T271</x:f>
        <x:v>0</x:v>
      </x:c>
      <x:c r="P272" s="6" t="n">
        <x:f>ROUND(O272*'Debt strategy'!$D$11/12,2)</x:f>
        <x:v>0</x:v>
      </x:c>
      <x:c r="Q272" s="6" t="n">
        <x:f>MIN(O272+P272,'Debt strategy'!$E$11)</x:f>
        <x:v>0</x:v>
      </x:c>
      <x:c r="R272" s="27" t="n">
        <x:f>IF(O272+P272-Q272&lt;=0,99,1+SUM(IF(AND(C272+D272-E272&gt;0,OR(C272+D272-E272&lt;O272+P272-Q272,AND(C272+D272-E272=O272+P272-Q272,0&lt;2))),1,0),IF(AND(I272+J272-K272&gt;0,OR(I272+J272-K272&lt;O272+P272-Q272,AND(I272+J272-K272=O272+P272-Q272,1&lt;2))),1,0),IF(AND(U272+V272-W272&gt;0,OR(U272+V272-W272&lt;O272+P272-Q272,AND(U272+V272-W272=O272+P272-Q272,3&lt;2))),1,0),IF(AND(AA272+AB272-AC272&gt;0,OR(AA272+AB272-AC272&lt;O272+P272-Q272,AND(AA272+AB272-AC272=O272+P272-Q272,4&lt;2))),1,0)))</x:f>
        <x:v>99</x:v>
      </x:c>
      <x:c r="S272" s="6" t="n">
        <x:f>IF('Debt strategy'!$C$16&gt;0,0,MIN(O272+P272-Q272,MAX(0,'Debt strategy'!$C$5-SUM(E272,K272,Q272,W272,AC272)-SUM(IF(F272&lt;R272,C272+D272-E272,0),IF(L272&lt;R272,I272+J272-K272,0),IF(X272&lt;R272,U272+V272-W272,0),IF(AD272&lt;R272,AA272+AB272-AC272,0)))))</x:f>
        <x:v>0</x:v>
      </x:c>
      <x:c r="T272" s="6" t="n">
        <x:f>ROUND(MAX(0,O272+P272-Q272-S272),2)</x:f>
        <x:v>0</x:v>
      </x:c>
      <x:c r="U272" s="6" t="n">
        <x:f>Z271</x:f>
        <x:v>0</x:v>
      </x:c>
      <x:c r="V272" s="6" t="n">
        <x:f>ROUND(U272*'Debt strategy'!$D$12/12,2)</x:f>
        <x:v>0</x:v>
      </x:c>
      <x:c r="W272" s="6" t="n">
        <x:f>MIN(U272+V272,'Debt strategy'!$E$12)</x:f>
        <x:v>0</x:v>
      </x:c>
      <x:c r="X272" s="27" t="n">
        <x:f>IF(U272+V272-W272&lt;=0,99,1+SUM(IF(AND(C272+D272-E272&gt;0,OR(C272+D272-E272&lt;U272+V272-W272,AND(C272+D272-E272=U272+V272-W272,0&lt;3))),1,0),IF(AND(I272+J272-K272&gt;0,OR(I272+J272-K272&lt;U272+V272-W272,AND(I272+J272-K272=U272+V272-W272,1&lt;3))),1,0),IF(AND(O272+P272-Q272&gt;0,OR(O272+P272-Q272&lt;U272+V272-W272,AND(O272+P272-Q272=U272+V272-W272,2&lt;3))),1,0),IF(AND(AA272+AB272-AC272&gt;0,OR(AA272+AB272-AC272&lt;U272+V272-W272,AND(AA272+AB272-AC272=U272+V272-W272,4&lt;3))),1,0)))</x:f>
        <x:v>99</x:v>
      </x:c>
      <x:c r="Y272" s="6" t="n">
        <x:f>IF('Debt strategy'!$C$16&gt;0,0,MIN(U272+V272-W272,MAX(0,'Debt strategy'!$C$5-SUM(E272,K272,Q272,W272,AC272)-SUM(IF(F272&lt;X272,C272+D272-E272,0),IF(L272&lt;X272,I272+J272-K272,0),IF(R272&lt;X272,O272+P272-Q272,0),IF(AD272&lt;X272,AA272+AB272-AC272,0)))))</x:f>
        <x:v>0</x:v>
      </x:c>
      <x:c r="Z272" s="6" t="n">
        <x:f>ROUND(MAX(0,U272+V272-W272-Y272),2)</x:f>
        <x:v>0</x:v>
      </x:c>
      <x:c r="AA272" s="6" t="n">
        <x:f>AF271</x:f>
        <x:v>0</x:v>
      </x:c>
      <x:c r="AB272" s="6" t="n">
        <x:f>ROUND(AA272*'Debt strategy'!$D$13/12,2)</x:f>
        <x:v>0</x:v>
      </x:c>
      <x:c r="AC272" s="6" t="n">
        <x:f>MIN(AA272+AB272,'Debt strategy'!$E$13)</x:f>
        <x:v>0</x:v>
      </x:c>
      <x:c r="AD272" s="27" t="n">
        <x:f>IF(AA272+AB272-AC272&lt;=0,99,1+SUM(IF(AND(C272+D272-E272&gt;0,OR(C272+D272-E272&lt;AA272+AB272-AC272,AND(C272+D272-E272=AA272+AB272-AC272,0&lt;4))),1,0),IF(AND(I272+J272-K272&gt;0,OR(I272+J272-K272&lt;AA272+AB272-AC272,AND(I272+J272-K272=AA272+AB272-AC272,1&lt;4))),1,0),IF(AND(O272+P272-Q272&gt;0,OR(O272+P272-Q272&lt;AA272+AB272-AC272,AND(O272+P272-Q272=AA272+AB272-AC272,2&lt;4))),1,0),IF(AND(U272+V272-W272&gt;0,OR(U272+V272-W272&lt;AA272+AB272-AC272,AND(U272+V272-W272=AA272+AB272-AC272,3&lt;4))),1,0)))</x:f>
        <x:v>99</x:v>
      </x:c>
      <x:c r="AE272" s="6" t="n">
        <x:f>IF('Debt strategy'!$C$16&gt;0,0,MIN(AA272+AB272-AC272,MAX(0,'Debt strategy'!$C$5-SUM(E272,K272,Q272,W272,AC272)-SUM(IF(F272&lt;AD272,C272+D272-E272,0),IF(L272&lt;AD272,I272+J272-K272,0),IF(R272&lt;AD272,O272+P272-Q272,0),IF(X272&lt;AD272,U272+V272-W272,0)))))</x:f>
        <x:v>0</x:v>
      </x:c>
      <x:c r="AF272" s="6" t="n">
        <x:f>ROUND(MAX(0,AA272+AB272-AC272-AE272),2)</x:f>
        <x:v>0</x:v>
      </x:c>
      <x:c r="AG272" s="6" t="n">
        <x:f>SUM(H272,N272,T272,Z272,AF272)</x:f>
        <x:v>0</x:v>
      </x:c>
      <x:c r="AH272" s="6" t="n">
        <x:f>SUM(D272,J272,P272,V272,AB272)+AH271</x:f>
        <x:v>1353.9499999999996</x:v>
      </x:c>
      <x:c r="AI272" s="2"/>
    </x:row>
    <x:row r="273" ht="23" customHeight="1">
      <x:c r="B273" s="2" t="n">
        <x:f>265</x:f>
        <x:v>265</x:v>
      </x:c>
      <x:c r="C273" s="6" t="n">
        <x:f>H272</x:f>
        <x:v>0</x:v>
      </x:c>
      <x:c r="D273" s="6" t="n">
        <x:f>ROUND(C273*'Debt strategy'!$D$9/12,2)</x:f>
        <x:v>0</x:v>
      </x:c>
      <x:c r="E273" s="6" t="n">
        <x:f>MIN(C273+D273,'Debt strategy'!$E$9)</x:f>
        <x:v>0</x:v>
      </x:c>
      <x:c r="F273" s="27" t="n">
        <x:f>IF(C273+D273-E273&lt;=0,99,1+SUM(IF(AND(I273+J273-K273&gt;0,OR(I273+J273-K273&lt;C273+D273-E273,AND(I273+J273-K273=C273+D273-E273,1&lt;0))),1,0),IF(AND(O273+P273-Q273&gt;0,OR(O273+P273-Q273&lt;C273+D273-E273,AND(O273+P273-Q273=C273+D273-E273,2&lt;0))),1,0),IF(AND(U273+V273-W273&gt;0,OR(U273+V273-W273&lt;C273+D273-E273,AND(U273+V273-W273=C273+D273-E273,3&lt;0))),1,0),IF(AND(AA273+AB273-AC273&gt;0,OR(AA273+AB273-AC273&lt;C273+D273-E273,AND(AA273+AB273-AC273=C273+D273-E273,4&lt;0))),1,0)))</x:f>
        <x:v>99</x:v>
      </x:c>
      <x:c r="G273" s="6" t="n">
        <x:f>IF('Debt strategy'!$C$16&gt;0,0,MIN(C273+D273-E273,MAX(0,'Debt strategy'!$C$5-SUM(E273,K273,Q273,W273,AC273)-SUM(IF(L273&lt;F273,I273+J273-K273,0),IF(R273&lt;F273,O273+P273-Q273,0),IF(X273&lt;F273,U273+V273-W273,0),IF(AD273&lt;F273,AA273+AB273-AC273,0)))))</x:f>
        <x:v>0</x:v>
      </x:c>
      <x:c r="H273" s="6" t="n">
        <x:f>ROUND(MAX(0,C273+D273-E273-G273),2)</x:f>
        <x:v>0</x:v>
      </x:c>
      <x:c r="I273" s="6" t="n">
        <x:f>N272</x:f>
        <x:v>0</x:v>
      </x:c>
      <x:c r="J273" s="6" t="n">
        <x:f>ROUND(I273*'Debt strategy'!$D$10/12,2)</x:f>
        <x:v>0</x:v>
      </x:c>
      <x:c r="K273" s="6" t="n">
        <x:f>MIN(I273+J273,'Debt strategy'!$E$10)</x:f>
        <x:v>0</x:v>
      </x:c>
      <x:c r="L273" s="27" t="n">
        <x:f>IF(I273+J273-K273&lt;=0,99,1+SUM(IF(AND(C273+D273-E273&gt;0,OR(C273+D273-E273&lt;I273+J273-K273,AND(C273+D273-E273=I273+J273-K273,0&lt;1))),1,0),IF(AND(O273+P273-Q273&gt;0,OR(O273+P273-Q273&lt;I273+J273-K273,AND(O273+P273-Q273=I273+J273-K273,2&lt;1))),1,0),IF(AND(U273+V273-W273&gt;0,OR(U273+V273-W273&lt;I273+J273-K273,AND(U273+V273-W273=I273+J273-K273,3&lt;1))),1,0),IF(AND(AA273+AB273-AC273&gt;0,OR(AA273+AB273-AC273&lt;I273+J273-K273,AND(AA273+AB273-AC273=I273+J273-K273,4&lt;1))),1,0)))</x:f>
        <x:v>99</x:v>
      </x:c>
      <x:c r="M273" s="6" t="n">
        <x:f>IF('Debt strategy'!$C$16&gt;0,0,MIN(I273+J273-K273,MAX(0,'Debt strategy'!$C$5-SUM(E273,K273,Q273,W273,AC273)-SUM(IF(F273&lt;L273,C273+D273-E273,0),IF(R273&lt;L273,O273+P273-Q273,0),IF(X273&lt;L273,U273+V273-W273,0),IF(AD273&lt;L273,AA273+AB273-AC273,0)))))</x:f>
        <x:v>0</x:v>
      </x:c>
      <x:c r="N273" s="6" t="n">
        <x:f>ROUND(MAX(0,I273+J273-K273-M273),2)</x:f>
        <x:v>0</x:v>
      </x:c>
      <x:c r="O273" s="6" t="n">
        <x:f>T272</x:f>
        <x:v>0</x:v>
      </x:c>
      <x:c r="P273" s="6" t="n">
        <x:f>ROUND(O273*'Debt strategy'!$D$11/12,2)</x:f>
        <x:v>0</x:v>
      </x:c>
      <x:c r="Q273" s="6" t="n">
        <x:f>MIN(O273+P273,'Debt strategy'!$E$11)</x:f>
        <x:v>0</x:v>
      </x:c>
      <x:c r="R273" s="27" t="n">
        <x:f>IF(O273+P273-Q273&lt;=0,99,1+SUM(IF(AND(C273+D273-E273&gt;0,OR(C273+D273-E273&lt;O273+P273-Q273,AND(C273+D273-E273=O273+P273-Q273,0&lt;2))),1,0),IF(AND(I273+J273-K273&gt;0,OR(I273+J273-K273&lt;O273+P273-Q273,AND(I273+J273-K273=O273+P273-Q273,1&lt;2))),1,0),IF(AND(U273+V273-W273&gt;0,OR(U273+V273-W273&lt;O273+P273-Q273,AND(U273+V273-W273=O273+P273-Q273,3&lt;2))),1,0),IF(AND(AA273+AB273-AC273&gt;0,OR(AA273+AB273-AC273&lt;O273+P273-Q273,AND(AA273+AB273-AC273=O273+P273-Q273,4&lt;2))),1,0)))</x:f>
        <x:v>99</x:v>
      </x:c>
      <x:c r="S273" s="6" t="n">
        <x:f>IF('Debt strategy'!$C$16&gt;0,0,MIN(O273+P273-Q273,MAX(0,'Debt strategy'!$C$5-SUM(E273,K273,Q273,W273,AC273)-SUM(IF(F273&lt;R273,C273+D273-E273,0),IF(L273&lt;R273,I273+J273-K273,0),IF(X273&lt;R273,U273+V273-W273,0),IF(AD273&lt;R273,AA273+AB273-AC273,0)))))</x:f>
        <x:v>0</x:v>
      </x:c>
      <x:c r="T273" s="6" t="n">
        <x:f>ROUND(MAX(0,O273+P273-Q273-S273),2)</x:f>
        <x:v>0</x:v>
      </x:c>
      <x:c r="U273" s="6" t="n">
        <x:f>Z272</x:f>
        <x:v>0</x:v>
      </x:c>
      <x:c r="V273" s="6" t="n">
        <x:f>ROUND(U273*'Debt strategy'!$D$12/12,2)</x:f>
        <x:v>0</x:v>
      </x:c>
      <x:c r="W273" s="6" t="n">
        <x:f>MIN(U273+V273,'Debt strategy'!$E$12)</x:f>
        <x:v>0</x:v>
      </x:c>
      <x:c r="X273" s="27" t="n">
        <x:f>IF(U273+V273-W273&lt;=0,99,1+SUM(IF(AND(C273+D273-E273&gt;0,OR(C273+D273-E273&lt;U273+V273-W273,AND(C273+D273-E273=U273+V273-W273,0&lt;3))),1,0),IF(AND(I273+J273-K273&gt;0,OR(I273+J273-K273&lt;U273+V273-W273,AND(I273+J273-K273=U273+V273-W273,1&lt;3))),1,0),IF(AND(O273+P273-Q273&gt;0,OR(O273+P273-Q273&lt;U273+V273-W273,AND(O273+P273-Q273=U273+V273-W273,2&lt;3))),1,0),IF(AND(AA273+AB273-AC273&gt;0,OR(AA273+AB273-AC273&lt;U273+V273-W273,AND(AA273+AB273-AC273=U273+V273-W273,4&lt;3))),1,0)))</x:f>
        <x:v>99</x:v>
      </x:c>
      <x:c r="Y273" s="6" t="n">
        <x:f>IF('Debt strategy'!$C$16&gt;0,0,MIN(U273+V273-W273,MAX(0,'Debt strategy'!$C$5-SUM(E273,K273,Q273,W273,AC273)-SUM(IF(F273&lt;X273,C273+D273-E273,0),IF(L273&lt;X273,I273+J273-K273,0),IF(R273&lt;X273,O273+P273-Q273,0),IF(AD273&lt;X273,AA273+AB273-AC273,0)))))</x:f>
        <x:v>0</x:v>
      </x:c>
      <x:c r="Z273" s="6" t="n">
        <x:f>ROUND(MAX(0,U273+V273-W273-Y273),2)</x:f>
        <x:v>0</x:v>
      </x:c>
      <x:c r="AA273" s="6" t="n">
        <x:f>AF272</x:f>
        <x:v>0</x:v>
      </x:c>
      <x:c r="AB273" s="6" t="n">
        <x:f>ROUND(AA273*'Debt strategy'!$D$13/12,2)</x:f>
        <x:v>0</x:v>
      </x:c>
      <x:c r="AC273" s="6" t="n">
        <x:f>MIN(AA273+AB273,'Debt strategy'!$E$13)</x:f>
        <x:v>0</x:v>
      </x:c>
      <x:c r="AD273" s="27" t="n">
        <x:f>IF(AA273+AB273-AC273&lt;=0,99,1+SUM(IF(AND(C273+D273-E273&gt;0,OR(C273+D273-E273&lt;AA273+AB273-AC273,AND(C273+D273-E273=AA273+AB273-AC273,0&lt;4))),1,0),IF(AND(I273+J273-K273&gt;0,OR(I273+J273-K273&lt;AA273+AB273-AC273,AND(I273+J273-K273=AA273+AB273-AC273,1&lt;4))),1,0),IF(AND(O273+P273-Q273&gt;0,OR(O273+P273-Q273&lt;AA273+AB273-AC273,AND(O273+P273-Q273=AA273+AB273-AC273,2&lt;4))),1,0),IF(AND(U273+V273-W273&gt;0,OR(U273+V273-W273&lt;AA273+AB273-AC273,AND(U273+V273-W273=AA273+AB273-AC273,3&lt;4))),1,0)))</x:f>
        <x:v>99</x:v>
      </x:c>
      <x:c r="AE273" s="6" t="n">
        <x:f>IF('Debt strategy'!$C$16&gt;0,0,MIN(AA273+AB273-AC273,MAX(0,'Debt strategy'!$C$5-SUM(E273,K273,Q273,W273,AC273)-SUM(IF(F273&lt;AD273,C273+D273-E273,0),IF(L273&lt;AD273,I273+J273-K273,0),IF(R273&lt;AD273,O273+P273-Q273,0),IF(X273&lt;AD273,U273+V273-W273,0)))))</x:f>
        <x:v>0</x:v>
      </x:c>
      <x:c r="AF273" s="6" t="n">
        <x:f>ROUND(MAX(0,AA273+AB273-AC273-AE273),2)</x:f>
        <x:v>0</x:v>
      </x:c>
      <x:c r="AG273" s="6" t="n">
        <x:f>SUM(H273,N273,T273,Z273,AF273)</x:f>
        <x:v>0</x:v>
      </x:c>
      <x:c r="AH273" s="6" t="n">
        <x:f>SUM(D273,J273,P273,V273,AB273)+AH272</x:f>
        <x:v>1353.9499999999996</x:v>
      </x:c>
      <x:c r="AI273" s="2"/>
    </x:row>
    <x:row r="274" ht="23" customHeight="1">
      <x:c r="B274" s="2" t="n">
        <x:f>266</x:f>
        <x:v>266</x:v>
      </x:c>
      <x:c r="C274" s="6" t="n">
        <x:f>H273</x:f>
        <x:v>0</x:v>
      </x:c>
      <x:c r="D274" s="6" t="n">
        <x:f>ROUND(C274*'Debt strategy'!$D$9/12,2)</x:f>
        <x:v>0</x:v>
      </x:c>
      <x:c r="E274" s="6" t="n">
        <x:f>MIN(C274+D274,'Debt strategy'!$E$9)</x:f>
        <x:v>0</x:v>
      </x:c>
      <x:c r="F274" s="27" t="n">
        <x:f>IF(C274+D274-E274&lt;=0,99,1+SUM(IF(AND(I274+J274-K274&gt;0,OR(I274+J274-K274&lt;C274+D274-E274,AND(I274+J274-K274=C274+D274-E274,1&lt;0))),1,0),IF(AND(O274+P274-Q274&gt;0,OR(O274+P274-Q274&lt;C274+D274-E274,AND(O274+P274-Q274=C274+D274-E274,2&lt;0))),1,0),IF(AND(U274+V274-W274&gt;0,OR(U274+V274-W274&lt;C274+D274-E274,AND(U274+V274-W274=C274+D274-E274,3&lt;0))),1,0),IF(AND(AA274+AB274-AC274&gt;0,OR(AA274+AB274-AC274&lt;C274+D274-E274,AND(AA274+AB274-AC274=C274+D274-E274,4&lt;0))),1,0)))</x:f>
        <x:v>99</x:v>
      </x:c>
      <x:c r="G274" s="6" t="n">
        <x:f>IF('Debt strategy'!$C$16&gt;0,0,MIN(C274+D274-E274,MAX(0,'Debt strategy'!$C$5-SUM(E274,K274,Q274,W274,AC274)-SUM(IF(L274&lt;F274,I274+J274-K274,0),IF(R274&lt;F274,O274+P274-Q274,0),IF(X274&lt;F274,U274+V274-W274,0),IF(AD274&lt;F274,AA274+AB274-AC274,0)))))</x:f>
        <x:v>0</x:v>
      </x:c>
      <x:c r="H274" s="6" t="n">
        <x:f>ROUND(MAX(0,C274+D274-E274-G274),2)</x:f>
        <x:v>0</x:v>
      </x:c>
      <x:c r="I274" s="6" t="n">
        <x:f>N273</x:f>
        <x:v>0</x:v>
      </x:c>
      <x:c r="J274" s="6" t="n">
        <x:f>ROUND(I274*'Debt strategy'!$D$10/12,2)</x:f>
        <x:v>0</x:v>
      </x:c>
      <x:c r="K274" s="6" t="n">
        <x:f>MIN(I274+J274,'Debt strategy'!$E$10)</x:f>
        <x:v>0</x:v>
      </x:c>
      <x:c r="L274" s="27" t="n">
        <x:f>IF(I274+J274-K274&lt;=0,99,1+SUM(IF(AND(C274+D274-E274&gt;0,OR(C274+D274-E274&lt;I274+J274-K274,AND(C274+D274-E274=I274+J274-K274,0&lt;1))),1,0),IF(AND(O274+P274-Q274&gt;0,OR(O274+P274-Q274&lt;I274+J274-K274,AND(O274+P274-Q274=I274+J274-K274,2&lt;1))),1,0),IF(AND(U274+V274-W274&gt;0,OR(U274+V274-W274&lt;I274+J274-K274,AND(U274+V274-W274=I274+J274-K274,3&lt;1))),1,0),IF(AND(AA274+AB274-AC274&gt;0,OR(AA274+AB274-AC274&lt;I274+J274-K274,AND(AA274+AB274-AC274=I274+J274-K274,4&lt;1))),1,0)))</x:f>
        <x:v>99</x:v>
      </x:c>
      <x:c r="M274" s="6" t="n">
        <x:f>IF('Debt strategy'!$C$16&gt;0,0,MIN(I274+J274-K274,MAX(0,'Debt strategy'!$C$5-SUM(E274,K274,Q274,W274,AC274)-SUM(IF(F274&lt;L274,C274+D274-E274,0),IF(R274&lt;L274,O274+P274-Q274,0),IF(X274&lt;L274,U274+V274-W274,0),IF(AD274&lt;L274,AA274+AB274-AC274,0)))))</x:f>
        <x:v>0</x:v>
      </x:c>
      <x:c r="N274" s="6" t="n">
        <x:f>ROUND(MAX(0,I274+J274-K274-M274),2)</x:f>
        <x:v>0</x:v>
      </x:c>
      <x:c r="O274" s="6" t="n">
        <x:f>T273</x:f>
        <x:v>0</x:v>
      </x:c>
      <x:c r="P274" s="6" t="n">
        <x:f>ROUND(O274*'Debt strategy'!$D$11/12,2)</x:f>
        <x:v>0</x:v>
      </x:c>
      <x:c r="Q274" s="6" t="n">
        <x:f>MIN(O274+P274,'Debt strategy'!$E$11)</x:f>
        <x:v>0</x:v>
      </x:c>
      <x:c r="R274" s="27" t="n">
        <x:f>IF(O274+P274-Q274&lt;=0,99,1+SUM(IF(AND(C274+D274-E274&gt;0,OR(C274+D274-E274&lt;O274+P274-Q274,AND(C274+D274-E274=O274+P274-Q274,0&lt;2))),1,0),IF(AND(I274+J274-K274&gt;0,OR(I274+J274-K274&lt;O274+P274-Q274,AND(I274+J274-K274=O274+P274-Q274,1&lt;2))),1,0),IF(AND(U274+V274-W274&gt;0,OR(U274+V274-W274&lt;O274+P274-Q274,AND(U274+V274-W274=O274+P274-Q274,3&lt;2))),1,0),IF(AND(AA274+AB274-AC274&gt;0,OR(AA274+AB274-AC274&lt;O274+P274-Q274,AND(AA274+AB274-AC274=O274+P274-Q274,4&lt;2))),1,0)))</x:f>
        <x:v>99</x:v>
      </x:c>
      <x:c r="S274" s="6" t="n">
        <x:f>IF('Debt strategy'!$C$16&gt;0,0,MIN(O274+P274-Q274,MAX(0,'Debt strategy'!$C$5-SUM(E274,K274,Q274,W274,AC274)-SUM(IF(F274&lt;R274,C274+D274-E274,0),IF(L274&lt;R274,I274+J274-K274,0),IF(X274&lt;R274,U274+V274-W274,0),IF(AD274&lt;R274,AA274+AB274-AC274,0)))))</x:f>
        <x:v>0</x:v>
      </x:c>
      <x:c r="T274" s="6" t="n">
        <x:f>ROUND(MAX(0,O274+P274-Q274-S274),2)</x:f>
        <x:v>0</x:v>
      </x:c>
      <x:c r="U274" s="6" t="n">
        <x:f>Z273</x:f>
        <x:v>0</x:v>
      </x:c>
      <x:c r="V274" s="6" t="n">
        <x:f>ROUND(U274*'Debt strategy'!$D$12/12,2)</x:f>
        <x:v>0</x:v>
      </x:c>
      <x:c r="W274" s="6" t="n">
        <x:f>MIN(U274+V274,'Debt strategy'!$E$12)</x:f>
        <x:v>0</x:v>
      </x:c>
      <x:c r="X274" s="27" t="n">
        <x:f>IF(U274+V274-W274&lt;=0,99,1+SUM(IF(AND(C274+D274-E274&gt;0,OR(C274+D274-E274&lt;U274+V274-W274,AND(C274+D274-E274=U274+V274-W274,0&lt;3))),1,0),IF(AND(I274+J274-K274&gt;0,OR(I274+J274-K274&lt;U274+V274-W274,AND(I274+J274-K274=U274+V274-W274,1&lt;3))),1,0),IF(AND(O274+P274-Q274&gt;0,OR(O274+P274-Q274&lt;U274+V274-W274,AND(O274+P274-Q274=U274+V274-W274,2&lt;3))),1,0),IF(AND(AA274+AB274-AC274&gt;0,OR(AA274+AB274-AC274&lt;U274+V274-W274,AND(AA274+AB274-AC274=U274+V274-W274,4&lt;3))),1,0)))</x:f>
        <x:v>99</x:v>
      </x:c>
      <x:c r="Y274" s="6" t="n">
        <x:f>IF('Debt strategy'!$C$16&gt;0,0,MIN(U274+V274-W274,MAX(0,'Debt strategy'!$C$5-SUM(E274,K274,Q274,W274,AC274)-SUM(IF(F274&lt;X274,C274+D274-E274,0),IF(L274&lt;X274,I274+J274-K274,0),IF(R274&lt;X274,O274+P274-Q274,0),IF(AD274&lt;X274,AA274+AB274-AC274,0)))))</x:f>
        <x:v>0</x:v>
      </x:c>
      <x:c r="Z274" s="6" t="n">
        <x:f>ROUND(MAX(0,U274+V274-W274-Y274),2)</x:f>
        <x:v>0</x:v>
      </x:c>
      <x:c r="AA274" s="6" t="n">
        <x:f>AF273</x:f>
        <x:v>0</x:v>
      </x:c>
      <x:c r="AB274" s="6" t="n">
        <x:f>ROUND(AA274*'Debt strategy'!$D$13/12,2)</x:f>
        <x:v>0</x:v>
      </x:c>
      <x:c r="AC274" s="6" t="n">
        <x:f>MIN(AA274+AB274,'Debt strategy'!$E$13)</x:f>
        <x:v>0</x:v>
      </x:c>
      <x:c r="AD274" s="27" t="n">
        <x:f>IF(AA274+AB274-AC274&lt;=0,99,1+SUM(IF(AND(C274+D274-E274&gt;0,OR(C274+D274-E274&lt;AA274+AB274-AC274,AND(C274+D274-E274=AA274+AB274-AC274,0&lt;4))),1,0),IF(AND(I274+J274-K274&gt;0,OR(I274+J274-K274&lt;AA274+AB274-AC274,AND(I274+J274-K274=AA274+AB274-AC274,1&lt;4))),1,0),IF(AND(O274+P274-Q274&gt;0,OR(O274+P274-Q274&lt;AA274+AB274-AC274,AND(O274+P274-Q274=AA274+AB274-AC274,2&lt;4))),1,0),IF(AND(U274+V274-W274&gt;0,OR(U274+V274-W274&lt;AA274+AB274-AC274,AND(U274+V274-W274=AA274+AB274-AC274,3&lt;4))),1,0)))</x:f>
        <x:v>99</x:v>
      </x:c>
      <x:c r="AE274" s="6" t="n">
        <x:f>IF('Debt strategy'!$C$16&gt;0,0,MIN(AA274+AB274-AC274,MAX(0,'Debt strategy'!$C$5-SUM(E274,K274,Q274,W274,AC274)-SUM(IF(F274&lt;AD274,C274+D274-E274,0),IF(L274&lt;AD274,I274+J274-K274,0),IF(R274&lt;AD274,O274+P274-Q274,0),IF(X274&lt;AD274,U274+V274-W274,0)))))</x:f>
        <x:v>0</x:v>
      </x:c>
      <x:c r="AF274" s="6" t="n">
        <x:f>ROUND(MAX(0,AA274+AB274-AC274-AE274),2)</x:f>
        <x:v>0</x:v>
      </x:c>
      <x:c r="AG274" s="6" t="n">
        <x:f>SUM(H274,N274,T274,Z274,AF274)</x:f>
        <x:v>0</x:v>
      </x:c>
      <x:c r="AH274" s="6" t="n">
        <x:f>SUM(D274,J274,P274,V274,AB274)+AH273</x:f>
        <x:v>1353.9499999999996</x:v>
      </x:c>
      <x:c r="AI274" s="2"/>
    </x:row>
    <x:row r="275" ht="23" customHeight="1">
      <x:c r="B275" s="2" t="n">
        <x:f>267</x:f>
        <x:v>267</x:v>
      </x:c>
      <x:c r="C275" s="6" t="n">
        <x:f>H274</x:f>
        <x:v>0</x:v>
      </x:c>
      <x:c r="D275" s="6" t="n">
        <x:f>ROUND(C275*'Debt strategy'!$D$9/12,2)</x:f>
        <x:v>0</x:v>
      </x:c>
      <x:c r="E275" s="6" t="n">
        <x:f>MIN(C275+D275,'Debt strategy'!$E$9)</x:f>
        <x:v>0</x:v>
      </x:c>
      <x:c r="F275" s="27" t="n">
        <x:f>IF(C275+D275-E275&lt;=0,99,1+SUM(IF(AND(I275+J275-K275&gt;0,OR(I275+J275-K275&lt;C275+D275-E275,AND(I275+J275-K275=C275+D275-E275,1&lt;0))),1,0),IF(AND(O275+P275-Q275&gt;0,OR(O275+P275-Q275&lt;C275+D275-E275,AND(O275+P275-Q275=C275+D275-E275,2&lt;0))),1,0),IF(AND(U275+V275-W275&gt;0,OR(U275+V275-W275&lt;C275+D275-E275,AND(U275+V275-W275=C275+D275-E275,3&lt;0))),1,0),IF(AND(AA275+AB275-AC275&gt;0,OR(AA275+AB275-AC275&lt;C275+D275-E275,AND(AA275+AB275-AC275=C275+D275-E275,4&lt;0))),1,0)))</x:f>
        <x:v>99</x:v>
      </x:c>
      <x:c r="G275" s="6" t="n">
        <x:f>IF('Debt strategy'!$C$16&gt;0,0,MIN(C275+D275-E275,MAX(0,'Debt strategy'!$C$5-SUM(E275,K275,Q275,W275,AC275)-SUM(IF(L275&lt;F275,I275+J275-K275,0),IF(R275&lt;F275,O275+P275-Q275,0),IF(X275&lt;F275,U275+V275-W275,0),IF(AD275&lt;F275,AA275+AB275-AC275,0)))))</x:f>
        <x:v>0</x:v>
      </x:c>
      <x:c r="H275" s="6" t="n">
        <x:f>ROUND(MAX(0,C275+D275-E275-G275),2)</x:f>
        <x:v>0</x:v>
      </x:c>
      <x:c r="I275" s="6" t="n">
        <x:f>N274</x:f>
        <x:v>0</x:v>
      </x:c>
      <x:c r="J275" s="6" t="n">
        <x:f>ROUND(I275*'Debt strategy'!$D$10/12,2)</x:f>
        <x:v>0</x:v>
      </x:c>
      <x:c r="K275" s="6" t="n">
        <x:f>MIN(I275+J275,'Debt strategy'!$E$10)</x:f>
        <x:v>0</x:v>
      </x:c>
      <x:c r="L275" s="27" t="n">
        <x:f>IF(I275+J275-K275&lt;=0,99,1+SUM(IF(AND(C275+D275-E275&gt;0,OR(C275+D275-E275&lt;I275+J275-K275,AND(C275+D275-E275=I275+J275-K275,0&lt;1))),1,0),IF(AND(O275+P275-Q275&gt;0,OR(O275+P275-Q275&lt;I275+J275-K275,AND(O275+P275-Q275=I275+J275-K275,2&lt;1))),1,0),IF(AND(U275+V275-W275&gt;0,OR(U275+V275-W275&lt;I275+J275-K275,AND(U275+V275-W275=I275+J275-K275,3&lt;1))),1,0),IF(AND(AA275+AB275-AC275&gt;0,OR(AA275+AB275-AC275&lt;I275+J275-K275,AND(AA275+AB275-AC275=I275+J275-K275,4&lt;1))),1,0)))</x:f>
        <x:v>99</x:v>
      </x:c>
      <x:c r="M275" s="6" t="n">
        <x:f>IF('Debt strategy'!$C$16&gt;0,0,MIN(I275+J275-K275,MAX(0,'Debt strategy'!$C$5-SUM(E275,K275,Q275,W275,AC275)-SUM(IF(F275&lt;L275,C275+D275-E275,0),IF(R275&lt;L275,O275+P275-Q275,0),IF(X275&lt;L275,U275+V275-W275,0),IF(AD275&lt;L275,AA275+AB275-AC275,0)))))</x:f>
        <x:v>0</x:v>
      </x:c>
      <x:c r="N275" s="6" t="n">
        <x:f>ROUND(MAX(0,I275+J275-K275-M275),2)</x:f>
        <x:v>0</x:v>
      </x:c>
      <x:c r="O275" s="6" t="n">
        <x:f>T274</x:f>
        <x:v>0</x:v>
      </x:c>
      <x:c r="P275" s="6" t="n">
        <x:f>ROUND(O275*'Debt strategy'!$D$11/12,2)</x:f>
        <x:v>0</x:v>
      </x:c>
      <x:c r="Q275" s="6" t="n">
        <x:f>MIN(O275+P275,'Debt strategy'!$E$11)</x:f>
        <x:v>0</x:v>
      </x:c>
      <x:c r="R275" s="27" t="n">
        <x:f>IF(O275+P275-Q275&lt;=0,99,1+SUM(IF(AND(C275+D275-E275&gt;0,OR(C275+D275-E275&lt;O275+P275-Q275,AND(C275+D275-E275=O275+P275-Q275,0&lt;2))),1,0),IF(AND(I275+J275-K275&gt;0,OR(I275+J275-K275&lt;O275+P275-Q275,AND(I275+J275-K275=O275+P275-Q275,1&lt;2))),1,0),IF(AND(U275+V275-W275&gt;0,OR(U275+V275-W275&lt;O275+P275-Q275,AND(U275+V275-W275=O275+P275-Q275,3&lt;2))),1,0),IF(AND(AA275+AB275-AC275&gt;0,OR(AA275+AB275-AC275&lt;O275+P275-Q275,AND(AA275+AB275-AC275=O275+P275-Q275,4&lt;2))),1,0)))</x:f>
        <x:v>99</x:v>
      </x:c>
      <x:c r="S275" s="6" t="n">
        <x:f>IF('Debt strategy'!$C$16&gt;0,0,MIN(O275+P275-Q275,MAX(0,'Debt strategy'!$C$5-SUM(E275,K275,Q275,W275,AC275)-SUM(IF(F275&lt;R275,C275+D275-E275,0),IF(L275&lt;R275,I275+J275-K275,0),IF(X275&lt;R275,U275+V275-W275,0),IF(AD275&lt;R275,AA275+AB275-AC275,0)))))</x:f>
        <x:v>0</x:v>
      </x:c>
      <x:c r="T275" s="6" t="n">
        <x:f>ROUND(MAX(0,O275+P275-Q275-S275),2)</x:f>
        <x:v>0</x:v>
      </x:c>
      <x:c r="U275" s="6" t="n">
        <x:f>Z274</x:f>
        <x:v>0</x:v>
      </x:c>
      <x:c r="V275" s="6" t="n">
        <x:f>ROUND(U275*'Debt strategy'!$D$12/12,2)</x:f>
        <x:v>0</x:v>
      </x:c>
      <x:c r="W275" s="6" t="n">
        <x:f>MIN(U275+V275,'Debt strategy'!$E$12)</x:f>
        <x:v>0</x:v>
      </x:c>
      <x:c r="X275" s="27" t="n">
        <x:f>IF(U275+V275-W275&lt;=0,99,1+SUM(IF(AND(C275+D275-E275&gt;0,OR(C275+D275-E275&lt;U275+V275-W275,AND(C275+D275-E275=U275+V275-W275,0&lt;3))),1,0),IF(AND(I275+J275-K275&gt;0,OR(I275+J275-K275&lt;U275+V275-W275,AND(I275+J275-K275=U275+V275-W275,1&lt;3))),1,0),IF(AND(O275+P275-Q275&gt;0,OR(O275+P275-Q275&lt;U275+V275-W275,AND(O275+P275-Q275=U275+V275-W275,2&lt;3))),1,0),IF(AND(AA275+AB275-AC275&gt;0,OR(AA275+AB275-AC275&lt;U275+V275-W275,AND(AA275+AB275-AC275=U275+V275-W275,4&lt;3))),1,0)))</x:f>
        <x:v>99</x:v>
      </x:c>
      <x:c r="Y275" s="6" t="n">
        <x:f>IF('Debt strategy'!$C$16&gt;0,0,MIN(U275+V275-W275,MAX(0,'Debt strategy'!$C$5-SUM(E275,K275,Q275,W275,AC275)-SUM(IF(F275&lt;X275,C275+D275-E275,0),IF(L275&lt;X275,I275+J275-K275,0),IF(R275&lt;X275,O275+P275-Q275,0),IF(AD275&lt;X275,AA275+AB275-AC275,0)))))</x:f>
        <x:v>0</x:v>
      </x:c>
      <x:c r="Z275" s="6" t="n">
        <x:f>ROUND(MAX(0,U275+V275-W275-Y275),2)</x:f>
        <x:v>0</x:v>
      </x:c>
      <x:c r="AA275" s="6" t="n">
        <x:f>AF274</x:f>
        <x:v>0</x:v>
      </x:c>
      <x:c r="AB275" s="6" t="n">
        <x:f>ROUND(AA275*'Debt strategy'!$D$13/12,2)</x:f>
        <x:v>0</x:v>
      </x:c>
      <x:c r="AC275" s="6" t="n">
        <x:f>MIN(AA275+AB275,'Debt strategy'!$E$13)</x:f>
        <x:v>0</x:v>
      </x:c>
      <x:c r="AD275" s="27" t="n">
        <x:f>IF(AA275+AB275-AC275&lt;=0,99,1+SUM(IF(AND(C275+D275-E275&gt;0,OR(C275+D275-E275&lt;AA275+AB275-AC275,AND(C275+D275-E275=AA275+AB275-AC275,0&lt;4))),1,0),IF(AND(I275+J275-K275&gt;0,OR(I275+J275-K275&lt;AA275+AB275-AC275,AND(I275+J275-K275=AA275+AB275-AC275,1&lt;4))),1,0),IF(AND(O275+P275-Q275&gt;0,OR(O275+P275-Q275&lt;AA275+AB275-AC275,AND(O275+P275-Q275=AA275+AB275-AC275,2&lt;4))),1,0),IF(AND(U275+V275-W275&gt;0,OR(U275+V275-W275&lt;AA275+AB275-AC275,AND(U275+V275-W275=AA275+AB275-AC275,3&lt;4))),1,0)))</x:f>
        <x:v>99</x:v>
      </x:c>
      <x:c r="AE275" s="6" t="n">
        <x:f>IF('Debt strategy'!$C$16&gt;0,0,MIN(AA275+AB275-AC275,MAX(0,'Debt strategy'!$C$5-SUM(E275,K275,Q275,W275,AC275)-SUM(IF(F275&lt;AD275,C275+D275-E275,0),IF(L275&lt;AD275,I275+J275-K275,0),IF(R275&lt;AD275,O275+P275-Q275,0),IF(X275&lt;AD275,U275+V275-W275,0)))))</x:f>
        <x:v>0</x:v>
      </x:c>
      <x:c r="AF275" s="6" t="n">
        <x:f>ROUND(MAX(0,AA275+AB275-AC275-AE275),2)</x:f>
        <x:v>0</x:v>
      </x:c>
      <x:c r="AG275" s="6" t="n">
        <x:f>SUM(H275,N275,T275,Z275,AF275)</x:f>
        <x:v>0</x:v>
      </x:c>
      <x:c r="AH275" s="6" t="n">
        <x:f>SUM(D275,J275,P275,V275,AB275)+AH274</x:f>
        <x:v>1353.9499999999996</x:v>
      </x:c>
      <x:c r="AI275" s="2"/>
    </x:row>
    <x:row r="276" ht="23" customHeight="1">
      <x:c r="B276" s="2" t="n">
        <x:f>268</x:f>
        <x:v>268</x:v>
      </x:c>
      <x:c r="C276" s="6" t="n">
        <x:f>H275</x:f>
        <x:v>0</x:v>
      </x:c>
      <x:c r="D276" s="6" t="n">
        <x:f>ROUND(C276*'Debt strategy'!$D$9/12,2)</x:f>
        <x:v>0</x:v>
      </x:c>
      <x:c r="E276" s="6" t="n">
        <x:f>MIN(C276+D276,'Debt strategy'!$E$9)</x:f>
        <x:v>0</x:v>
      </x:c>
      <x:c r="F276" s="27" t="n">
        <x:f>IF(C276+D276-E276&lt;=0,99,1+SUM(IF(AND(I276+J276-K276&gt;0,OR(I276+J276-K276&lt;C276+D276-E276,AND(I276+J276-K276=C276+D276-E276,1&lt;0))),1,0),IF(AND(O276+P276-Q276&gt;0,OR(O276+P276-Q276&lt;C276+D276-E276,AND(O276+P276-Q276=C276+D276-E276,2&lt;0))),1,0),IF(AND(U276+V276-W276&gt;0,OR(U276+V276-W276&lt;C276+D276-E276,AND(U276+V276-W276=C276+D276-E276,3&lt;0))),1,0),IF(AND(AA276+AB276-AC276&gt;0,OR(AA276+AB276-AC276&lt;C276+D276-E276,AND(AA276+AB276-AC276=C276+D276-E276,4&lt;0))),1,0)))</x:f>
        <x:v>99</x:v>
      </x:c>
      <x:c r="G276" s="6" t="n">
        <x:f>IF('Debt strategy'!$C$16&gt;0,0,MIN(C276+D276-E276,MAX(0,'Debt strategy'!$C$5-SUM(E276,K276,Q276,W276,AC276)-SUM(IF(L276&lt;F276,I276+J276-K276,0),IF(R276&lt;F276,O276+P276-Q276,0),IF(X276&lt;F276,U276+V276-W276,0),IF(AD276&lt;F276,AA276+AB276-AC276,0)))))</x:f>
        <x:v>0</x:v>
      </x:c>
      <x:c r="H276" s="6" t="n">
        <x:f>ROUND(MAX(0,C276+D276-E276-G276),2)</x:f>
        <x:v>0</x:v>
      </x:c>
      <x:c r="I276" s="6" t="n">
        <x:f>N275</x:f>
        <x:v>0</x:v>
      </x:c>
      <x:c r="J276" s="6" t="n">
        <x:f>ROUND(I276*'Debt strategy'!$D$10/12,2)</x:f>
        <x:v>0</x:v>
      </x:c>
      <x:c r="K276" s="6" t="n">
        <x:f>MIN(I276+J276,'Debt strategy'!$E$10)</x:f>
        <x:v>0</x:v>
      </x:c>
      <x:c r="L276" s="27" t="n">
        <x:f>IF(I276+J276-K276&lt;=0,99,1+SUM(IF(AND(C276+D276-E276&gt;0,OR(C276+D276-E276&lt;I276+J276-K276,AND(C276+D276-E276=I276+J276-K276,0&lt;1))),1,0),IF(AND(O276+P276-Q276&gt;0,OR(O276+P276-Q276&lt;I276+J276-K276,AND(O276+P276-Q276=I276+J276-K276,2&lt;1))),1,0),IF(AND(U276+V276-W276&gt;0,OR(U276+V276-W276&lt;I276+J276-K276,AND(U276+V276-W276=I276+J276-K276,3&lt;1))),1,0),IF(AND(AA276+AB276-AC276&gt;0,OR(AA276+AB276-AC276&lt;I276+J276-K276,AND(AA276+AB276-AC276=I276+J276-K276,4&lt;1))),1,0)))</x:f>
        <x:v>99</x:v>
      </x:c>
      <x:c r="M276" s="6" t="n">
        <x:f>IF('Debt strategy'!$C$16&gt;0,0,MIN(I276+J276-K276,MAX(0,'Debt strategy'!$C$5-SUM(E276,K276,Q276,W276,AC276)-SUM(IF(F276&lt;L276,C276+D276-E276,0),IF(R276&lt;L276,O276+P276-Q276,0),IF(X276&lt;L276,U276+V276-W276,0),IF(AD276&lt;L276,AA276+AB276-AC276,0)))))</x:f>
        <x:v>0</x:v>
      </x:c>
      <x:c r="N276" s="6" t="n">
        <x:f>ROUND(MAX(0,I276+J276-K276-M276),2)</x:f>
        <x:v>0</x:v>
      </x:c>
      <x:c r="O276" s="6" t="n">
        <x:f>T275</x:f>
        <x:v>0</x:v>
      </x:c>
      <x:c r="P276" s="6" t="n">
        <x:f>ROUND(O276*'Debt strategy'!$D$11/12,2)</x:f>
        <x:v>0</x:v>
      </x:c>
      <x:c r="Q276" s="6" t="n">
        <x:f>MIN(O276+P276,'Debt strategy'!$E$11)</x:f>
        <x:v>0</x:v>
      </x:c>
      <x:c r="R276" s="27" t="n">
        <x:f>IF(O276+P276-Q276&lt;=0,99,1+SUM(IF(AND(C276+D276-E276&gt;0,OR(C276+D276-E276&lt;O276+P276-Q276,AND(C276+D276-E276=O276+P276-Q276,0&lt;2))),1,0),IF(AND(I276+J276-K276&gt;0,OR(I276+J276-K276&lt;O276+P276-Q276,AND(I276+J276-K276=O276+P276-Q276,1&lt;2))),1,0),IF(AND(U276+V276-W276&gt;0,OR(U276+V276-W276&lt;O276+P276-Q276,AND(U276+V276-W276=O276+P276-Q276,3&lt;2))),1,0),IF(AND(AA276+AB276-AC276&gt;0,OR(AA276+AB276-AC276&lt;O276+P276-Q276,AND(AA276+AB276-AC276=O276+P276-Q276,4&lt;2))),1,0)))</x:f>
        <x:v>99</x:v>
      </x:c>
      <x:c r="S276" s="6" t="n">
        <x:f>IF('Debt strategy'!$C$16&gt;0,0,MIN(O276+P276-Q276,MAX(0,'Debt strategy'!$C$5-SUM(E276,K276,Q276,W276,AC276)-SUM(IF(F276&lt;R276,C276+D276-E276,0),IF(L276&lt;R276,I276+J276-K276,0),IF(X276&lt;R276,U276+V276-W276,0),IF(AD276&lt;R276,AA276+AB276-AC276,0)))))</x:f>
        <x:v>0</x:v>
      </x:c>
      <x:c r="T276" s="6" t="n">
        <x:f>ROUND(MAX(0,O276+P276-Q276-S276),2)</x:f>
        <x:v>0</x:v>
      </x:c>
      <x:c r="U276" s="6" t="n">
        <x:f>Z275</x:f>
        <x:v>0</x:v>
      </x:c>
      <x:c r="V276" s="6" t="n">
        <x:f>ROUND(U276*'Debt strategy'!$D$12/12,2)</x:f>
        <x:v>0</x:v>
      </x:c>
      <x:c r="W276" s="6" t="n">
        <x:f>MIN(U276+V276,'Debt strategy'!$E$12)</x:f>
        <x:v>0</x:v>
      </x:c>
      <x:c r="X276" s="27" t="n">
        <x:f>IF(U276+V276-W276&lt;=0,99,1+SUM(IF(AND(C276+D276-E276&gt;0,OR(C276+D276-E276&lt;U276+V276-W276,AND(C276+D276-E276=U276+V276-W276,0&lt;3))),1,0),IF(AND(I276+J276-K276&gt;0,OR(I276+J276-K276&lt;U276+V276-W276,AND(I276+J276-K276=U276+V276-W276,1&lt;3))),1,0),IF(AND(O276+P276-Q276&gt;0,OR(O276+P276-Q276&lt;U276+V276-W276,AND(O276+P276-Q276=U276+V276-W276,2&lt;3))),1,0),IF(AND(AA276+AB276-AC276&gt;0,OR(AA276+AB276-AC276&lt;U276+V276-W276,AND(AA276+AB276-AC276=U276+V276-W276,4&lt;3))),1,0)))</x:f>
        <x:v>99</x:v>
      </x:c>
      <x:c r="Y276" s="6" t="n">
        <x:f>IF('Debt strategy'!$C$16&gt;0,0,MIN(U276+V276-W276,MAX(0,'Debt strategy'!$C$5-SUM(E276,K276,Q276,W276,AC276)-SUM(IF(F276&lt;X276,C276+D276-E276,0),IF(L276&lt;X276,I276+J276-K276,0),IF(R276&lt;X276,O276+P276-Q276,0),IF(AD276&lt;X276,AA276+AB276-AC276,0)))))</x:f>
        <x:v>0</x:v>
      </x:c>
      <x:c r="Z276" s="6" t="n">
        <x:f>ROUND(MAX(0,U276+V276-W276-Y276),2)</x:f>
        <x:v>0</x:v>
      </x:c>
      <x:c r="AA276" s="6" t="n">
        <x:f>AF275</x:f>
        <x:v>0</x:v>
      </x:c>
      <x:c r="AB276" s="6" t="n">
        <x:f>ROUND(AA276*'Debt strategy'!$D$13/12,2)</x:f>
        <x:v>0</x:v>
      </x:c>
      <x:c r="AC276" s="6" t="n">
        <x:f>MIN(AA276+AB276,'Debt strategy'!$E$13)</x:f>
        <x:v>0</x:v>
      </x:c>
      <x:c r="AD276" s="27" t="n">
        <x:f>IF(AA276+AB276-AC276&lt;=0,99,1+SUM(IF(AND(C276+D276-E276&gt;0,OR(C276+D276-E276&lt;AA276+AB276-AC276,AND(C276+D276-E276=AA276+AB276-AC276,0&lt;4))),1,0),IF(AND(I276+J276-K276&gt;0,OR(I276+J276-K276&lt;AA276+AB276-AC276,AND(I276+J276-K276=AA276+AB276-AC276,1&lt;4))),1,0),IF(AND(O276+P276-Q276&gt;0,OR(O276+P276-Q276&lt;AA276+AB276-AC276,AND(O276+P276-Q276=AA276+AB276-AC276,2&lt;4))),1,0),IF(AND(U276+V276-W276&gt;0,OR(U276+V276-W276&lt;AA276+AB276-AC276,AND(U276+V276-W276=AA276+AB276-AC276,3&lt;4))),1,0)))</x:f>
        <x:v>99</x:v>
      </x:c>
      <x:c r="AE276" s="6" t="n">
        <x:f>IF('Debt strategy'!$C$16&gt;0,0,MIN(AA276+AB276-AC276,MAX(0,'Debt strategy'!$C$5-SUM(E276,K276,Q276,W276,AC276)-SUM(IF(F276&lt;AD276,C276+D276-E276,0),IF(L276&lt;AD276,I276+J276-K276,0),IF(R276&lt;AD276,O276+P276-Q276,0),IF(X276&lt;AD276,U276+V276-W276,0)))))</x:f>
        <x:v>0</x:v>
      </x:c>
      <x:c r="AF276" s="6" t="n">
        <x:f>ROUND(MAX(0,AA276+AB276-AC276-AE276),2)</x:f>
        <x:v>0</x:v>
      </x:c>
      <x:c r="AG276" s="6" t="n">
        <x:f>SUM(H276,N276,T276,Z276,AF276)</x:f>
        <x:v>0</x:v>
      </x:c>
      <x:c r="AH276" s="6" t="n">
        <x:f>SUM(D276,J276,P276,V276,AB276)+AH275</x:f>
        <x:v>1353.9499999999996</x:v>
      </x:c>
      <x:c r="AI276" s="2"/>
    </x:row>
    <x:row r="277" ht="23" customHeight="1">
      <x:c r="B277" s="2" t="n">
        <x:f>269</x:f>
        <x:v>269</x:v>
      </x:c>
      <x:c r="C277" s="6" t="n">
        <x:f>H276</x:f>
        <x:v>0</x:v>
      </x:c>
      <x:c r="D277" s="6" t="n">
        <x:f>ROUND(C277*'Debt strategy'!$D$9/12,2)</x:f>
        <x:v>0</x:v>
      </x:c>
      <x:c r="E277" s="6" t="n">
        <x:f>MIN(C277+D277,'Debt strategy'!$E$9)</x:f>
        <x:v>0</x:v>
      </x:c>
      <x:c r="F277" s="27" t="n">
        <x:f>IF(C277+D277-E277&lt;=0,99,1+SUM(IF(AND(I277+J277-K277&gt;0,OR(I277+J277-K277&lt;C277+D277-E277,AND(I277+J277-K277=C277+D277-E277,1&lt;0))),1,0),IF(AND(O277+P277-Q277&gt;0,OR(O277+P277-Q277&lt;C277+D277-E277,AND(O277+P277-Q277=C277+D277-E277,2&lt;0))),1,0),IF(AND(U277+V277-W277&gt;0,OR(U277+V277-W277&lt;C277+D277-E277,AND(U277+V277-W277=C277+D277-E277,3&lt;0))),1,0),IF(AND(AA277+AB277-AC277&gt;0,OR(AA277+AB277-AC277&lt;C277+D277-E277,AND(AA277+AB277-AC277=C277+D277-E277,4&lt;0))),1,0)))</x:f>
        <x:v>99</x:v>
      </x:c>
      <x:c r="G277" s="6" t="n">
        <x:f>IF('Debt strategy'!$C$16&gt;0,0,MIN(C277+D277-E277,MAX(0,'Debt strategy'!$C$5-SUM(E277,K277,Q277,W277,AC277)-SUM(IF(L277&lt;F277,I277+J277-K277,0),IF(R277&lt;F277,O277+P277-Q277,0),IF(X277&lt;F277,U277+V277-W277,0),IF(AD277&lt;F277,AA277+AB277-AC277,0)))))</x:f>
        <x:v>0</x:v>
      </x:c>
      <x:c r="H277" s="6" t="n">
        <x:f>ROUND(MAX(0,C277+D277-E277-G277),2)</x:f>
        <x:v>0</x:v>
      </x:c>
      <x:c r="I277" s="6" t="n">
        <x:f>N276</x:f>
        <x:v>0</x:v>
      </x:c>
      <x:c r="J277" s="6" t="n">
        <x:f>ROUND(I277*'Debt strategy'!$D$10/12,2)</x:f>
        <x:v>0</x:v>
      </x:c>
      <x:c r="K277" s="6" t="n">
        <x:f>MIN(I277+J277,'Debt strategy'!$E$10)</x:f>
        <x:v>0</x:v>
      </x:c>
      <x:c r="L277" s="27" t="n">
        <x:f>IF(I277+J277-K277&lt;=0,99,1+SUM(IF(AND(C277+D277-E277&gt;0,OR(C277+D277-E277&lt;I277+J277-K277,AND(C277+D277-E277=I277+J277-K277,0&lt;1))),1,0),IF(AND(O277+P277-Q277&gt;0,OR(O277+P277-Q277&lt;I277+J277-K277,AND(O277+P277-Q277=I277+J277-K277,2&lt;1))),1,0),IF(AND(U277+V277-W277&gt;0,OR(U277+V277-W277&lt;I277+J277-K277,AND(U277+V277-W277=I277+J277-K277,3&lt;1))),1,0),IF(AND(AA277+AB277-AC277&gt;0,OR(AA277+AB277-AC277&lt;I277+J277-K277,AND(AA277+AB277-AC277=I277+J277-K277,4&lt;1))),1,0)))</x:f>
        <x:v>99</x:v>
      </x:c>
      <x:c r="M277" s="6" t="n">
        <x:f>IF('Debt strategy'!$C$16&gt;0,0,MIN(I277+J277-K277,MAX(0,'Debt strategy'!$C$5-SUM(E277,K277,Q277,W277,AC277)-SUM(IF(F277&lt;L277,C277+D277-E277,0),IF(R277&lt;L277,O277+P277-Q277,0),IF(X277&lt;L277,U277+V277-W277,0),IF(AD277&lt;L277,AA277+AB277-AC277,0)))))</x:f>
        <x:v>0</x:v>
      </x:c>
      <x:c r="N277" s="6" t="n">
        <x:f>ROUND(MAX(0,I277+J277-K277-M277),2)</x:f>
        <x:v>0</x:v>
      </x:c>
      <x:c r="O277" s="6" t="n">
        <x:f>T276</x:f>
        <x:v>0</x:v>
      </x:c>
      <x:c r="P277" s="6" t="n">
        <x:f>ROUND(O277*'Debt strategy'!$D$11/12,2)</x:f>
        <x:v>0</x:v>
      </x:c>
      <x:c r="Q277" s="6" t="n">
        <x:f>MIN(O277+P277,'Debt strategy'!$E$11)</x:f>
        <x:v>0</x:v>
      </x:c>
      <x:c r="R277" s="27" t="n">
        <x:f>IF(O277+P277-Q277&lt;=0,99,1+SUM(IF(AND(C277+D277-E277&gt;0,OR(C277+D277-E277&lt;O277+P277-Q277,AND(C277+D277-E277=O277+P277-Q277,0&lt;2))),1,0),IF(AND(I277+J277-K277&gt;0,OR(I277+J277-K277&lt;O277+P277-Q277,AND(I277+J277-K277=O277+P277-Q277,1&lt;2))),1,0),IF(AND(U277+V277-W277&gt;0,OR(U277+V277-W277&lt;O277+P277-Q277,AND(U277+V277-W277=O277+P277-Q277,3&lt;2))),1,0),IF(AND(AA277+AB277-AC277&gt;0,OR(AA277+AB277-AC277&lt;O277+P277-Q277,AND(AA277+AB277-AC277=O277+P277-Q277,4&lt;2))),1,0)))</x:f>
        <x:v>99</x:v>
      </x:c>
      <x:c r="S277" s="6" t="n">
        <x:f>IF('Debt strategy'!$C$16&gt;0,0,MIN(O277+P277-Q277,MAX(0,'Debt strategy'!$C$5-SUM(E277,K277,Q277,W277,AC277)-SUM(IF(F277&lt;R277,C277+D277-E277,0),IF(L277&lt;R277,I277+J277-K277,0),IF(X277&lt;R277,U277+V277-W277,0),IF(AD277&lt;R277,AA277+AB277-AC277,0)))))</x:f>
        <x:v>0</x:v>
      </x:c>
      <x:c r="T277" s="6" t="n">
        <x:f>ROUND(MAX(0,O277+P277-Q277-S277),2)</x:f>
        <x:v>0</x:v>
      </x:c>
      <x:c r="U277" s="6" t="n">
        <x:f>Z276</x:f>
        <x:v>0</x:v>
      </x:c>
      <x:c r="V277" s="6" t="n">
        <x:f>ROUND(U277*'Debt strategy'!$D$12/12,2)</x:f>
        <x:v>0</x:v>
      </x:c>
      <x:c r="W277" s="6" t="n">
        <x:f>MIN(U277+V277,'Debt strategy'!$E$12)</x:f>
        <x:v>0</x:v>
      </x:c>
      <x:c r="X277" s="27" t="n">
        <x:f>IF(U277+V277-W277&lt;=0,99,1+SUM(IF(AND(C277+D277-E277&gt;0,OR(C277+D277-E277&lt;U277+V277-W277,AND(C277+D277-E277=U277+V277-W277,0&lt;3))),1,0),IF(AND(I277+J277-K277&gt;0,OR(I277+J277-K277&lt;U277+V277-W277,AND(I277+J277-K277=U277+V277-W277,1&lt;3))),1,0),IF(AND(O277+P277-Q277&gt;0,OR(O277+P277-Q277&lt;U277+V277-W277,AND(O277+P277-Q277=U277+V277-W277,2&lt;3))),1,0),IF(AND(AA277+AB277-AC277&gt;0,OR(AA277+AB277-AC277&lt;U277+V277-W277,AND(AA277+AB277-AC277=U277+V277-W277,4&lt;3))),1,0)))</x:f>
        <x:v>99</x:v>
      </x:c>
      <x:c r="Y277" s="6" t="n">
        <x:f>IF('Debt strategy'!$C$16&gt;0,0,MIN(U277+V277-W277,MAX(0,'Debt strategy'!$C$5-SUM(E277,K277,Q277,W277,AC277)-SUM(IF(F277&lt;X277,C277+D277-E277,0),IF(L277&lt;X277,I277+J277-K277,0),IF(R277&lt;X277,O277+P277-Q277,0),IF(AD277&lt;X277,AA277+AB277-AC277,0)))))</x:f>
        <x:v>0</x:v>
      </x:c>
      <x:c r="Z277" s="6" t="n">
        <x:f>ROUND(MAX(0,U277+V277-W277-Y277),2)</x:f>
        <x:v>0</x:v>
      </x:c>
      <x:c r="AA277" s="6" t="n">
        <x:f>AF276</x:f>
        <x:v>0</x:v>
      </x:c>
      <x:c r="AB277" s="6" t="n">
        <x:f>ROUND(AA277*'Debt strategy'!$D$13/12,2)</x:f>
        <x:v>0</x:v>
      </x:c>
      <x:c r="AC277" s="6" t="n">
        <x:f>MIN(AA277+AB277,'Debt strategy'!$E$13)</x:f>
        <x:v>0</x:v>
      </x:c>
      <x:c r="AD277" s="27" t="n">
        <x:f>IF(AA277+AB277-AC277&lt;=0,99,1+SUM(IF(AND(C277+D277-E277&gt;0,OR(C277+D277-E277&lt;AA277+AB277-AC277,AND(C277+D277-E277=AA277+AB277-AC277,0&lt;4))),1,0),IF(AND(I277+J277-K277&gt;0,OR(I277+J277-K277&lt;AA277+AB277-AC277,AND(I277+J277-K277=AA277+AB277-AC277,1&lt;4))),1,0),IF(AND(O277+P277-Q277&gt;0,OR(O277+P277-Q277&lt;AA277+AB277-AC277,AND(O277+P277-Q277=AA277+AB277-AC277,2&lt;4))),1,0),IF(AND(U277+V277-W277&gt;0,OR(U277+V277-W277&lt;AA277+AB277-AC277,AND(U277+V277-W277=AA277+AB277-AC277,3&lt;4))),1,0)))</x:f>
        <x:v>99</x:v>
      </x:c>
      <x:c r="AE277" s="6" t="n">
        <x:f>IF('Debt strategy'!$C$16&gt;0,0,MIN(AA277+AB277-AC277,MAX(0,'Debt strategy'!$C$5-SUM(E277,K277,Q277,W277,AC277)-SUM(IF(F277&lt;AD277,C277+D277-E277,0),IF(L277&lt;AD277,I277+J277-K277,0),IF(R277&lt;AD277,O277+P277-Q277,0),IF(X277&lt;AD277,U277+V277-W277,0)))))</x:f>
        <x:v>0</x:v>
      </x:c>
      <x:c r="AF277" s="6" t="n">
        <x:f>ROUND(MAX(0,AA277+AB277-AC277-AE277),2)</x:f>
        <x:v>0</x:v>
      </x:c>
      <x:c r="AG277" s="6" t="n">
        <x:f>SUM(H277,N277,T277,Z277,AF277)</x:f>
        <x:v>0</x:v>
      </x:c>
      <x:c r="AH277" s="6" t="n">
        <x:f>SUM(D277,J277,P277,V277,AB277)+AH276</x:f>
        <x:v>1353.9499999999996</x:v>
      </x:c>
      <x:c r="AI277" s="2"/>
    </x:row>
    <x:row r="278" ht="23" customHeight="1">
      <x:c r="B278" s="2" t="n">
        <x:f>270</x:f>
        <x:v>270</x:v>
      </x:c>
      <x:c r="C278" s="6" t="n">
        <x:f>H277</x:f>
        <x:v>0</x:v>
      </x:c>
      <x:c r="D278" s="6" t="n">
        <x:f>ROUND(C278*'Debt strategy'!$D$9/12,2)</x:f>
        <x:v>0</x:v>
      </x:c>
      <x:c r="E278" s="6" t="n">
        <x:f>MIN(C278+D278,'Debt strategy'!$E$9)</x:f>
        <x:v>0</x:v>
      </x:c>
      <x:c r="F278" s="27" t="n">
        <x:f>IF(C278+D278-E278&lt;=0,99,1+SUM(IF(AND(I278+J278-K278&gt;0,OR(I278+J278-K278&lt;C278+D278-E278,AND(I278+J278-K278=C278+D278-E278,1&lt;0))),1,0),IF(AND(O278+P278-Q278&gt;0,OR(O278+P278-Q278&lt;C278+D278-E278,AND(O278+P278-Q278=C278+D278-E278,2&lt;0))),1,0),IF(AND(U278+V278-W278&gt;0,OR(U278+V278-W278&lt;C278+D278-E278,AND(U278+V278-W278=C278+D278-E278,3&lt;0))),1,0),IF(AND(AA278+AB278-AC278&gt;0,OR(AA278+AB278-AC278&lt;C278+D278-E278,AND(AA278+AB278-AC278=C278+D278-E278,4&lt;0))),1,0)))</x:f>
        <x:v>99</x:v>
      </x:c>
      <x:c r="G278" s="6" t="n">
        <x:f>IF('Debt strategy'!$C$16&gt;0,0,MIN(C278+D278-E278,MAX(0,'Debt strategy'!$C$5-SUM(E278,K278,Q278,W278,AC278)-SUM(IF(L278&lt;F278,I278+J278-K278,0),IF(R278&lt;F278,O278+P278-Q278,0),IF(X278&lt;F278,U278+V278-W278,0),IF(AD278&lt;F278,AA278+AB278-AC278,0)))))</x:f>
        <x:v>0</x:v>
      </x:c>
      <x:c r="H278" s="6" t="n">
        <x:f>ROUND(MAX(0,C278+D278-E278-G278),2)</x:f>
        <x:v>0</x:v>
      </x:c>
      <x:c r="I278" s="6" t="n">
        <x:f>N277</x:f>
        <x:v>0</x:v>
      </x:c>
      <x:c r="J278" s="6" t="n">
        <x:f>ROUND(I278*'Debt strategy'!$D$10/12,2)</x:f>
        <x:v>0</x:v>
      </x:c>
      <x:c r="K278" s="6" t="n">
        <x:f>MIN(I278+J278,'Debt strategy'!$E$10)</x:f>
        <x:v>0</x:v>
      </x:c>
      <x:c r="L278" s="27" t="n">
        <x:f>IF(I278+J278-K278&lt;=0,99,1+SUM(IF(AND(C278+D278-E278&gt;0,OR(C278+D278-E278&lt;I278+J278-K278,AND(C278+D278-E278=I278+J278-K278,0&lt;1))),1,0),IF(AND(O278+P278-Q278&gt;0,OR(O278+P278-Q278&lt;I278+J278-K278,AND(O278+P278-Q278=I278+J278-K278,2&lt;1))),1,0),IF(AND(U278+V278-W278&gt;0,OR(U278+V278-W278&lt;I278+J278-K278,AND(U278+V278-W278=I278+J278-K278,3&lt;1))),1,0),IF(AND(AA278+AB278-AC278&gt;0,OR(AA278+AB278-AC278&lt;I278+J278-K278,AND(AA278+AB278-AC278=I278+J278-K278,4&lt;1))),1,0)))</x:f>
        <x:v>99</x:v>
      </x:c>
      <x:c r="M278" s="6" t="n">
        <x:f>IF('Debt strategy'!$C$16&gt;0,0,MIN(I278+J278-K278,MAX(0,'Debt strategy'!$C$5-SUM(E278,K278,Q278,W278,AC278)-SUM(IF(F278&lt;L278,C278+D278-E278,0),IF(R278&lt;L278,O278+P278-Q278,0),IF(X278&lt;L278,U278+V278-W278,0),IF(AD278&lt;L278,AA278+AB278-AC278,0)))))</x:f>
        <x:v>0</x:v>
      </x:c>
      <x:c r="N278" s="6" t="n">
        <x:f>ROUND(MAX(0,I278+J278-K278-M278),2)</x:f>
        <x:v>0</x:v>
      </x:c>
      <x:c r="O278" s="6" t="n">
        <x:f>T277</x:f>
        <x:v>0</x:v>
      </x:c>
      <x:c r="P278" s="6" t="n">
        <x:f>ROUND(O278*'Debt strategy'!$D$11/12,2)</x:f>
        <x:v>0</x:v>
      </x:c>
      <x:c r="Q278" s="6" t="n">
        <x:f>MIN(O278+P278,'Debt strategy'!$E$11)</x:f>
        <x:v>0</x:v>
      </x:c>
      <x:c r="R278" s="27" t="n">
        <x:f>IF(O278+P278-Q278&lt;=0,99,1+SUM(IF(AND(C278+D278-E278&gt;0,OR(C278+D278-E278&lt;O278+P278-Q278,AND(C278+D278-E278=O278+P278-Q278,0&lt;2))),1,0),IF(AND(I278+J278-K278&gt;0,OR(I278+J278-K278&lt;O278+P278-Q278,AND(I278+J278-K278=O278+P278-Q278,1&lt;2))),1,0),IF(AND(U278+V278-W278&gt;0,OR(U278+V278-W278&lt;O278+P278-Q278,AND(U278+V278-W278=O278+P278-Q278,3&lt;2))),1,0),IF(AND(AA278+AB278-AC278&gt;0,OR(AA278+AB278-AC278&lt;O278+P278-Q278,AND(AA278+AB278-AC278=O278+P278-Q278,4&lt;2))),1,0)))</x:f>
        <x:v>99</x:v>
      </x:c>
      <x:c r="S278" s="6" t="n">
        <x:f>IF('Debt strategy'!$C$16&gt;0,0,MIN(O278+P278-Q278,MAX(0,'Debt strategy'!$C$5-SUM(E278,K278,Q278,W278,AC278)-SUM(IF(F278&lt;R278,C278+D278-E278,0),IF(L278&lt;R278,I278+J278-K278,0),IF(X278&lt;R278,U278+V278-W278,0),IF(AD278&lt;R278,AA278+AB278-AC278,0)))))</x:f>
        <x:v>0</x:v>
      </x:c>
      <x:c r="T278" s="6" t="n">
        <x:f>ROUND(MAX(0,O278+P278-Q278-S278),2)</x:f>
        <x:v>0</x:v>
      </x:c>
      <x:c r="U278" s="6" t="n">
        <x:f>Z277</x:f>
        <x:v>0</x:v>
      </x:c>
      <x:c r="V278" s="6" t="n">
        <x:f>ROUND(U278*'Debt strategy'!$D$12/12,2)</x:f>
        <x:v>0</x:v>
      </x:c>
      <x:c r="W278" s="6" t="n">
        <x:f>MIN(U278+V278,'Debt strategy'!$E$12)</x:f>
        <x:v>0</x:v>
      </x:c>
      <x:c r="X278" s="27" t="n">
        <x:f>IF(U278+V278-W278&lt;=0,99,1+SUM(IF(AND(C278+D278-E278&gt;0,OR(C278+D278-E278&lt;U278+V278-W278,AND(C278+D278-E278=U278+V278-W278,0&lt;3))),1,0),IF(AND(I278+J278-K278&gt;0,OR(I278+J278-K278&lt;U278+V278-W278,AND(I278+J278-K278=U278+V278-W278,1&lt;3))),1,0),IF(AND(O278+P278-Q278&gt;0,OR(O278+P278-Q278&lt;U278+V278-W278,AND(O278+P278-Q278=U278+V278-W278,2&lt;3))),1,0),IF(AND(AA278+AB278-AC278&gt;0,OR(AA278+AB278-AC278&lt;U278+V278-W278,AND(AA278+AB278-AC278=U278+V278-W278,4&lt;3))),1,0)))</x:f>
        <x:v>99</x:v>
      </x:c>
      <x:c r="Y278" s="6" t="n">
        <x:f>IF('Debt strategy'!$C$16&gt;0,0,MIN(U278+V278-W278,MAX(0,'Debt strategy'!$C$5-SUM(E278,K278,Q278,W278,AC278)-SUM(IF(F278&lt;X278,C278+D278-E278,0),IF(L278&lt;X278,I278+J278-K278,0),IF(R278&lt;X278,O278+P278-Q278,0),IF(AD278&lt;X278,AA278+AB278-AC278,0)))))</x:f>
        <x:v>0</x:v>
      </x:c>
      <x:c r="Z278" s="6" t="n">
        <x:f>ROUND(MAX(0,U278+V278-W278-Y278),2)</x:f>
        <x:v>0</x:v>
      </x:c>
      <x:c r="AA278" s="6" t="n">
        <x:f>AF277</x:f>
        <x:v>0</x:v>
      </x:c>
      <x:c r="AB278" s="6" t="n">
        <x:f>ROUND(AA278*'Debt strategy'!$D$13/12,2)</x:f>
        <x:v>0</x:v>
      </x:c>
      <x:c r="AC278" s="6" t="n">
        <x:f>MIN(AA278+AB278,'Debt strategy'!$E$13)</x:f>
        <x:v>0</x:v>
      </x:c>
      <x:c r="AD278" s="27" t="n">
        <x:f>IF(AA278+AB278-AC278&lt;=0,99,1+SUM(IF(AND(C278+D278-E278&gt;0,OR(C278+D278-E278&lt;AA278+AB278-AC278,AND(C278+D278-E278=AA278+AB278-AC278,0&lt;4))),1,0),IF(AND(I278+J278-K278&gt;0,OR(I278+J278-K278&lt;AA278+AB278-AC278,AND(I278+J278-K278=AA278+AB278-AC278,1&lt;4))),1,0),IF(AND(O278+P278-Q278&gt;0,OR(O278+P278-Q278&lt;AA278+AB278-AC278,AND(O278+P278-Q278=AA278+AB278-AC278,2&lt;4))),1,0),IF(AND(U278+V278-W278&gt;0,OR(U278+V278-W278&lt;AA278+AB278-AC278,AND(U278+V278-W278=AA278+AB278-AC278,3&lt;4))),1,0)))</x:f>
        <x:v>99</x:v>
      </x:c>
      <x:c r="AE278" s="6" t="n">
        <x:f>IF('Debt strategy'!$C$16&gt;0,0,MIN(AA278+AB278-AC278,MAX(0,'Debt strategy'!$C$5-SUM(E278,K278,Q278,W278,AC278)-SUM(IF(F278&lt;AD278,C278+D278-E278,0),IF(L278&lt;AD278,I278+J278-K278,0),IF(R278&lt;AD278,O278+P278-Q278,0),IF(X278&lt;AD278,U278+V278-W278,0)))))</x:f>
        <x:v>0</x:v>
      </x:c>
      <x:c r="AF278" s="6" t="n">
        <x:f>ROUND(MAX(0,AA278+AB278-AC278-AE278),2)</x:f>
        <x:v>0</x:v>
      </x:c>
      <x:c r="AG278" s="6" t="n">
        <x:f>SUM(H278,N278,T278,Z278,AF278)</x:f>
        <x:v>0</x:v>
      </x:c>
      <x:c r="AH278" s="6" t="n">
        <x:f>SUM(D278,J278,P278,V278,AB278)+AH277</x:f>
        <x:v>1353.9499999999996</x:v>
      </x:c>
      <x:c r="AI278" s="2"/>
    </x:row>
    <x:row r="279" ht="23" customHeight="1">
      <x:c r="B279" s="2" t="n">
        <x:f>271</x:f>
        <x:v>271</x:v>
      </x:c>
      <x:c r="C279" s="6" t="n">
        <x:f>H278</x:f>
        <x:v>0</x:v>
      </x:c>
      <x:c r="D279" s="6" t="n">
        <x:f>ROUND(C279*'Debt strategy'!$D$9/12,2)</x:f>
        <x:v>0</x:v>
      </x:c>
      <x:c r="E279" s="6" t="n">
        <x:f>MIN(C279+D279,'Debt strategy'!$E$9)</x:f>
        <x:v>0</x:v>
      </x:c>
      <x:c r="F279" s="27" t="n">
        <x:f>IF(C279+D279-E279&lt;=0,99,1+SUM(IF(AND(I279+J279-K279&gt;0,OR(I279+J279-K279&lt;C279+D279-E279,AND(I279+J279-K279=C279+D279-E279,1&lt;0))),1,0),IF(AND(O279+P279-Q279&gt;0,OR(O279+P279-Q279&lt;C279+D279-E279,AND(O279+P279-Q279=C279+D279-E279,2&lt;0))),1,0),IF(AND(U279+V279-W279&gt;0,OR(U279+V279-W279&lt;C279+D279-E279,AND(U279+V279-W279=C279+D279-E279,3&lt;0))),1,0),IF(AND(AA279+AB279-AC279&gt;0,OR(AA279+AB279-AC279&lt;C279+D279-E279,AND(AA279+AB279-AC279=C279+D279-E279,4&lt;0))),1,0)))</x:f>
        <x:v>99</x:v>
      </x:c>
      <x:c r="G279" s="6" t="n">
        <x:f>IF('Debt strategy'!$C$16&gt;0,0,MIN(C279+D279-E279,MAX(0,'Debt strategy'!$C$5-SUM(E279,K279,Q279,W279,AC279)-SUM(IF(L279&lt;F279,I279+J279-K279,0),IF(R279&lt;F279,O279+P279-Q279,0),IF(X279&lt;F279,U279+V279-W279,0),IF(AD279&lt;F279,AA279+AB279-AC279,0)))))</x:f>
        <x:v>0</x:v>
      </x:c>
      <x:c r="H279" s="6" t="n">
        <x:f>ROUND(MAX(0,C279+D279-E279-G279),2)</x:f>
        <x:v>0</x:v>
      </x:c>
      <x:c r="I279" s="6" t="n">
        <x:f>N278</x:f>
        <x:v>0</x:v>
      </x:c>
      <x:c r="J279" s="6" t="n">
        <x:f>ROUND(I279*'Debt strategy'!$D$10/12,2)</x:f>
        <x:v>0</x:v>
      </x:c>
      <x:c r="K279" s="6" t="n">
        <x:f>MIN(I279+J279,'Debt strategy'!$E$10)</x:f>
        <x:v>0</x:v>
      </x:c>
      <x:c r="L279" s="27" t="n">
        <x:f>IF(I279+J279-K279&lt;=0,99,1+SUM(IF(AND(C279+D279-E279&gt;0,OR(C279+D279-E279&lt;I279+J279-K279,AND(C279+D279-E279=I279+J279-K279,0&lt;1))),1,0),IF(AND(O279+P279-Q279&gt;0,OR(O279+P279-Q279&lt;I279+J279-K279,AND(O279+P279-Q279=I279+J279-K279,2&lt;1))),1,0),IF(AND(U279+V279-W279&gt;0,OR(U279+V279-W279&lt;I279+J279-K279,AND(U279+V279-W279=I279+J279-K279,3&lt;1))),1,0),IF(AND(AA279+AB279-AC279&gt;0,OR(AA279+AB279-AC279&lt;I279+J279-K279,AND(AA279+AB279-AC279=I279+J279-K279,4&lt;1))),1,0)))</x:f>
        <x:v>99</x:v>
      </x:c>
      <x:c r="M279" s="6" t="n">
        <x:f>IF('Debt strategy'!$C$16&gt;0,0,MIN(I279+J279-K279,MAX(0,'Debt strategy'!$C$5-SUM(E279,K279,Q279,W279,AC279)-SUM(IF(F279&lt;L279,C279+D279-E279,0),IF(R279&lt;L279,O279+P279-Q279,0),IF(X279&lt;L279,U279+V279-W279,0),IF(AD279&lt;L279,AA279+AB279-AC279,0)))))</x:f>
        <x:v>0</x:v>
      </x:c>
      <x:c r="N279" s="6" t="n">
        <x:f>ROUND(MAX(0,I279+J279-K279-M279),2)</x:f>
        <x:v>0</x:v>
      </x:c>
      <x:c r="O279" s="6" t="n">
        <x:f>T278</x:f>
        <x:v>0</x:v>
      </x:c>
      <x:c r="P279" s="6" t="n">
        <x:f>ROUND(O279*'Debt strategy'!$D$11/12,2)</x:f>
        <x:v>0</x:v>
      </x:c>
      <x:c r="Q279" s="6" t="n">
        <x:f>MIN(O279+P279,'Debt strategy'!$E$11)</x:f>
        <x:v>0</x:v>
      </x:c>
      <x:c r="R279" s="27" t="n">
        <x:f>IF(O279+P279-Q279&lt;=0,99,1+SUM(IF(AND(C279+D279-E279&gt;0,OR(C279+D279-E279&lt;O279+P279-Q279,AND(C279+D279-E279=O279+P279-Q279,0&lt;2))),1,0),IF(AND(I279+J279-K279&gt;0,OR(I279+J279-K279&lt;O279+P279-Q279,AND(I279+J279-K279=O279+P279-Q279,1&lt;2))),1,0),IF(AND(U279+V279-W279&gt;0,OR(U279+V279-W279&lt;O279+P279-Q279,AND(U279+V279-W279=O279+P279-Q279,3&lt;2))),1,0),IF(AND(AA279+AB279-AC279&gt;0,OR(AA279+AB279-AC279&lt;O279+P279-Q279,AND(AA279+AB279-AC279=O279+P279-Q279,4&lt;2))),1,0)))</x:f>
        <x:v>99</x:v>
      </x:c>
      <x:c r="S279" s="6" t="n">
        <x:f>IF('Debt strategy'!$C$16&gt;0,0,MIN(O279+P279-Q279,MAX(0,'Debt strategy'!$C$5-SUM(E279,K279,Q279,W279,AC279)-SUM(IF(F279&lt;R279,C279+D279-E279,0),IF(L279&lt;R279,I279+J279-K279,0),IF(X279&lt;R279,U279+V279-W279,0),IF(AD279&lt;R279,AA279+AB279-AC279,0)))))</x:f>
        <x:v>0</x:v>
      </x:c>
      <x:c r="T279" s="6" t="n">
        <x:f>ROUND(MAX(0,O279+P279-Q279-S279),2)</x:f>
        <x:v>0</x:v>
      </x:c>
      <x:c r="U279" s="6" t="n">
        <x:f>Z278</x:f>
        <x:v>0</x:v>
      </x:c>
      <x:c r="V279" s="6" t="n">
        <x:f>ROUND(U279*'Debt strategy'!$D$12/12,2)</x:f>
        <x:v>0</x:v>
      </x:c>
      <x:c r="W279" s="6" t="n">
        <x:f>MIN(U279+V279,'Debt strategy'!$E$12)</x:f>
        <x:v>0</x:v>
      </x:c>
      <x:c r="X279" s="27" t="n">
        <x:f>IF(U279+V279-W279&lt;=0,99,1+SUM(IF(AND(C279+D279-E279&gt;0,OR(C279+D279-E279&lt;U279+V279-W279,AND(C279+D279-E279=U279+V279-W279,0&lt;3))),1,0),IF(AND(I279+J279-K279&gt;0,OR(I279+J279-K279&lt;U279+V279-W279,AND(I279+J279-K279=U279+V279-W279,1&lt;3))),1,0),IF(AND(O279+P279-Q279&gt;0,OR(O279+P279-Q279&lt;U279+V279-W279,AND(O279+P279-Q279=U279+V279-W279,2&lt;3))),1,0),IF(AND(AA279+AB279-AC279&gt;0,OR(AA279+AB279-AC279&lt;U279+V279-W279,AND(AA279+AB279-AC279=U279+V279-W279,4&lt;3))),1,0)))</x:f>
        <x:v>99</x:v>
      </x:c>
      <x:c r="Y279" s="6" t="n">
        <x:f>IF('Debt strategy'!$C$16&gt;0,0,MIN(U279+V279-W279,MAX(0,'Debt strategy'!$C$5-SUM(E279,K279,Q279,W279,AC279)-SUM(IF(F279&lt;X279,C279+D279-E279,0),IF(L279&lt;X279,I279+J279-K279,0),IF(R279&lt;X279,O279+P279-Q279,0),IF(AD279&lt;X279,AA279+AB279-AC279,0)))))</x:f>
        <x:v>0</x:v>
      </x:c>
      <x:c r="Z279" s="6" t="n">
        <x:f>ROUND(MAX(0,U279+V279-W279-Y279),2)</x:f>
        <x:v>0</x:v>
      </x:c>
      <x:c r="AA279" s="6" t="n">
        <x:f>AF278</x:f>
        <x:v>0</x:v>
      </x:c>
      <x:c r="AB279" s="6" t="n">
        <x:f>ROUND(AA279*'Debt strategy'!$D$13/12,2)</x:f>
        <x:v>0</x:v>
      </x:c>
      <x:c r="AC279" s="6" t="n">
        <x:f>MIN(AA279+AB279,'Debt strategy'!$E$13)</x:f>
        <x:v>0</x:v>
      </x:c>
      <x:c r="AD279" s="27" t="n">
        <x:f>IF(AA279+AB279-AC279&lt;=0,99,1+SUM(IF(AND(C279+D279-E279&gt;0,OR(C279+D279-E279&lt;AA279+AB279-AC279,AND(C279+D279-E279=AA279+AB279-AC279,0&lt;4))),1,0),IF(AND(I279+J279-K279&gt;0,OR(I279+J279-K279&lt;AA279+AB279-AC279,AND(I279+J279-K279=AA279+AB279-AC279,1&lt;4))),1,0),IF(AND(O279+P279-Q279&gt;0,OR(O279+P279-Q279&lt;AA279+AB279-AC279,AND(O279+P279-Q279=AA279+AB279-AC279,2&lt;4))),1,0),IF(AND(U279+V279-W279&gt;0,OR(U279+V279-W279&lt;AA279+AB279-AC279,AND(U279+V279-W279=AA279+AB279-AC279,3&lt;4))),1,0)))</x:f>
        <x:v>99</x:v>
      </x:c>
      <x:c r="AE279" s="6" t="n">
        <x:f>IF('Debt strategy'!$C$16&gt;0,0,MIN(AA279+AB279-AC279,MAX(0,'Debt strategy'!$C$5-SUM(E279,K279,Q279,W279,AC279)-SUM(IF(F279&lt;AD279,C279+D279-E279,0),IF(L279&lt;AD279,I279+J279-K279,0),IF(R279&lt;AD279,O279+P279-Q279,0),IF(X279&lt;AD279,U279+V279-W279,0)))))</x:f>
        <x:v>0</x:v>
      </x:c>
      <x:c r="AF279" s="6" t="n">
        <x:f>ROUND(MAX(0,AA279+AB279-AC279-AE279),2)</x:f>
        <x:v>0</x:v>
      </x:c>
      <x:c r="AG279" s="6" t="n">
        <x:f>SUM(H279,N279,T279,Z279,AF279)</x:f>
        <x:v>0</x:v>
      </x:c>
      <x:c r="AH279" s="6" t="n">
        <x:f>SUM(D279,J279,P279,V279,AB279)+AH278</x:f>
        <x:v>1353.9499999999996</x:v>
      </x:c>
      <x:c r="AI279" s="2"/>
    </x:row>
    <x:row r="280" ht="23" customHeight="1">
      <x:c r="B280" s="2" t="n">
        <x:f>272</x:f>
        <x:v>272</x:v>
      </x:c>
      <x:c r="C280" s="6" t="n">
        <x:f>H279</x:f>
        <x:v>0</x:v>
      </x:c>
      <x:c r="D280" s="6" t="n">
        <x:f>ROUND(C280*'Debt strategy'!$D$9/12,2)</x:f>
        <x:v>0</x:v>
      </x:c>
      <x:c r="E280" s="6" t="n">
        <x:f>MIN(C280+D280,'Debt strategy'!$E$9)</x:f>
        <x:v>0</x:v>
      </x:c>
      <x:c r="F280" s="27" t="n">
        <x:f>IF(C280+D280-E280&lt;=0,99,1+SUM(IF(AND(I280+J280-K280&gt;0,OR(I280+J280-K280&lt;C280+D280-E280,AND(I280+J280-K280=C280+D280-E280,1&lt;0))),1,0),IF(AND(O280+P280-Q280&gt;0,OR(O280+P280-Q280&lt;C280+D280-E280,AND(O280+P280-Q280=C280+D280-E280,2&lt;0))),1,0),IF(AND(U280+V280-W280&gt;0,OR(U280+V280-W280&lt;C280+D280-E280,AND(U280+V280-W280=C280+D280-E280,3&lt;0))),1,0),IF(AND(AA280+AB280-AC280&gt;0,OR(AA280+AB280-AC280&lt;C280+D280-E280,AND(AA280+AB280-AC280=C280+D280-E280,4&lt;0))),1,0)))</x:f>
        <x:v>99</x:v>
      </x:c>
      <x:c r="G280" s="6" t="n">
        <x:f>IF('Debt strategy'!$C$16&gt;0,0,MIN(C280+D280-E280,MAX(0,'Debt strategy'!$C$5-SUM(E280,K280,Q280,W280,AC280)-SUM(IF(L280&lt;F280,I280+J280-K280,0),IF(R280&lt;F280,O280+P280-Q280,0),IF(X280&lt;F280,U280+V280-W280,0),IF(AD280&lt;F280,AA280+AB280-AC280,0)))))</x:f>
        <x:v>0</x:v>
      </x:c>
      <x:c r="H280" s="6" t="n">
        <x:f>ROUND(MAX(0,C280+D280-E280-G280),2)</x:f>
        <x:v>0</x:v>
      </x:c>
      <x:c r="I280" s="6" t="n">
        <x:f>N279</x:f>
        <x:v>0</x:v>
      </x:c>
      <x:c r="J280" s="6" t="n">
        <x:f>ROUND(I280*'Debt strategy'!$D$10/12,2)</x:f>
        <x:v>0</x:v>
      </x:c>
      <x:c r="K280" s="6" t="n">
        <x:f>MIN(I280+J280,'Debt strategy'!$E$10)</x:f>
        <x:v>0</x:v>
      </x:c>
      <x:c r="L280" s="27" t="n">
        <x:f>IF(I280+J280-K280&lt;=0,99,1+SUM(IF(AND(C280+D280-E280&gt;0,OR(C280+D280-E280&lt;I280+J280-K280,AND(C280+D280-E280=I280+J280-K280,0&lt;1))),1,0),IF(AND(O280+P280-Q280&gt;0,OR(O280+P280-Q280&lt;I280+J280-K280,AND(O280+P280-Q280=I280+J280-K280,2&lt;1))),1,0),IF(AND(U280+V280-W280&gt;0,OR(U280+V280-W280&lt;I280+J280-K280,AND(U280+V280-W280=I280+J280-K280,3&lt;1))),1,0),IF(AND(AA280+AB280-AC280&gt;0,OR(AA280+AB280-AC280&lt;I280+J280-K280,AND(AA280+AB280-AC280=I280+J280-K280,4&lt;1))),1,0)))</x:f>
        <x:v>99</x:v>
      </x:c>
      <x:c r="M280" s="6" t="n">
        <x:f>IF('Debt strategy'!$C$16&gt;0,0,MIN(I280+J280-K280,MAX(0,'Debt strategy'!$C$5-SUM(E280,K280,Q280,W280,AC280)-SUM(IF(F280&lt;L280,C280+D280-E280,0),IF(R280&lt;L280,O280+P280-Q280,0),IF(X280&lt;L280,U280+V280-W280,0),IF(AD280&lt;L280,AA280+AB280-AC280,0)))))</x:f>
        <x:v>0</x:v>
      </x:c>
      <x:c r="N280" s="6" t="n">
        <x:f>ROUND(MAX(0,I280+J280-K280-M280),2)</x:f>
        <x:v>0</x:v>
      </x:c>
      <x:c r="O280" s="6" t="n">
        <x:f>T279</x:f>
        <x:v>0</x:v>
      </x:c>
      <x:c r="P280" s="6" t="n">
        <x:f>ROUND(O280*'Debt strategy'!$D$11/12,2)</x:f>
        <x:v>0</x:v>
      </x:c>
      <x:c r="Q280" s="6" t="n">
        <x:f>MIN(O280+P280,'Debt strategy'!$E$11)</x:f>
        <x:v>0</x:v>
      </x:c>
      <x:c r="R280" s="27" t="n">
        <x:f>IF(O280+P280-Q280&lt;=0,99,1+SUM(IF(AND(C280+D280-E280&gt;0,OR(C280+D280-E280&lt;O280+P280-Q280,AND(C280+D280-E280=O280+P280-Q280,0&lt;2))),1,0),IF(AND(I280+J280-K280&gt;0,OR(I280+J280-K280&lt;O280+P280-Q280,AND(I280+J280-K280=O280+P280-Q280,1&lt;2))),1,0),IF(AND(U280+V280-W280&gt;0,OR(U280+V280-W280&lt;O280+P280-Q280,AND(U280+V280-W280=O280+P280-Q280,3&lt;2))),1,0),IF(AND(AA280+AB280-AC280&gt;0,OR(AA280+AB280-AC280&lt;O280+P280-Q280,AND(AA280+AB280-AC280=O280+P280-Q280,4&lt;2))),1,0)))</x:f>
        <x:v>99</x:v>
      </x:c>
      <x:c r="S280" s="6" t="n">
        <x:f>IF('Debt strategy'!$C$16&gt;0,0,MIN(O280+P280-Q280,MAX(0,'Debt strategy'!$C$5-SUM(E280,K280,Q280,W280,AC280)-SUM(IF(F280&lt;R280,C280+D280-E280,0),IF(L280&lt;R280,I280+J280-K280,0),IF(X280&lt;R280,U280+V280-W280,0),IF(AD280&lt;R280,AA280+AB280-AC280,0)))))</x:f>
        <x:v>0</x:v>
      </x:c>
      <x:c r="T280" s="6" t="n">
        <x:f>ROUND(MAX(0,O280+P280-Q280-S280),2)</x:f>
        <x:v>0</x:v>
      </x:c>
      <x:c r="U280" s="6" t="n">
        <x:f>Z279</x:f>
        <x:v>0</x:v>
      </x:c>
      <x:c r="V280" s="6" t="n">
        <x:f>ROUND(U280*'Debt strategy'!$D$12/12,2)</x:f>
        <x:v>0</x:v>
      </x:c>
      <x:c r="W280" s="6" t="n">
        <x:f>MIN(U280+V280,'Debt strategy'!$E$12)</x:f>
        <x:v>0</x:v>
      </x:c>
      <x:c r="X280" s="27" t="n">
        <x:f>IF(U280+V280-W280&lt;=0,99,1+SUM(IF(AND(C280+D280-E280&gt;0,OR(C280+D280-E280&lt;U280+V280-W280,AND(C280+D280-E280=U280+V280-W280,0&lt;3))),1,0),IF(AND(I280+J280-K280&gt;0,OR(I280+J280-K280&lt;U280+V280-W280,AND(I280+J280-K280=U280+V280-W280,1&lt;3))),1,0),IF(AND(O280+P280-Q280&gt;0,OR(O280+P280-Q280&lt;U280+V280-W280,AND(O280+P280-Q280=U280+V280-W280,2&lt;3))),1,0),IF(AND(AA280+AB280-AC280&gt;0,OR(AA280+AB280-AC280&lt;U280+V280-W280,AND(AA280+AB280-AC280=U280+V280-W280,4&lt;3))),1,0)))</x:f>
        <x:v>99</x:v>
      </x:c>
      <x:c r="Y280" s="6" t="n">
        <x:f>IF('Debt strategy'!$C$16&gt;0,0,MIN(U280+V280-W280,MAX(0,'Debt strategy'!$C$5-SUM(E280,K280,Q280,W280,AC280)-SUM(IF(F280&lt;X280,C280+D280-E280,0),IF(L280&lt;X280,I280+J280-K280,0),IF(R280&lt;X280,O280+P280-Q280,0),IF(AD280&lt;X280,AA280+AB280-AC280,0)))))</x:f>
        <x:v>0</x:v>
      </x:c>
      <x:c r="Z280" s="6" t="n">
        <x:f>ROUND(MAX(0,U280+V280-W280-Y280),2)</x:f>
        <x:v>0</x:v>
      </x:c>
      <x:c r="AA280" s="6" t="n">
        <x:f>AF279</x:f>
        <x:v>0</x:v>
      </x:c>
      <x:c r="AB280" s="6" t="n">
        <x:f>ROUND(AA280*'Debt strategy'!$D$13/12,2)</x:f>
        <x:v>0</x:v>
      </x:c>
      <x:c r="AC280" s="6" t="n">
        <x:f>MIN(AA280+AB280,'Debt strategy'!$E$13)</x:f>
        <x:v>0</x:v>
      </x:c>
      <x:c r="AD280" s="27" t="n">
        <x:f>IF(AA280+AB280-AC280&lt;=0,99,1+SUM(IF(AND(C280+D280-E280&gt;0,OR(C280+D280-E280&lt;AA280+AB280-AC280,AND(C280+D280-E280=AA280+AB280-AC280,0&lt;4))),1,0),IF(AND(I280+J280-K280&gt;0,OR(I280+J280-K280&lt;AA280+AB280-AC280,AND(I280+J280-K280=AA280+AB280-AC280,1&lt;4))),1,0),IF(AND(O280+P280-Q280&gt;0,OR(O280+P280-Q280&lt;AA280+AB280-AC280,AND(O280+P280-Q280=AA280+AB280-AC280,2&lt;4))),1,0),IF(AND(U280+V280-W280&gt;0,OR(U280+V280-W280&lt;AA280+AB280-AC280,AND(U280+V280-W280=AA280+AB280-AC280,3&lt;4))),1,0)))</x:f>
        <x:v>99</x:v>
      </x:c>
      <x:c r="AE280" s="6" t="n">
        <x:f>IF('Debt strategy'!$C$16&gt;0,0,MIN(AA280+AB280-AC280,MAX(0,'Debt strategy'!$C$5-SUM(E280,K280,Q280,W280,AC280)-SUM(IF(F280&lt;AD280,C280+D280-E280,0),IF(L280&lt;AD280,I280+J280-K280,0),IF(R280&lt;AD280,O280+P280-Q280,0),IF(X280&lt;AD280,U280+V280-W280,0)))))</x:f>
        <x:v>0</x:v>
      </x:c>
      <x:c r="AF280" s="6" t="n">
        <x:f>ROUND(MAX(0,AA280+AB280-AC280-AE280),2)</x:f>
        <x:v>0</x:v>
      </x:c>
      <x:c r="AG280" s="6" t="n">
        <x:f>SUM(H280,N280,T280,Z280,AF280)</x:f>
        <x:v>0</x:v>
      </x:c>
      <x:c r="AH280" s="6" t="n">
        <x:f>SUM(D280,J280,P280,V280,AB280)+AH279</x:f>
        <x:v>1353.9499999999996</x:v>
      </x:c>
      <x:c r="AI280" s="2"/>
    </x:row>
    <x:row r="281" ht="23" customHeight="1">
      <x:c r="B281" s="2" t="n">
        <x:f>273</x:f>
        <x:v>273</x:v>
      </x:c>
      <x:c r="C281" s="6" t="n">
        <x:f>H280</x:f>
        <x:v>0</x:v>
      </x:c>
      <x:c r="D281" s="6" t="n">
        <x:f>ROUND(C281*'Debt strategy'!$D$9/12,2)</x:f>
        <x:v>0</x:v>
      </x:c>
      <x:c r="E281" s="6" t="n">
        <x:f>MIN(C281+D281,'Debt strategy'!$E$9)</x:f>
        <x:v>0</x:v>
      </x:c>
      <x:c r="F281" s="27" t="n">
        <x:f>IF(C281+D281-E281&lt;=0,99,1+SUM(IF(AND(I281+J281-K281&gt;0,OR(I281+J281-K281&lt;C281+D281-E281,AND(I281+J281-K281=C281+D281-E281,1&lt;0))),1,0),IF(AND(O281+P281-Q281&gt;0,OR(O281+P281-Q281&lt;C281+D281-E281,AND(O281+P281-Q281=C281+D281-E281,2&lt;0))),1,0),IF(AND(U281+V281-W281&gt;0,OR(U281+V281-W281&lt;C281+D281-E281,AND(U281+V281-W281=C281+D281-E281,3&lt;0))),1,0),IF(AND(AA281+AB281-AC281&gt;0,OR(AA281+AB281-AC281&lt;C281+D281-E281,AND(AA281+AB281-AC281=C281+D281-E281,4&lt;0))),1,0)))</x:f>
        <x:v>99</x:v>
      </x:c>
      <x:c r="G281" s="6" t="n">
        <x:f>IF('Debt strategy'!$C$16&gt;0,0,MIN(C281+D281-E281,MAX(0,'Debt strategy'!$C$5-SUM(E281,K281,Q281,W281,AC281)-SUM(IF(L281&lt;F281,I281+J281-K281,0),IF(R281&lt;F281,O281+P281-Q281,0),IF(X281&lt;F281,U281+V281-W281,0),IF(AD281&lt;F281,AA281+AB281-AC281,0)))))</x:f>
        <x:v>0</x:v>
      </x:c>
      <x:c r="H281" s="6" t="n">
        <x:f>ROUND(MAX(0,C281+D281-E281-G281),2)</x:f>
        <x:v>0</x:v>
      </x:c>
      <x:c r="I281" s="6" t="n">
        <x:f>N280</x:f>
        <x:v>0</x:v>
      </x:c>
      <x:c r="J281" s="6" t="n">
        <x:f>ROUND(I281*'Debt strategy'!$D$10/12,2)</x:f>
        <x:v>0</x:v>
      </x:c>
      <x:c r="K281" s="6" t="n">
        <x:f>MIN(I281+J281,'Debt strategy'!$E$10)</x:f>
        <x:v>0</x:v>
      </x:c>
      <x:c r="L281" s="27" t="n">
        <x:f>IF(I281+J281-K281&lt;=0,99,1+SUM(IF(AND(C281+D281-E281&gt;0,OR(C281+D281-E281&lt;I281+J281-K281,AND(C281+D281-E281=I281+J281-K281,0&lt;1))),1,0),IF(AND(O281+P281-Q281&gt;0,OR(O281+P281-Q281&lt;I281+J281-K281,AND(O281+P281-Q281=I281+J281-K281,2&lt;1))),1,0),IF(AND(U281+V281-W281&gt;0,OR(U281+V281-W281&lt;I281+J281-K281,AND(U281+V281-W281=I281+J281-K281,3&lt;1))),1,0),IF(AND(AA281+AB281-AC281&gt;0,OR(AA281+AB281-AC281&lt;I281+J281-K281,AND(AA281+AB281-AC281=I281+J281-K281,4&lt;1))),1,0)))</x:f>
        <x:v>99</x:v>
      </x:c>
      <x:c r="M281" s="6" t="n">
        <x:f>IF('Debt strategy'!$C$16&gt;0,0,MIN(I281+J281-K281,MAX(0,'Debt strategy'!$C$5-SUM(E281,K281,Q281,W281,AC281)-SUM(IF(F281&lt;L281,C281+D281-E281,0),IF(R281&lt;L281,O281+P281-Q281,0),IF(X281&lt;L281,U281+V281-W281,0),IF(AD281&lt;L281,AA281+AB281-AC281,0)))))</x:f>
        <x:v>0</x:v>
      </x:c>
      <x:c r="N281" s="6" t="n">
        <x:f>ROUND(MAX(0,I281+J281-K281-M281),2)</x:f>
        <x:v>0</x:v>
      </x:c>
      <x:c r="O281" s="6" t="n">
        <x:f>T280</x:f>
        <x:v>0</x:v>
      </x:c>
      <x:c r="P281" s="6" t="n">
        <x:f>ROUND(O281*'Debt strategy'!$D$11/12,2)</x:f>
        <x:v>0</x:v>
      </x:c>
      <x:c r="Q281" s="6" t="n">
        <x:f>MIN(O281+P281,'Debt strategy'!$E$11)</x:f>
        <x:v>0</x:v>
      </x:c>
      <x:c r="R281" s="27" t="n">
        <x:f>IF(O281+P281-Q281&lt;=0,99,1+SUM(IF(AND(C281+D281-E281&gt;0,OR(C281+D281-E281&lt;O281+P281-Q281,AND(C281+D281-E281=O281+P281-Q281,0&lt;2))),1,0),IF(AND(I281+J281-K281&gt;0,OR(I281+J281-K281&lt;O281+P281-Q281,AND(I281+J281-K281=O281+P281-Q281,1&lt;2))),1,0),IF(AND(U281+V281-W281&gt;0,OR(U281+V281-W281&lt;O281+P281-Q281,AND(U281+V281-W281=O281+P281-Q281,3&lt;2))),1,0),IF(AND(AA281+AB281-AC281&gt;0,OR(AA281+AB281-AC281&lt;O281+P281-Q281,AND(AA281+AB281-AC281=O281+P281-Q281,4&lt;2))),1,0)))</x:f>
        <x:v>99</x:v>
      </x:c>
      <x:c r="S281" s="6" t="n">
        <x:f>IF('Debt strategy'!$C$16&gt;0,0,MIN(O281+P281-Q281,MAX(0,'Debt strategy'!$C$5-SUM(E281,K281,Q281,W281,AC281)-SUM(IF(F281&lt;R281,C281+D281-E281,0),IF(L281&lt;R281,I281+J281-K281,0),IF(X281&lt;R281,U281+V281-W281,0),IF(AD281&lt;R281,AA281+AB281-AC281,0)))))</x:f>
        <x:v>0</x:v>
      </x:c>
      <x:c r="T281" s="6" t="n">
        <x:f>ROUND(MAX(0,O281+P281-Q281-S281),2)</x:f>
        <x:v>0</x:v>
      </x:c>
      <x:c r="U281" s="6" t="n">
        <x:f>Z280</x:f>
        <x:v>0</x:v>
      </x:c>
      <x:c r="V281" s="6" t="n">
        <x:f>ROUND(U281*'Debt strategy'!$D$12/12,2)</x:f>
        <x:v>0</x:v>
      </x:c>
      <x:c r="W281" s="6" t="n">
        <x:f>MIN(U281+V281,'Debt strategy'!$E$12)</x:f>
        <x:v>0</x:v>
      </x:c>
      <x:c r="X281" s="27" t="n">
        <x:f>IF(U281+V281-W281&lt;=0,99,1+SUM(IF(AND(C281+D281-E281&gt;0,OR(C281+D281-E281&lt;U281+V281-W281,AND(C281+D281-E281=U281+V281-W281,0&lt;3))),1,0),IF(AND(I281+J281-K281&gt;0,OR(I281+J281-K281&lt;U281+V281-W281,AND(I281+J281-K281=U281+V281-W281,1&lt;3))),1,0),IF(AND(O281+P281-Q281&gt;0,OR(O281+P281-Q281&lt;U281+V281-W281,AND(O281+P281-Q281=U281+V281-W281,2&lt;3))),1,0),IF(AND(AA281+AB281-AC281&gt;0,OR(AA281+AB281-AC281&lt;U281+V281-W281,AND(AA281+AB281-AC281=U281+V281-W281,4&lt;3))),1,0)))</x:f>
        <x:v>99</x:v>
      </x:c>
      <x:c r="Y281" s="6" t="n">
        <x:f>IF('Debt strategy'!$C$16&gt;0,0,MIN(U281+V281-W281,MAX(0,'Debt strategy'!$C$5-SUM(E281,K281,Q281,W281,AC281)-SUM(IF(F281&lt;X281,C281+D281-E281,0),IF(L281&lt;X281,I281+J281-K281,0),IF(R281&lt;X281,O281+P281-Q281,0),IF(AD281&lt;X281,AA281+AB281-AC281,0)))))</x:f>
        <x:v>0</x:v>
      </x:c>
      <x:c r="Z281" s="6" t="n">
        <x:f>ROUND(MAX(0,U281+V281-W281-Y281),2)</x:f>
        <x:v>0</x:v>
      </x:c>
      <x:c r="AA281" s="6" t="n">
        <x:f>AF280</x:f>
        <x:v>0</x:v>
      </x:c>
      <x:c r="AB281" s="6" t="n">
        <x:f>ROUND(AA281*'Debt strategy'!$D$13/12,2)</x:f>
        <x:v>0</x:v>
      </x:c>
      <x:c r="AC281" s="6" t="n">
        <x:f>MIN(AA281+AB281,'Debt strategy'!$E$13)</x:f>
        <x:v>0</x:v>
      </x:c>
      <x:c r="AD281" s="27" t="n">
        <x:f>IF(AA281+AB281-AC281&lt;=0,99,1+SUM(IF(AND(C281+D281-E281&gt;0,OR(C281+D281-E281&lt;AA281+AB281-AC281,AND(C281+D281-E281=AA281+AB281-AC281,0&lt;4))),1,0),IF(AND(I281+J281-K281&gt;0,OR(I281+J281-K281&lt;AA281+AB281-AC281,AND(I281+J281-K281=AA281+AB281-AC281,1&lt;4))),1,0),IF(AND(O281+P281-Q281&gt;0,OR(O281+P281-Q281&lt;AA281+AB281-AC281,AND(O281+P281-Q281=AA281+AB281-AC281,2&lt;4))),1,0),IF(AND(U281+V281-W281&gt;0,OR(U281+V281-W281&lt;AA281+AB281-AC281,AND(U281+V281-W281=AA281+AB281-AC281,3&lt;4))),1,0)))</x:f>
        <x:v>99</x:v>
      </x:c>
      <x:c r="AE281" s="6" t="n">
        <x:f>IF('Debt strategy'!$C$16&gt;0,0,MIN(AA281+AB281-AC281,MAX(0,'Debt strategy'!$C$5-SUM(E281,K281,Q281,W281,AC281)-SUM(IF(F281&lt;AD281,C281+D281-E281,0),IF(L281&lt;AD281,I281+J281-K281,0),IF(R281&lt;AD281,O281+P281-Q281,0),IF(X281&lt;AD281,U281+V281-W281,0)))))</x:f>
        <x:v>0</x:v>
      </x:c>
      <x:c r="AF281" s="6" t="n">
        <x:f>ROUND(MAX(0,AA281+AB281-AC281-AE281),2)</x:f>
        <x:v>0</x:v>
      </x:c>
      <x:c r="AG281" s="6" t="n">
        <x:f>SUM(H281,N281,T281,Z281,AF281)</x:f>
        <x:v>0</x:v>
      </x:c>
      <x:c r="AH281" s="6" t="n">
        <x:f>SUM(D281,J281,P281,V281,AB281)+AH280</x:f>
        <x:v>1353.9499999999996</x:v>
      </x:c>
      <x:c r="AI281" s="2"/>
    </x:row>
    <x:row r="282" ht="23" customHeight="1">
      <x:c r="B282" s="2" t="n">
        <x:f>274</x:f>
        <x:v>274</x:v>
      </x:c>
      <x:c r="C282" s="6" t="n">
        <x:f>H281</x:f>
        <x:v>0</x:v>
      </x:c>
      <x:c r="D282" s="6" t="n">
        <x:f>ROUND(C282*'Debt strategy'!$D$9/12,2)</x:f>
        <x:v>0</x:v>
      </x:c>
      <x:c r="E282" s="6" t="n">
        <x:f>MIN(C282+D282,'Debt strategy'!$E$9)</x:f>
        <x:v>0</x:v>
      </x:c>
      <x:c r="F282" s="27" t="n">
        <x:f>IF(C282+D282-E282&lt;=0,99,1+SUM(IF(AND(I282+J282-K282&gt;0,OR(I282+J282-K282&lt;C282+D282-E282,AND(I282+J282-K282=C282+D282-E282,1&lt;0))),1,0),IF(AND(O282+P282-Q282&gt;0,OR(O282+P282-Q282&lt;C282+D282-E282,AND(O282+P282-Q282=C282+D282-E282,2&lt;0))),1,0),IF(AND(U282+V282-W282&gt;0,OR(U282+V282-W282&lt;C282+D282-E282,AND(U282+V282-W282=C282+D282-E282,3&lt;0))),1,0),IF(AND(AA282+AB282-AC282&gt;0,OR(AA282+AB282-AC282&lt;C282+D282-E282,AND(AA282+AB282-AC282=C282+D282-E282,4&lt;0))),1,0)))</x:f>
        <x:v>99</x:v>
      </x:c>
      <x:c r="G282" s="6" t="n">
        <x:f>IF('Debt strategy'!$C$16&gt;0,0,MIN(C282+D282-E282,MAX(0,'Debt strategy'!$C$5-SUM(E282,K282,Q282,W282,AC282)-SUM(IF(L282&lt;F282,I282+J282-K282,0),IF(R282&lt;F282,O282+P282-Q282,0),IF(X282&lt;F282,U282+V282-W282,0),IF(AD282&lt;F282,AA282+AB282-AC282,0)))))</x:f>
        <x:v>0</x:v>
      </x:c>
      <x:c r="H282" s="6" t="n">
        <x:f>ROUND(MAX(0,C282+D282-E282-G282),2)</x:f>
        <x:v>0</x:v>
      </x:c>
      <x:c r="I282" s="6" t="n">
        <x:f>N281</x:f>
        <x:v>0</x:v>
      </x:c>
      <x:c r="J282" s="6" t="n">
        <x:f>ROUND(I282*'Debt strategy'!$D$10/12,2)</x:f>
        <x:v>0</x:v>
      </x:c>
      <x:c r="K282" s="6" t="n">
        <x:f>MIN(I282+J282,'Debt strategy'!$E$10)</x:f>
        <x:v>0</x:v>
      </x:c>
      <x:c r="L282" s="27" t="n">
        <x:f>IF(I282+J282-K282&lt;=0,99,1+SUM(IF(AND(C282+D282-E282&gt;0,OR(C282+D282-E282&lt;I282+J282-K282,AND(C282+D282-E282=I282+J282-K282,0&lt;1))),1,0),IF(AND(O282+P282-Q282&gt;0,OR(O282+P282-Q282&lt;I282+J282-K282,AND(O282+P282-Q282=I282+J282-K282,2&lt;1))),1,0),IF(AND(U282+V282-W282&gt;0,OR(U282+V282-W282&lt;I282+J282-K282,AND(U282+V282-W282=I282+J282-K282,3&lt;1))),1,0),IF(AND(AA282+AB282-AC282&gt;0,OR(AA282+AB282-AC282&lt;I282+J282-K282,AND(AA282+AB282-AC282=I282+J282-K282,4&lt;1))),1,0)))</x:f>
        <x:v>99</x:v>
      </x:c>
      <x:c r="M282" s="6" t="n">
        <x:f>IF('Debt strategy'!$C$16&gt;0,0,MIN(I282+J282-K282,MAX(0,'Debt strategy'!$C$5-SUM(E282,K282,Q282,W282,AC282)-SUM(IF(F282&lt;L282,C282+D282-E282,0),IF(R282&lt;L282,O282+P282-Q282,0),IF(X282&lt;L282,U282+V282-W282,0),IF(AD282&lt;L282,AA282+AB282-AC282,0)))))</x:f>
        <x:v>0</x:v>
      </x:c>
      <x:c r="N282" s="6" t="n">
        <x:f>ROUND(MAX(0,I282+J282-K282-M282),2)</x:f>
        <x:v>0</x:v>
      </x:c>
      <x:c r="O282" s="6" t="n">
        <x:f>T281</x:f>
        <x:v>0</x:v>
      </x:c>
      <x:c r="P282" s="6" t="n">
        <x:f>ROUND(O282*'Debt strategy'!$D$11/12,2)</x:f>
        <x:v>0</x:v>
      </x:c>
      <x:c r="Q282" s="6" t="n">
        <x:f>MIN(O282+P282,'Debt strategy'!$E$11)</x:f>
        <x:v>0</x:v>
      </x:c>
      <x:c r="R282" s="27" t="n">
        <x:f>IF(O282+P282-Q282&lt;=0,99,1+SUM(IF(AND(C282+D282-E282&gt;0,OR(C282+D282-E282&lt;O282+P282-Q282,AND(C282+D282-E282=O282+P282-Q282,0&lt;2))),1,0),IF(AND(I282+J282-K282&gt;0,OR(I282+J282-K282&lt;O282+P282-Q282,AND(I282+J282-K282=O282+P282-Q282,1&lt;2))),1,0),IF(AND(U282+V282-W282&gt;0,OR(U282+V282-W282&lt;O282+P282-Q282,AND(U282+V282-W282=O282+P282-Q282,3&lt;2))),1,0),IF(AND(AA282+AB282-AC282&gt;0,OR(AA282+AB282-AC282&lt;O282+P282-Q282,AND(AA282+AB282-AC282=O282+P282-Q282,4&lt;2))),1,0)))</x:f>
        <x:v>99</x:v>
      </x:c>
      <x:c r="S282" s="6" t="n">
        <x:f>IF('Debt strategy'!$C$16&gt;0,0,MIN(O282+P282-Q282,MAX(0,'Debt strategy'!$C$5-SUM(E282,K282,Q282,W282,AC282)-SUM(IF(F282&lt;R282,C282+D282-E282,0),IF(L282&lt;R282,I282+J282-K282,0),IF(X282&lt;R282,U282+V282-W282,0),IF(AD282&lt;R282,AA282+AB282-AC282,0)))))</x:f>
        <x:v>0</x:v>
      </x:c>
      <x:c r="T282" s="6" t="n">
        <x:f>ROUND(MAX(0,O282+P282-Q282-S282),2)</x:f>
        <x:v>0</x:v>
      </x:c>
      <x:c r="U282" s="6" t="n">
        <x:f>Z281</x:f>
        <x:v>0</x:v>
      </x:c>
      <x:c r="V282" s="6" t="n">
        <x:f>ROUND(U282*'Debt strategy'!$D$12/12,2)</x:f>
        <x:v>0</x:v>
      </x:c>
      <x:c r="W282" s="6" t="n">
        <x:f>MIN(U282+V282,'Debt strategy'!$E$12)</x:f>
        <x:v>0</x:v>
      </x:c>
      <x:c r="X282" s="27" t="n">
        <x:f>IF(U282+V282-W282&lt;=0,99,1+SUM(IF(AND(C282+D282-E282&gt;0,OR(C282+D282-E282&lt;U282+V282-W282,AND(C282+D282-E282=U282+V282-W282,0&lt;3))),1,0),IF(AND(I282+J282-K282&gt;0,OR(I282+J282-K282&lt;U282+V282-W282,AND(I282+J282-K282=U282+V282-W282,1&lt;3))),1,0),IF(AND(O282+P282-Q282&gt;0,OR(O282+P282-Q282&lt;U282+V282-W282,AND(O282+P282-Q282=U282+V282-W282,2&lt;3))),1,0),IF(AND(AA282+AB282-AC282&gt;0,OR(AA282+AB282-AC282&lt;U282+V282-W282,AND(AA282+AB282-AC282=U282+V282-W282,4&lt;3))),1,0)))</x:f>
        <x:v>99</x:v>
      </x:c>
      <x:c r="Y282" s="6" t="n">
        <x:f>IF('Debt strategy'!$C$16&gt;0,0,MIN(U282+V282-W282,MAX(0,'Debt strategy'!$C$5-SUM(E282,K282,Q282,W282,AC282)-SUM(IF(F282&lt;X282,C282+D282-E282,0),IF(L282&lt;X282,I282+J282-K282,0),IF(R282&lt;X282,O282+P282-Q282,0),IF(AD282&lt;X282,AA282+AB282-AC282,0)))))</x:f>
        <x:v>0</x:v>
      </x:c>
      <x:c r="Z282" s="6" t="n">
        <x:f>ROUND(MAX(0,U282+V282-W282-Y282),2)</x:f>
        <x:v>0</x:v>
      </x:c>
      <x:c r="AA282" s="6" t="n">
        <x:f>AF281</x:f>
        <x:v>0</x:v>
      </x:c>
      <x:c r="AB282" s="6" t="n">
        <x:f>ROUND(AA282*'Debt strategy'!$D$13/12,2)</x:f>
        <x:v>0</x:v>
      </x:c>
      <x:c r="AC282" s="6" t="n">
        <x:f>MIN(AA282+AB282,'Debt strategy'!$E$13)</x:f>
        <x:v>0</x:v>
      </x:c>
      <x:c r="AD282" s="27" t="n">
        <x:f>IF(AA282+AB282-AC282&lt;=0,99,1+SUM(IF(AND(C282+D282-E282&gt;0,OR(C282+D282-E282&lt;AA282+AB282-AC282,AND(C282+D282-E282=AA282+AB282-AC282,0&lt;4))),1,0),IF(AND(I282+J282-K282&gt;0,OR(I282+J282-K282&lt;AA282+AB282-AC282,AND(I282+J282-K282=AA282+AB282-AC282,1&lt;4))),1,0),IF(AND(O282+P282-Q282&gt;0,OR(O282+P282-Q282&lt;AA282+AB282-AC282,AND(O282+P282-Q282=AA282+AB282-AC282,2&lt;4))),1,0),IF(AND(U282+V282-W282&gt;0,OR(U282+V282-W282&lt;AA282+AB282-AC282,AND(U282+V282-W282=AA282+AB282-AC282,3&lt;4))),1,0)))</x:f>
        <x:v>99</x:v>
      </x:c>
      <x:c r="AE282" s="6" t="n">
        <x:f>IF('Debt strategy'!$C$16&gt;0,0,MIN(AA282+AB282-AC282,MAX(0,'Debt strategy'!$C$5-SUM(E282,K282,Q282,W282,AC282)-SUM(IF(F282&lt;AD282,C282+D282-E282,0),IF(L282&lt;AD282,I282+J282-K282,0),IF(R282&lt;AD282,O282+P282-Q282,0),IF(X282&lt;AD282,U282+V282-W282,0)))))</x:f>
        <x:v>0</x:v>
      </x:c>
      <x:c r="AF282" s="6" t="n">
        <x:f>ROUND(MAX(0,AA282+AB282-AC282-AE282),2)</x:f>
        <x:v>0</x:v>
      </x:c>
      <x:c r="AG282" s="6" t="n">
        <x:f>SUM(H282,N282,T282,Z282,AF282)</x:f>
        <x:v>0</x:v>
      </x:c>
      <x:c r="AH282" s="6" t="n">
        <x:f>SUM(D282,J282,P282,V282,AB282)+AH281</x:f>
        <x:v>1353.9499999999996</x:v>
      </x:c>
      <x:c r="AI282" s="2"/>
    </x:row>
    <x:row r="283" ht="23" customHeight="1">
      <x:c r="B283" s="2" t="n">
        <x:f>275</x:f>
        <x:v>275</x:v>
      </x:c>
      <x:c r="C283" s="6" t="n">
        <x:f>H282</x:f>
        <x:v>0</x:v>
      </x:c>
      <x:c r="D283" s="6" t="n">
        <x:f>ROUND(C283*'Debt strategy'!$D$9/12,2)</x:f>
        <x:v>0</x:v>
      </x:c>
      <x:c r="E283" s="6" t="n">
        <x:f>MIN(C283+D283,'Debt strategy'!$E$9)</x:f>
        <x:v>0</x:v>
      </x:c>
      <x:c r="F283" s="27" t="n">
        <x:f>IF(C283+D283-E283&lt;=0,99,1+SUM(IF(AND(I283+J283-K283&gt;0,OR(I283+J283-K283&lt;C283+D283-E283,AND(I283+J283-K283=C283+D283-E283,1&lt;0))),1,0),IF(AND(O283+P283-Q283&gt;0,OR(O283+P283-Q283&lt;C283+D283-E283,AND(O283+P283-Q283=C283+D283-E283,2&lt;0))),1,0),IF(AND(U283+V283-W283&gt;0,OR(U283+V283-W283&lt;C283+D283-E283,AND(U283+V283-W283=C283+D283-E283,3&lt;0))),1,0),IF(AND(AA283+AB283-AC283&gt;0,OR(AA283+AB283-AC283&lt;C283+D283-E283,AND(AA283+AB283-AC283=C283+D283-E283,4&lt;0))),1,0)))</x:f>
        <x:v>99</x:v>
      </x:c>
      <x:c r="G283" s="6" t="n">
        <x:f>IF('Debt strategy'!$C$16&gt;0,0,MIN(C283+D283-E283,MAX(0,'Debt strategy'!$C$5-SUM(E283,K283,Q283,W283,AC283)-SUM(IF(L283&lt;F283,I283+J283-K283,0),IF(R283&lt;F283,O283+P283-Q283,0),IF(X283&lt;F283,U283+V283-W283,0),IF(AD283&lt;F283,AA283+AB283-AC283,0)))))</x:f>
        <x:v>0</x:v>
      </x:c>
      <x:c r="H283" s="6" t="n">
        <x:f>ROUND(MAX(0,C283+D283-E283-G283),2)</x:f>
        <x:v>0</x:v>
      </x:c>
      <x:c r="I283" s="6" t="n">
        <x:f>N282</x:f>
        <x:v>0</x:v>
      </x:c>
      <x:c r="J283" s="6" t="n">
        <x:f>ROUND(I283*'Debt strategy'!$D$10/12,2)</x:f>
        <x:v>0</x:v>
      </x:c>
      <x:c r="K283" s="6" t="n">
        <x:f>MIN(I283+J283,'Debt strategy'!$E$10)</x:f>
        <x:v>0</x:v>
      </x:c>
      <x:c r="L283" s="27" t="n">
        <x:f>IF(I283+J283-K283&lt;=0,99,1+SUM(IF(AND(C283+D283-E283&gt;0,OR(C283+D283-E283&lt;I283+J283-K283,AND(C283+D283-E283=I283+J283-K283,0&lt;1))),1,0),IF(AND(O283+P283-Q283&gt;0,OR(O283+P283-Q283&lt;I283+J283-K283,AND(O283+P283-Q283=I283+J283-K283,2&lt;1))),1,0),IF(AND(U283+V283-W283&gt;0,OR(U283+V283-W283&lt;I283+J283-K283,AND(U283+V283-W283=I283+J283-K283,3&lt;1))),1,0),IF(AND(AA283+AB283-AC283&gt;0,OR(AA283+AB283-AC283&lt;I283+J283-K283,AND(AA283+AB283-AC283=I283+J283-K283,4&lt;1))),1,0)))</x:f>
        <x:v>99</x:v>
      </x:c>
      <x:c r="M283" s="6" t="n">
        <x:f>IF('Debt strategy'!$C$16&gt;0,0,MIN(I283+J283-K283,MAX(0,'Debt strategy'!$C$5-SUM(E283,K283,Q283,W283,AC283)-SUM(IF(F283&lt;L283,C283+D283-E283,0),IF(R283&lt;L283,O283+P283-Q283,0),IF(X283&lt;L283,U283+V283-W283,0),IF(AD283&lt;L283,AA283+AB283-AC283,0)))))</x:f>
        <x:v>0</x:v>
      </x:c>
      <x:c r="N283" s="6" t="n">
        <x:f>ROUND(MAX(0,I283+J283-K283-M283),2)</x:f>
        <x:v>0</x:v>
      </x:c>
      <x:c r="O283" s="6" t="n">
        <x:f>T282</x:f>
        <x:v>0</x:v>
      </x:c>
      <x:c r="P283" s="6" t="n">
        <x:f>ROUND(O283*'Debt strategy'!$D$11/12,2)</x:f>
        <x:v>0</x:v>
      </x:c>
      <x:c r="Q283" s="6" t="n">
        <x:f>MIN(O283+P283,'Debt strategy'!$E$11)</x:f>
        <x:v>0</x:v>
      </x:c>
      <x:c r="R283" s="27" t="n">
        <x:f>IF(O283+P283-Q283&lt;=0,99,1+SUM(IF(AND(C283+D283-E283&gt;0,OR(C283+D283-E283&lt;O283+P283-Q283,AND(C283+D283-E283=O283+P283-Q283,0&lt;2))),1,0),IF(AND(I283+J283-K283&gt;0,OR(I283+J283-K283&lt;O283+P283-Q283,AND(I283+J283-K283=O283+P283-Q283,1&lt;2))),1,0),IF(AND(U283+V283-W283&gt;0,OR(U283+V283-W283&lt;O283+P283-Q283,AND(U283+V283-W283=O283+P283-Q283,3&lt;2))),1,0),IF(AND(AA283+AB283-AC283&gt;0,OR(AA283+AB283-AC283&lt;O283+P283-Q283,AND(AA283+AB283-AC283=O283+P283-Q283,4&lt;2))),1,0)))</x:f>
        <x:v>99</x:v>
      </x:c>
      <x:c r="S283" s="6" t="n">
        <x:f>IF('Debt strategy'!$C$16&gt;0,0,MIN(O283+P283-Q283,MAX(0,'Debt strategy'!$C$5-SUM(E283,K283,Q283,W283,AC283)-SUM(IF(F283&lt;R283,C283+D283-E283,0),IF(L283&lt;R283,I283+J283-K283,0),IF(X283&lt;R283,U283+V283-W283,0),IF(AD283&lt;R283,AA283+AB283-AC283,0)))))</x:f>
        <x:v>0</x:v>
      </x:c>
      <x:c r="T283" s="6" t="n">
        <x:f>ROUND(MAX(0,O283+P283-Q283-S283),2)</x:f>
        <x:v>0</x:v>
      </x:c>
      <x:c r="U283" s="6" t="n">
        <x:f>Z282</x:f>
        <x:v>0</x:v>
      </x:c>
      <x:c r="V283" s="6" t="n">
        <x:f>ROUND(U283*'Debt strategy'!$D$12/12,2)</x:f>
        <x:v>0</x:v>
      </x:c>
      <x:c r="W283" s="6" t="n">
        <x:f>MIN(U283+V283,'Debt strategy'!$E$12)</x:f>
        <x:v>0</x:v>
      </x:c>
      <x:c r="X283" s="27" t="n">
        <x:f>IF(U283+V283-W283&lt;=0,99,1+SUM(IF(AND(C283+D283-E283&gt;0,OR(C283+D283-E283&lt;U283+V283-W283,AND(C283+D283-E283=U283+V283-W283,0&lt;3))),1,0),IF(AND(I283+J283-K283&gt;0,OR(I283+J283-K283&lt;U283+V283-W283,AND(I283+J283-K283=U283+V283-W283,1&lt;3))),1,0),IF(AND(O283+P283-Q283&gt;0,OR(O283+P283-Q283&lt;U283+V283-W283,AND(O283+P283-Q283=U283+V283-W283,2&lt;3))),1,0),IF(AND(AA283+AB283-AC283&gt;0,OR(AA283+AB283-AC283&lt;U283+V283-W283,AND(AA283+AB283-AC283=U283+V283-W283,4&lt;3))),1,0)))</x:f>
        <x:v>99</x:v>
      </x:c>
      <x:c r="Y283" s="6" t="n">
        <x:f>IF('Debt strategy'!$C$16&gt;0,0,MIN(U283+V283-W283,MAX(0,'Debt strategy'!$C$5-SUM(E283,K283,Q283,W283,AC283)-SUM(IF(F283&lt;X283,C283+D283-E283,0),IF(L283&lt;X283,I283+J283-K283,0),IF(R283&lt;X283,O283+P283-Q283,0),IF(AD283&lt;X283,AA283+AB283-AC283,0)))))</x:f>
        <x:v>0</x:v>
      </x:c>
      <x:c r="Z283" s="6" t="n">
        <x:f>ROUND(MAX(0,U283+V283-W283-Y283),2)</x:f>
        <x:v>0</x:v>
      </x:c>
      <x:c r="AA283" s="6" t="n">
        <x:f>AF282</x:f>
        <x:v>0</x:v>
      </x:c>
      <x:c r="AB283" s="6" t="n">
        <x:f>ROUND(AA283*'Debt strategy'!$D$13/12,2)</x:f>
        <x:v>0</x:v>
      </x:c>
      <x:c r="AC283" s="6" t="n">
        <x:f>MIN(AA283+AB283,'Debt strategy'!$E$13)</x:f>
        <x:v>0</x:v>
      </x:c>
      <x:c r="AD283" s="27" t="n">
        <x:f>IF(AA283+AB283-AC283&lt;=0,99,1+SUM(IF(AND(C283+D283-E283&gt;0,OR(C283+D283-E283&lt;AA283+AB283-AC283,AND(C283+D283-E283=AA283+AB283-AC283,0&lt;4))),1,0),IF(AND(I283+J283-K283&gt;0,OR(I283+J283-K283&lt;AA283+AB283-AC283,AND(I283+J283-K283=AA283+AB283-AC283,1&lt;4))),1,0),IF(AND(O283+P283-Q283&gt;0,OR(O283+P283-Q283&lt;AA283+AB283-AC283,AND(O283+P283-Q283=AA283+AB283-AC283,2&lt;4))),1,0),IF(AND(U283+V283-W283&gt;0,OR(U283+V283-W283&lt;AA283+AB283-AC283,AND(U283+V283-W283=AA283+AB283-AC283,3&lt;4))),1,0)))</x:f>
        <x:v>99</x:v>
      </x:c>
      <x:c r="AE283" s="6" t="n">
        <x:f>IF('Debt strategy'!$C$16&gt;0,0,MIN(AA283+AB283-AC283,MAX(0,'Debt strategy'!$C$5-SUM(E283,K283,Q283,W283,AC283)-SUM(IF(F283&lt;AD283,C283+D283-E283,0),IF(L283&lt;AD283,I283+J283-K283,0),IF(R283&lt;AD283,O283+P283-Q283,0),IF(X283&lt;AD283,U283+V283-W283,0)))))</x:f>
        <x:v>0</x:v>
      </x:c>
      <x:c r="AF283" s="6" t="n">
        <x:f>ROUND(MAX(0,AA283+AB283-AC283-AE283),2)</x:f>
        <x:v>0</x:v>
      </x:c>
      <x:c r="AG283" s="6" t="n">
        <x:f>SUM(H283,N283,T283,Z283,AF283)</x:f>
        <x:v>0</x:v>
      </x:c>
      <x:c r="AH283" s="6" t="n">
        <x:f>SUM(D283,J283,P283,V283,AB283)+AH282</x:f>
        <x:v>1353.9499999999996</x:v>
      </x:c>
      <x:c r="AI283" s="2"/>
    </x:row>
    <x:row r="284" ht="23" customHeight="1">
      <x:c r="B284" s="2" t="n">
        <x:f>276</x:f>
        <x:v>276</x:v>
      </x:c>
      <x:c r="C284" s="6" t="n">
        <x:f>H283</x:f>
        <x:v>0</x:v>
      </x:c>
      <x:c r="D284" s="6" t="n">
        <x:f>ROUND(C284*'Debt strategy'!$D$9/12,2)</x:f>
        <x:v>0</x:v>
      </x:c>
      <x:c r="E284" s="6" t="n">
        <x:f>MIN(C284+D284,'Debt strategy'!$E$9)</x:f>
        <x:v>0</x:v>
      </x:c>
      <x:c r="F284" s="27" t="n">
        <x:f>IF(C284+D284-E284&lt;=0,99,1+SUM(IF(AND(I284+J284-K284&gt;0,OR(I284+J284-K284&lt;C284+D284-E284,AND(I284+J284-K284=C284+D284-E284,1&lt;0))),1,0),IF(AND(O284+P284-Q284&gt;0,OR(O284+P284-Q284&lt;C284+D284-E284,AND(O284+P284-Q284=C284+D284-E284,2&lt;0))),1,0),IF(AND(U284+V284-W284&gt;0,OR(U284+V284-W284&lt;C284+D284-E284,AND(U284+V284-W284=C284+D284-E284,3&lt;0))),1,0),IF(AND(AA284+AB284-AC284&gt;0,OR(AA284+AB284-AC284&lt;C284+D284-E284,AND(AA284+AB284-AC284=C284+D284-E284,4&lt;0))),1,0)))</x:f>
        <x:v>99</x:v>
      </x:c>
      <x:c r="G284" s="6" t="n">
        <x:f>IF('Debt strategy'!$C$16&gt;0,0,MIN(C284+D284-E284,MAX(0,'Debt strategy'!$C$5-SUM(E284,K284,Q284,W284,AC284)-SUM(IF(L284&lt;F284,I284+J284-K284,0),IF(R284&lt;F284,O284+P284-Q284,0),IF(X284&lt;F284,U284+V284-W284,0),IF(AD284&lt;F284,AA284+AB284-AC284,0)))))</x:f>
        <x:v>0</x:v>
      </x:c>
      <x:c r="H284" s="6" t="n">
        <x:f>ROUND(MAX(0,C284+D284-E284-G284),2)</x:f>
        <x:v>0</x:v>
      </x:c>
      <x:c r="I284" s="6" t="n">
        <x:f>N283</x:f>
        <x:v>0</x:v>
      </x:c>
      <x:c r="J284" s="6" t="n">
        <x:f>ROUND(I284*'Debt strategy'!$D$10/12,2)</x:f>
        <x:v>0</x:v>
      </x:c>
      <x:c r="K284" s="6" t="n">
        <x:f>MIN(I284+J284,'Debt strategy'!$E$10)</x:f>
        <x:v>0</x:v>
      </x:c>
      <x:c r="L284" s="27" t="n">
        <x:f>IF(I284+J284-K284&lt;=0,99,1+SUM(IF(AND(C284+D284-E284&gt;0,OR(C284+D284-E284&lt;I284+J284-K284,AND(C284+D284-E284=I284+J284-K284,0&lt;1))),1,0),IF(AND(O284+P284-Q284&gt;0,OR(O284+P284-Q284&lt;I284+J284-K284,AND(O284+P284-Q284=I284+J284-K284,2&lt;1))),1,0),IF(AND(U284+V284-W284&gt;0,OR(U284+V284-W284&lt;I284+J284-K284,AND(U284+V284-W284=I284+J284-K284,3&lt;1))),1,0),IF(AND(AA284+AB284-AC284&gt;0,OR(AA284+AB284-AC284&lt;I284+J284-K284,AND(AA284+AB284-AC284=I284+J284-K284,4&lt;1))),1,0)))</x:f>
        <x:v>99</x:v>
      </x:c>
      <x:c r="M284" s="6" t="n">
        <x:f>IF('Debt strategy'!$C$16&gt;0,0,MIN(I284+J284-K284,MAX(0,'Debt strategy'!$C$5-SUM(E284,K284,Q284,W284,AC284)-SUM(IF(F284&lt;L284,C284+D284-E284,0),IF(R284&lt;L284,O284+P284-Q284,0),IF(X284&lt;L284,U284+V284-W284,0),IF(AD284&lt;L284,AA284+AB284-AC284,0)))))</x:f>
        <x:v>0</x:v>
      </x:c>
      <x:c r="N284" s="6" t="n">
        <x:f>ROUND(MAX(0,I284+J284-K284-M284),2)</x:f>
        <x:v>0</x:v>
      </x:c>
      <x:c r="O284" s="6" t="n">
        <x:f>T283</x:f>
        <x:v>0</x:v>
      </x:c>
      <x:c r="P284" s="6" t="n">
        <x:f>ROUND(O284*'Debt strategy'!$D$11/12,2)</x:f>
        <x:v>0</x:v>
      </x:c>
      <x:c r="Q284" s="6" t="n">
        <x:f>MIN(O284+P284,'Debt strategy'!$E$11)</x:f>
        <x:v>0</x:v>
      </x:c>
      <x:c r="R284" s="27" t="n">
        <x:f>IF(O284+P284-Q284&lt;=0,99,1+SUM(IF(AND(C284+D284-E284&gt;0,OR(C284+D284-E284&lt;O284+P284-Q284,AND(C284+D284-E284=O284+P284-Q284,0&lt;2))),1,0),IF(AND(I284+J284-K284&gt;0,OR(I284+J284-K284&lt;O284+P284-Q284,AND(I284+J284-K284=O284+P284-Q284,1&lt;2))),1,0),IF(AND(U284+V284-W284&gt;0,OR(U284+V284-W284&lt;O284+P284-Q284,AND(U284+V284-W284=O284+P284-Q284,3&lt;2))),1,0),IF(AND(AA284+AB284-AC284&gt;0,OR(AA284+AB284-AC284&lt;O284+P284-Q284,AND(AA284+AB284-AC284=O284+P284-Q284,4&lt;2))),1,0)))</x:f>
        <x:v>99</x:v>
      </x:c>
      <x:c r="S284" s="6" t="n">
        <x:f>IF('Debt strategy'!$C$16&gt;0,0,MIN(O284+P284-Q284,MAX(0,'Debt strategy'!$C$5-SUM(E284,K284,Q284,W284,AC284)-SUM(IF(F284&lt;R284,C284+D284-E284,0),IF(L284&lt;R284,I284+J284-K284,0),IF(X284&lt;R284,U284+V284-W284,0),IF(AD284&lt;R284,AA284+AB284-AC284,0)))))</x:f>
        <x:v>0</x:v>
      </x:c>
      <x:c r="T284" s="6" t="n">
        <x:f>ROUND(MAX(0,O284+P284-Q284-S284),2)</x:f>
        <x:v>0</x:v>
      </x:c>
      <x:c r="U284" s="6" t="n">
        <x:f>Z283</x:f>
        <x:v>0</x:v>
      </x:c>
      <x:c r="V284" s="6" t="n">
        <x:f>ROUND(U284*'Debt strategy'!$D$12/12,2)</x:f>
        <x:v>0</x:v>
      </x:c>
      <x:c r="W284" s="6" t="n">
        <x:f>MIN(U284+V284,'Debt strategy'!$E$12)</x:f>
        <x:v>0</x:v>
      </x:c>
      <x:c r="X284" s="27" t="n">
        <x:f>IF(U284+V284-W284&lt;=0,99,1+SUM(IF(AND(C284+D284-E284&gt;0,OR(C284+D284-E284&lt;U284+V284-W284,AND(C284+D284-E284=U284+V284-W284,0&lt;3))),1,0),IF(AND(I284+J284-K284&gt;0,OR(I284+J284-K284&lt;U284+V284-W284,AND(I284+J284-K284=U284+V284-W284,1&lt;3))),1,0),IF(AND(O284+P284-Q284&gt;0,OR(O284+P284-Q284&lt;U284+V284-W284,AND(O284+P284-Q284=U284+V284-W284,2&lt;3))),1,0),IF(AND(AA284+AB284-AC284&gt;0,OR(AA284+AB284-AC284&lt;U284+V284-W284,AND(AA284+AB284-AC284=U284+V284-W284,4&lt;3))),1,0)))</x:f>
        <x:v>99</x:v>
      </x:c>
      <x:c r="Y284" s="6" t="n">
        <x:f>IF('Debt strategy'!$C$16&gt;0,0,MIN(U284+V284-W284,MAX(0,'Debt strategy'!$C$5-SUM(E284,K284,Q284,W284,AC284)-SUM(IF(F284&lt;X284,C284+D284-E284,0),IF(L284&lt;X284,I284+J284-K284,0),IF(R284&lt;X284,O284+P284-Q284,0),IF(AD284&lt;X284,AA284+AB284-AC284,0)))))</x:f>
        <x:v>0</x:v>
      </x:c>
      <x:c r="Z284" s="6" t="n">
        <x:f>ROUND(MAX(0,U284+V284-W284-Y284),2)</x:f>
        <x:v>0</x:v>
      </x:c>
      <x:c r="AA284" s="6" t="n">
        <x:f>AF283</x:f>
        <x:v>0</x:v>
      </x:c>
      <x:c r="AB284" s="6" t="n">
        <x:f>ROUND(AA284*'Debt strategy'!$D$13/12,2)</x:f>
        <x:v>0</x:v>
      </x:c>
      <x:c r="AC284" s="6" t="n">
        <x:f>MIN(AA284+AB284,'Debt strategy'!$E$13)</x:f>
        <x:v>0</x:v>
      </x:c>
      <x:c r="AD284" s="27" t="n">
        <x:f>IF(AA284+AB284-AC284&lt;=0,99,1+SUM(IF(AND(C284+D284-E284&gt;0,OR(C284+D284-E284&lt;AA284+AB284-AC284,AND(C284+D284-E284=AA284+AB284-AC284,0&lt;4))),1,0),IF(AND(I284+J284-K284&gt;0,OR(I284+J284-K284&lt;AA284+AB284-AC284,AND(I284+J284-K284=AA284+AB284-AC284,1&lt;4))),1,0),IF(AND(O284+P284-Q284&gt;0,OR(O284+P284-Q284&lt;AA284+AB284-AC284,AND(O284+P284-Q284=AA284+AB284-AC284,2&lt;4))),1,0),IF(AND(U284+V284-W284&gt;0,OR(U284+V284-W284&lt;AA284+AB284-AC284,AND(U284+V284-W284=AA284+AB284-AC284,3&lt;4))),1,0)))</x:f>
        <x:v>99</x:v>
      </x:c>
      <x:c r="AE284" s="6" t="n">
        <x:f>IF('Debt strategy'!$C$16&gt;0,0,MIN(AA284+AB284-AC284,MAX(0,'Debt strategy'!$C$5-SUM(E284,K284,Q284,W284,AC284)-SUM(IF(F284&lt;AD284,C284+D284-E284,0),IF(L284&lt;AD284,I284+J284-K284,0),IF(R284&lt;AD284,O284+P284-Q284,0),IF(X284&lt;AD284,U284+V284-W284,0)))))</x:f>
        <x:v>0</x:v>
      </x:c>
      <x:c r="AF284" s="6" t="n">
        <x:f>ROUND(MAX(0,AA284+AB284-AC284-AE284),2)</x:f>
        <x:v>0</x:v>
      </x:c>
      <x:c r="AG284" s="6" t="n">
        <x:f>SUM(H284,N284,T284,Z284,AF284)</x:f>
        <x:v>0</x:v>
      </x:c>
      <x:c r="AH284" s="6" t="n">
        <x:f>SUM(D284,J284,P284,V284,AB284)+AH283</x:f>
        <x:v>1353.9499999999996</x:v>
      </x:c>
      <x:c r="AI284" s="2"/>
    </x:row>
    <x:row r="285" ht="23" customHeight="1">
      <x:c r="B285" s="2" t="n">
        <x:f>277</x:f>
        <x:v>277</x:v>
      </x:c>
      <x:c r="C285" s="6" t="n">
        <x:f>H284</x:f>
        <x:v>0</x:v>
      </x:c>
      <x:c r="D285" s="6" t="n">
        <x:f>ROUND(C285*'Debt strategy'!$D$9/12,2)</x:f>
        <x:v>0</x:v>
      </x:c>
      <x:c r="E285" s="6" t="n">
        <x:f>MIN(C285+D285,'Debt strategy'!$E$9)</x:f>
        <x:v>0</x:v>
      </x:c>
      <x:c r="F285" s="27" t="n">
        <x:f>IF(C285+D285-E285&lt;=0,99,1+SUM(IF(AND(I285+J285-K285&gt;0,OR(I285+J285-K285&lt;C285+D285-E285,AND(I285+J285-K285=C285+D285-E285,1&lt;0))),1,0),IF(AND(O285+P285-Q285&gt;0,OR(O285+P285-Q285&lt;C285+D285-E285,AND(O285+P285-Q285=C285+D285-E285,2&lt;0))),1,0),IF(AND(U285+V285-W285&gt;0,OR(U285+V285-W285&lt;C285+D285-E285,AND(U285+V285-W285=C285+D285-E285,3&lt;0))),1,0),IF(AND(AA285+AB285-AC285&gt;0,OR(AA285+AB285-AC285&lt;C285+D285-E285,AND(AA285+AB285-AC285=C285+D285-E285,4&lt;0))),1,0)))</x:f>
        <x:v>99</x:v>
      </x:c>
      <x:c r="G285" s="6" t="n">
        <x:f>IF('Debt strategy'!$C$16&gt;0,0,MIN(C285+D285-E285,MAX(0,'Debt strategy'!$C$5-SUM(E285,K285,Q285,W285,AC285)-SUM(IF(L285&lt;F285,I285+J285-K285,0),IF(R285&lt;F285,O285+P285-Q285,0),IF(X285&lt;F285,U285+V285-W285,0),IF(AD285&lt;F285,AA285+AB285-AC285,0)))))</x:f>
        <x:v>0</x:v>
      </x:c>
      <x:c r="H285" s="6" t="n">
        <x:f>ROUND(MAX(0,C285+D285-E285-G285),2)</x:f>
        <x:v>0</x:v>
      </x:c>
      <x:c r="I285" s="6" t="n">
        <x:f>N284</x:f>
        <x:v>0</x:v>
      </x:c>
      <x:c r="J285" s="6" t="n">
        <x:f>ROUND(I285*'Debt strategy'!$D$10/12,2)</x:f>
        <x:v>0</x:v>
      </x:c>
      <x:c r="K285" s="6" t="n">
        <x:f>MIN(I285+J285,'Debt strategy'!$E$10)</x:f>
        <x:v>0</x:v>
      </x:c>
      <x:c r="L285" s="27" t="n">
        <x:f>IF(I285+J285-K285&lt;=0,99,1+SUM(IF(AND(C285+D285-E285&gt;0,OR(C285+D285-E285&lt;I285+J285-K285,AND(C285+D285-E285=I285+J285-K285,0&lt;1))),1,0),IF(AND(O285+P285-Q285&gt;0,OR(O285+P285-Q285&lt;I285+J285-K285,AND(O285+P285-Q285=I285+J285-K285,2&lt;1))),1,0),IF(AND(U285+V285-W285&gt;0,OR(U285+V285-W285&lt;I285+J285-K285,AND(U285+V285-W285=I285+J285-K285,3&lt;1))),1,0),IF(AND(AA285+AB285-AC285&gt;0,OR(AA285+AB285-AC285&lt;I285+J285-K285,AND(AA285+AB285-AC285=I285+J285-K285,4&lt;1))),1,0)))</x:f>
        <x:v>99</x:v>
      </x:c>
      <x:c r="M285" s="6" t="n">
        <x:f>IF('Debt strategy'!$C$16&gt;0,0,MIN(I285+J285-K285,MAX(0,'Debt strategy'!$C$5-SUM(E285,K285,Q285,W285,AC285)-SUM(IF(F285&lt;L285,C285+D285-E285,0),IF(R285&lt;L285,O285+P285-Q285,0),IF(X285&lt;L285,U285+V285-W285,0),IF(AD285&lt;L285,AA285+AB285-AC285,0)))))</x:f>
        <x:v>0</x:v>
      </x:c>
      <x:c r="N285" s="6" t="n">
        <x:f>ROUND(MAX(0,I285+J285-K285-M285),2)</x:f>
        <x:v>0</x:v>
      </x:c>
      <x:c r="O285" s="6" t="n">
        <x:f>T284</x:f>
        <x:v>0</x:v>
      </x:c>
      <x:c r="P285" s="6" t="n">
        <x:f>ROUND(O285*'Debt strategy'!$D$11/12,2)</x:f>
        <x:v>0</x:v>
      </x:c>
      <x:c r="Q285" s="6" t="n">
        <x:f>MIN(O285+P285,'Debt strategy'!$E$11)</x:f>
        <x:v>0</x:v>
      </x:c>
      <x:c r="R285" s="27" t="n">
        <x:f>IF(O285+P285-Q285&lt;=0,99,1+SUM(IF(AND(C285+D285-E285&gt;0,OR(C285+D285-E285&lt;O285+P285-Q285,AND(C285+D285-E285=O285+P285-Q285,0&lt;2))),1,0),IF(AND(I285+J285-K285&gt;0,OR(I285+J285-K285&lt;O285+P285-Q285,AND(I285+J285-K285=O285+P285-Q285,1&lt;2))),1,0),IF(AND(U285+V285-W285&gt;0,OR(U285+V285-W285&lt;O285+P285-Q285,AND(U285+V285-W285=O285+P285-Q285,3&lt;2))),1,0),IF(AND(AA285+AB285-AC285&gt;0,OR(AA285+AB285-AC285&lt;O285+P285-Q285,AND(AA285+AB285-AC285=O285+P285-Q285,4&lt;2))),1,0)))</x:f>
        <x:v>99</x:v>
      </x:c>
      <x:c r="S285" s="6" t="n">
        <x:f>IF('Debt strategy'!$C$16&gt;0,0,MIN(O285+P285-Q285,MAX(0,'Debt strategy'!$C$5-SUM(E285,K285,Q285,W285,AC285)-SUM(IF(F285&lt;R285,C285+D285-E285,0),IF(L285&lt;R285,I285+J285-K285,0),IF(X285&lt;R285,U285+V285-W285,0),IF(AD285&lt;R285,AA285+AB285-AC285,0)))))</x:f>
        <x:v>0</x:v>
      </x:c>
      <x:c r="T285" s="6" t="n">
        <x:f>ROUND(MAX(0,O285+P285-Q285-S285),2)</x:f>
        <x:v>0</x:v>
      </x:c>
      <x:c r="U285" s="6" t="n">
        <x:f>Z284</x:f>
        <x:v>0</x:v>
      </x:c>
      <x:c r="V285" s="6" t="n">
        <x:f>ROUND(U285*'Debt strategy'!$D$12/12,2)</x:f>
        <x:v>0</x:v>
      </x:c>
      <x:c r="W285" s="6" t="n">
        <x:f>MIN(U285+V285,'Debt strategy'!$E$12)</x:f>
        <x:v>0</x:v>
      </x:c>
      <x:c r="X285" s="27" t="n">
        <x:f>IF(U285+V285-W285&lt;=0,99,1+SUM(IF(AND(C285+D285-E285&gt;0,OR(C285+D285-E285&lt;U285+V285-W285,AND(C285+D285-E285=U285+V285-W285,0&lt;3))),1,0),IF(AND(I285+J285-K285&gt;0,OR(I285+J285-K285&lt;U285+V285-W285,AND(I285+J285-K285=U285+V285-W285,1&lt;3))),1,0),IF(AND(O285+P285-Q285&gt;0,OR(O285+P285-Q285&lt;U285+V285-W285,AND(O285+P285-Q285=U285+V285-W285,2&lt;3))),1,0),IF(AND(AA285+AB285-AC285&gt;0,OR(AA285+AB285-AC285&lt;U285+V285-W285,AND(AA285+AB285-AC285=U285+V285-W285,4&lt;3))),1,0)))</x:f>
        <x:v>99</x:v>
      </x:c>
      <x:c r="Y285" s="6" t="n">
        <x:f>IF('Debt strategy'!$C$16&gt;0,0,MIN(U285+V285-W285,MAX(0,'Debt strategy'!$C$5-SUM(E285,K285,Q285,W285,AC285)-SUM(IF(F285&lt;X285,C285+D285-E285,0),IF(L285&lt;X285,I285+J285-K285,0),IF(R285&lt;X285,O285+P285-Q285,0),IF(AD285&lt;X285,AA285+AB285-AC285,0)))))</x:f>
        <x:v>0</x:v>
      </x:c>
      <x:c r="Z285" s="6" t="n">
        <x:f>ROUND(MAX(0,U285+V285-W285-Y285),2)</x:f>
        <x:v>0</x:v>
      </x:c>
      <x:c r="AA285" s="6" t="n">
        <x:f>AF284</x:f>
        <x:v>0</x:v>
      </x:c>
      <x:c r="AB285" s="6" t="n">
        <x:f>ROUND(AA285*'Debt strategy'!$D$13/12,2)</x:f>
        <x:v>0</x:v>
      </x:c>
      <x:c r="AC285" s="6" t="n">
        <x:f>MIN(AA285+AB285,'Debt strategy'!$E$13)</x:f>
        <x:v>0</x:v>
      </x:c>
      <x:c r="AD285" s="27" t="n">
        <x:f>IF(AA285+AB285-AC285&lt;=0,99,1+SUM(IF(AND(C285+D285-E285&gt;0,OR(C285+D285-E285&lt;AA285+AB285-AC285,AND(C285+D285-E285=AA285+AB285-AC285,0&lt;4))),1,0),IF(AND(I285+J285-K285&gt;0,OR(I285+J285-K285&lt;AA285+AB285-AC285,AND(I285+J285-K285=AA285+AB285-AC285,1&lt;4))),1,0),IF(AND(O285+P285-Q285&gt;0,OR(O285+P285-Q285&lt;AA285+AB285-AC285,AND(O285+P285-Q285=AA285+AB285-AC285,2&lt;4))),1,0),IF(AND(U285+V285-W285&gt;0,OR(U285+V285-W285&lt;AA285+AB285-AC285,AND(U285+V285-W285=AA285+AB285-AC285,3&lt;4))),1,0)))</x:f>
        <x:v>99</x:v>
      </x:c>
      <x:c r="AE285" s="6" t="n">
        <x:f>IF('Debt strategy'!$C$16&gt;0,0,MIN(AA285+AB285-AC285,MAX(0,'Debt strategy'!$C$5-SUM(E285,K285,Q285,W285,AC285)-SUM(IF(F285&lt;AD285,C285+D285-E285,0),IF(L285&lt;AD285,I285+J285-K285,0),IF(R285&lt;AD285,O285+P285-Q285,0),IF(X285&lt;AD285,U285+V285-W285,0)))))</x:f>
        <x:v>0</x:v>
      </x:c>
      <x:c r="AF285" s="6" t="n">
        <x:f>ROUND(MAX(0,AA285+AB285-AC285-AE285),2)</x:f>
        <x:v>0</x:v>
      </x:c>
      <x:c r="AG285" s="6" t="n">
        <x:f>SUM(H285,N285,T285,Z285,AF285)</x:f>
        <x:v>0</x:v>
      </x:c>
      <x:c r="AH285" s="6" t="n">
        <x:f>SUM(D285,J285,P285,V285,AB285)+AH284</x:f>
        <x:v>1353.9499999999996</x:v>
      </x:c>
      <x:c r="AI285" s="2"/>
    </x:row>
    <x:row r="286" ht="23" customHeight="1">
      <x:c r="B286" s="2" t="n">
        <x:f>278</x:f>
        <x:v>278</x:v>
      </x:c>
      <x:c r="C286" s="6" t="n">
        <x:f>H285</x:f>
        <x:v>0</x:v>
      </x:c>
      <x:c r="D286" s="6" t="n">
        <x:f>ROUND(C286*'Debt strategy'!$D$9/12,2)</x:f>
        <x:v>0</x:v>
      </x:c>
      <x:c r="E286" s="6" t="n">
        <x:f>MIN(C286+D286,'Debt strategy'!$E$9)</x:f>
        <x:v>0</x:v>
      </x:c>
      <x:c r="F286" s="27" t="n">
        <x:f>IF(C286+D286-E286&lt;=0,99,1+SUM(IF(AND(I286+J286-K286&gt;0,OR(I286+J286-K286&lt;C286+D286-E286,AND(I286+J286-K286=C286+D286-E286,1&lt;0))),1,0),IF(AND(O286+P286-Q286&gt;0,OR(O286+P286-Q286&lt;C286+D286-E286,AND(O286+P286-Q286=C286+D286-E286,2&lt;0))),1,0),IF(AND(U286+V286-W286&gt;0,OR(U286+V286-W286&lt;C286+D286-E286,AND(U286+V286-W286=C286+D286-E286,3&lt;0))),1,0),IF(AND(AA286+AB286-AC286&gt;0,OR(AA286+AB286-AC286&lt;C286+D286-E286,AND(AA286+AB286-AC286=C286+D286-E286,4&lt;0))),1,0)))</x:f>
        <x:v>99</x:v>
      </x:c>
      <x:c r="G286" s="6" t="n">
        <x:f>IF('Debt strategy'!$C$16&gt;0,0,MIN(C286+D286-E286,MAX(0,'Debt strategy'!$C$5-SUM(E286,K286,Q286,W286,AC286)-SUM(IF(L286&lt;F286,I286+J286-K286,0),IF(R286&lt;F286,O286+P286-Q286,0),IF(X286&lt;F286,U286+V286-W286,0),IF(AD286&lt;F286,AA286+AB286-AC286,0)))))</x:f>
        <x:v>0</x:v>
      </x:c>
      <x:c r="H286" s="6" t="n">
        <x:f>ROUND(MAX(0,C286+D286-E286-G286),2)</x:f>
        <x:v>0</x:v>
      </x:c>
      <x:c r="I286" s="6" t="n">
        <x:f>N285</x:f>
        <x:v>0</x:v>
      </x:c>
      <x:c r="J286" s="6" t="n">
        <x:f>ROUND(I286*'Debt strategy'!$D$10/12,2)</x:f>
        <x:v>0</x:v>
      </x:c>
      <x:c r="K286" s="6" t="n">
        <x:f>MIN(I286+J286,'Debt strategy'!$E$10)</x:f>
        <x:v>0</x:v>
      </x:c>
      <x:c r="L286" s="27" t="n">
        <x:f>IF(I286+J286-K286&lt;=0,99,1+SUM(IF(AND(C286+D286-E286&gt;0,OR(C286+D286-E286&lt;I286+J286-K286,AND(C286+D286-E286=I286+J286-K286,0&lt;1))),1,0),IF(AND(O286+P286-Q286&gt;0,OR(O286+P286-Q286&lt;I286+J286-K286,AND(O286+P286-Q286=I286+J286-K286,2&lt;1))),1,0),IF(AND(U286+V286-W286&gt;0,OR(U286+V286-W286&lt;I286+J286-K286,AND(U286+V286-W286=I286+J286-K286,3&lt;1))),1,0),IF(AND(AA286+AB286-AC286&gt;0,OR(AA286+AB286-AC286&lt;I286+J286-K286,AND(AA286+AB286-AC286=I286+J286-K286,4&lt;1))),1,0)))</x:f>
        <x:v>99</x:v>
      </x:c>
      <x:c r="M286" s="6" t="n">
        <x:f>IF('Debt strategy'!$C$16&gt;0,0,MIN(I286+J286-K286,MAX(0,'Debt strategy'!$C$5-SUM(E286,K286,Q286,W286,AC286)-SUM(IF(F286&lt;L286,C286+D286-E286,0),IF(R286&lt;L286,O286+P286-Q286,0),IF(X286&lt;L286,U286+V286-W286,0),IF(AD286&lt;L286,AA286+AB286-AC286,0)))))</x:f>
        <x:v>0</x:v>
      </x:c>
      <x:c r="N286" s="6" t="n">
        <x:f>ROUND(MAX(0,I286+J286-K286-M286),2)</x:f>
        <x:v>0</x:v>
      </x:c>
      <x:c r="O286" s="6" t="n">
        <x:f>T285</x:f>
        <x:v>0</x:v>
      </x:c>
      <x:c r="P286" s="6" t="n">
        <x:f>ROUND(O286*'Debt strategy'!$D$11/12,2)</x:f>
        <x:v>0</x:v>
      </x:c>
      <x:c r="Q286" s="6" t="n">
        <x:f>MIN(O286+P286,'Debt strategy'!$E$11)</x:f>
        <x:v>0</x:v>
      </x:c>
      <x:c r="R286" s="27" t="n">
        <x:f>IF(O286+P286-Q286&lt;=0,99,1+SUM(IF(AND(C286+D286-E286&gt;0,OR(C286+D286-E286&lt;O286+P286-Q286,AND(C286+D286-E286=O286+P286-Q286,0&lt;2))),1,0),IF(AND(I286+J286-K286&gt;0,OR(I286+J286-K286&lt;O286+P286-Q286,AND(I286+J286-K286=O286+P286-Q286,1&lt;2))),1,0),IF(AND(U286+V286-W286&gt;0,OR(U286+V286-W286&lt;O286+P286-Q286,AND(U286+V286-W286=O286+P286-Q286,3&lt;2))),1,0),IF(AND(AA286+AB286-AC286&gt;0,OR(AA286+AB286-AC286&lt;O286+P286-Q286,AND(AA286+AB286-AC286=O286+P286-Q286,4&lt;2))),1,0)))</x:f>
        <x:v>99</x:v>
      </x:c>
      <x:c r="S286" s="6" t="n">
        <x:f>IF('Debt strategy'!$C$16&gt;0,0,MIN(O286+P286-Q286,MAX(0,'Debt strategy'!$C$5-SUM(E286,K286,Q286,W286,AC286)-SUM(IF(F286&lt;R286,C286+D286-E286,0),IF(L286&lt;R286,I286+J286-K286,0),IF(X286&lt;R286,U286+V286-W286,0),IF(AD286&lt;R286,AA286+AB286-AC286,0)))))</x:f>
        <x:v>0</x:v>
      </x:c>
      <x:c r="T286" s="6" t="n">
        <x:f>ROUND(MAX(0,O286+P286-Q286-S286),2)</x:f>
        <x:v>0</x:v>
      </x:c>
      <x:c r="U286" s="6" t="n">
        <x:f>Z285</x:f>
        <x:v>0</x:v>
      </x:c>
      <x:c r="V286" s="6" t="n">
        <x:f>ROUND(U286*'Debt strategy'!$D$12/12,2)</x:f>
        <x:v>0</x:v>
      </x:c>
      <x:c r="W286" s="6" t="n">
        <x:f>MIN(U286+V286,'Debt strategy'!$E$12)</x:f>
        <x:v>0</x:v>
      </x:c>
      <x:c r="X286" s="27" t="n">
        <x:f>IF(U286+V286-W286&lt;=0,99,1+SUM(IF(AND(C286+D286-E286&gt;0,OR(C286+D286-E286&lt;U286+V286-W286,AND(C286+D286-E286=U286+V286-W286,0&lt;3))),1,0),IF(AND(I286+J286-K286&gt;0,OR(I286+J286-K286&lt;U286+V286-W286,AND(I286+J286-K286=U286+V286-W286,1&lt;3))),1,0),IF(AND(O286+P286-Q286&gt;0,OR(O286+P286-Q286&lt;U286+V286-W286,AND(O286+P286-Q286=U286+V286-W286,2&lt;3))),1,0),IF(AND(AA286+AB286-AC286&gt;0,OR(AA286+AB286-AC286&lt;U286+V286-W286,AND(AA286+AB286-AC286=U286+V286-W286,4&lt;3))),1,0)))</x:f>
        <x:v>99</x:v>
      </x:c>
      <x:c r="Y286" s="6" t="n">
        <x:f>IF('Debt strategy'!$C$16&gt;0,0,MIN(U286+V286-W286,MAX(0,'Debt strategy'!$C$5-SUM(E286,K286,Q286,W286,AC286)-SUM(IF(F286&lt;X286,C286+D286-E286,0),IF(L286&lt;X286,I286+J286-K286,0),IF(R286&lt;X286,O286+P286-Q286,0),IF(AD286&lt;X286,AA286+AB286-AC286,0)))))</x:f>
        <x:v>0</x:v>
      </x:c>
      <x:c r="Z286" s="6" t="n">
        <x:f>ROUND(MAX(0,U286+V286-W286-Y286),2)</x:f>
        <x:v>0</x:v>
      </x:c>
      <x:c r="AA286" s="6" t="n">
        <x:f>AF285</x:f>
        <x:v>0</x:v>
      </x:c>
      <x:c r="AB286" s="6" t="n">
        <x:f>ROUND(AA286*'Debt strategy'!$D$13/12,2)</x:f>
        <x:v>0</x:v>
      </x:c>
      <x:c r="AC286" s="6" t="n">
        <x:f>MIN(AA286+AB286,'Debt strategy'!$E$13)</x:f>
        <x:v>0</x:v>
      </x:c>
      <x:c r="AD286" s="27" t="n">
        <x:f>IF(AA286+AB286-AC286&lt;=0,99,1+SUM(IF(AND(C286+D286-E286&gt;0,OR(C286+D286-E286&lt;AA286+AB286-AC286,AND(C286+D286-E286=AA286+AB286-AC286,0&lt;4))),1,0),IF(AND(I286+J286-K286&gt;0,OR(I286+J286-K286&lt;AA286+AB286-AC286,AND(I286+J286-K286=AA286+AB286-AC286,1&lt;4))),1,0),IF(AND(O286+P286-Q286&gt;0,OR(O286+P286-Q286&lt;AA286+AB286-AC286,AND(O286+P286-Q286=AA286+AB286-AC286,2&lt;4))),1,0),IF(AND(U286+V286-W286&gt;0,OR(U286+V286-W286&lt;AA286+AB286-AC286,AND(U286+V286-W286=AA286+AB286-AC286,3&lt;4))),1,0)))</x:f>
        <x:v>99</x:v>
      </x:c>
      <x:c r="AE286" s="6" t="n">
        <x:f>IF('Debt strategy'!$C$16&gt;0,0,MIN(AA286+AB286-AC286,MAX(0,'Debt strategy'!$C$5-SUM(E286,K286,Q286,W286,AC286)-SUM(IF(F286&lt;AD286,C286+D286-E286,0),IF(L286&lt;AD286,I286+J286-K286,0),IF(R286&lt;AD286,O286+P286-Q286,0),IF(X286&lt;AD286,U286+V286-W286,0)))))</x:f>
        <x:v>0</x:v>
      </x:c>
      <x:c r="AF286" s="6" t="n">
        <x:f>ROUND(MAX(0,AA286+AB286-AC286-AE286),2)</x:f>
        <x:v>0</x:v>
      </x:c>
      <x:c r="AG286" s="6" t="n">
        <x:f>SUM(H286,N286,T286,Z286,AF286)</x:f>
        <x:v>0</x:v>
      </x:c>
      <x:c r="AH286" s="6" t="n">
        <x:f>SUM(D286,J286,P286,V286,AB286)+AH285</x:f>
        <x:v>1353.9499999999996</x:v>
      </x:c>
      <x:c r="AI286" s="2"/>
    </x:row>
    <x:row r="287" ht="23" customHeight="1">
      <x:c r="B287" s="2" t="n">
        <x:f>279</x:f>
        <x:v>279</x:v>
      </x:c>
      <x:c r="C287" s="6" t="n">
        <x:f>H286</x:f>
        <x:v>0</x:v>
      </x:c>
      <x:c r="D287" s="6" t="n">
        <x:f>ROUND(C287*'Debt strategy'!$D$9/12,2)</x:f>
        <x:v>0</x:v>
      </x:c>
      <x:c r="E287" s="6" t="n">
        <x:f>MIN(C287+D287,'Debt strategy'!$E$9)</x:f>
        <x:v>0</x:v>
      </x:c>
      <x:c r="F287" s="27" t="n">
        <x:f>IF(C287+D287-E287&lt;=0,99,1+SUM(IF(AND(I287+J287-K287&gt;0,OR(I287+J287-K287&lt;C287+D287-E287,AND(I287+J287-K287=C287+D287-E287,1&lt;0))),1,0),IF(AND(O287+P287-Q287&gt;0,OR(O287+P287-Q287&lt;C287+D287-E287,AND(O287+P287-Q287=C287+D287-E287,2&lt;0))),1,0),IF(AND(U287+V287-W287&gt;0,OR(U287+V287-W287&lt;C287+D287-E287,AND(U287+V287-W287=C287+D287-E287,3&lt;0))),1,0),IF(AND(AA287+AB287-AC287&gt;0,OR(AA287+AB287-AC287&lt;C287+D287-E287,AND(AA287+AB287-AC287=C287+D287-E287,4&lt;0))),1,0)))</x:f>
        <x:v>99</x:v>
      </x:c>
      <x:c r="G287" s="6" t="n">
        <x:f>IF('Debt strategy'!$C$16&gt;0,0,MIN(C287+D287-E287,MAX(0,'Debt strategy'!$C$5-SUM(E287,K287,Q287,W287,AC287)-SUM(IF(L287&lt;F287,I287+J287-K287,0),IF(R287&lt;F287,O287+P287-Q287,0),IF(X287&lt;F287,U287+V287-W287,0),IF(AD287&lt;F287,AA287+AB287-AC287,0)))))</x:f>
        <x:v>0</x:v>
      </x:c>
      <x:c r="H287" s="6" t="n">
        <x:f>ROUND(MAX(0,C287+D287-E287-G287),2)</x:f>
        <x:v>0</x:v>
      </x:c>
      <x:c r="I287" s="6" t="n">
        <x:f>N286</x:f>
        <x:v>0</x:v>
      </x:c>
      <x:c r="J287" s="6" t="n">
        <x:f>ROUND(I287*'Debt strategy'!$D$10/12,2)</x:f>
        <x:v>0</x:v>
      </x:c>
      <x:c r="K287" s="6" t="n">
        <x:f>MIN(I287+J287,'Debt strategy'!$E$10)</x:f>
        <x:v>0</x:v>
      </x:c>
      <x:c r="L287" s="27" t="n">
        <x:f>IF(I287+J287-K287&lt;=0,99,1+SUM(IF(AND(C287+D287-E287&gt;0,OR(C287+D287-E287&lt;I287+J287-K287,AND(C287+D287-E287=I287+J287-K287,0&lt;1))),1,0),IF(AND(O287+P287-Q287&gt;0,OR(O287+P287-Q287&lt;I287+J287-K287,AND(O287+P287-Q287=I287+J287-K287,2&lt;1))),1,0),IF(AND(U287+V287-W287&gt;0,OR(U287+V287-W287&lt;I287+J287-K287,AND(U287+V287-W287=I287+J287-K287,3&lt;1))),1,0),IF(AND(AA287+AB287-AC287&gt;0,OR(AA287+AB287-AC287&lt;I287+J287-K287,AND(AA287+AB287-AC287=I287+J287-K287,4&lt;1))),1,0)))</x:f>
        <x:v>99</x:v>
      </x:c>
      <x:c r="M287" s="6" t="n">
        <x:f>IF('Debt strategy'!$C$16&gt;0,0,MIN(I287+J287-K287,MAX(0,'Debt strategy'!$C$5-SUM(E287,K287,Q287,W287,AC287)-SUM(IF(F287&lt;L287,C287+D287-E287,0),IF(R287&lt;L287,O287+P287-Q287,0),IF(X287&lt;L287,U287+V287-W287,0),IF(AD287&lt;L287,AA287+AB287-AC287,0)))))</x:f>
        <x:v>0</x:v>
      </x:c>
      <x:c r="N287" s="6" t="n">
        <x:f>ROUND(MAX(0,I287+J287-K287-M287),2)</x:f>
        <x:v>0</x:v>
      </x:c>
      <x:c r="O287" s="6" t="n">
        <x:f>T286</x:f>
        <x:v>0</x:v>
      </x:c>
      <x:c r="P287" s="6" t="n">
        <x:f>ROUND(O287*'Debt strategy'!$D$11/12,2)</x:f>
        <x:v>0</x:v>
      </x:c>
      <x:c r="Q287" s="6" t="n">
        <x:f>MIN(O287+P287,'Debt strategy'!$E$11)</x:f>
        <x:v>0</x:v>
      </x:c>
      <x:c r="R287" s="27" t="n">
        <x:f>IF(O287+P287-Q287&lt;=0,99,1+SUM(IF(AND(C287+D287-E287&gt;0,OR(C287+D287-E287&lt;O287+P287-Q287,AND(C287+D287-E287=O287+P287-Q287,0&lt;2))),1,0),IF(AND(I287+J287-K287&gt;0,OR(I287+J287-K287&lt;O287+P287-Q287,AND(I287+J287-K287=O287+P287-Q287,1&lt;2))),1,0),IF(AND(U287+V287-W287&gt;0,OR(U287+V287-W287&lt;O287+P287-Q287,AND(U287+V287-W287=O287+P287-Q287,3&lt;2))),1,0),IF(AND(AA287+AB287-AC287&gt;0,OR(AA287+AB287-AC287&lt;O287+P287-Q287,AND(AA287+AB287-AC287=O287+P287-Q287,4&lt;2))),1,0)))</x:f>
        <x:v>99</x:v>
      </x:c>
      <x:c r="S287" s="6" t="n">
        <x:f>IF('Debt strategy'!$C$16&gt;0,0,MIN(O287+P287-Q287,MAX(0,'Debt strategy'!$C$5-SUM(E287,K287,Q287,W287,AC287)-SUM(IF(F287&lt;R287,C287+D287-E287,0),IF(L287&lt;R287,I287+J287-K287,0),IF(X287&lt;R287,U287+V287-W287,0),IF(AD287&lt;R287,AA287+AB287-AC287,0)))))</x:f>
        <x:v>0</x:v>
      </x:c>
      <x:c r="T287" s="6" t="n">
        <x:f>ROUND(MAX(0,O287+P287-Q287-S287),2)</x:f>
        <x:v>0</x:v>
      </x:c>
      <x:c r="U287" s="6" t="n">
        <x:f>Z286</x:f>
        <x:v>0</x:v>
      </x:c>
      <x:c r="V287" s="6" t="n">
        <x:f>ROUND(U287*'Debt strategy'!$D$12/12,2)</x:f>
        <x:v>0</x:v>
      </x:c>
      <x:c r="W287" s="6" t="n">
        <x:f>MIN(U287+V287,'Debt strategy'!$E$12)</x:f>
        <x:v>0</x:v>
      </x:c>
      <x:c r="X287" s="27" t="n">
        <x:f>IF(U287+V287-W287&lt;=0,99,1+SUM(IF(AND(C287+D287-E287&gt;0,OR(C287+D287-E287&lt;U287+V287-W287,AND(C287+D287-E287=U287+V287-W287,0&lt;3))),1,0),IF(AND(I287+J287-K287&gt;0,OR(I287+J287-K287&lt;U287+V287-W287,AND(I287+J287-K287=U287+V287-W287,1&lt;3))),1,0),IF(AND(O287+P287-Q287&gt;0,OR(O287+P287-Q287&lt;U287+V287-W287,AND(O287+P287-Q287=U287+V287-W287,2&lt;3))),1,0),IF(AND(AA287+AB287-AC287&gt;0,OR(AA287+AB287-AC287&lt;U287+V287-W287,AND(AA287+AB287-AC287=U287+V287-W287,4&lt;3))),1,0)))</x:f>
        <x:v>99</x:v>
      </x:c>
      <x:c r="Y287" s="6" t="n">
        <x:f>IF('Debt strategy'!$C$16&gt;0,0,MIN(U287+V287-W287,MAX(0,'Debt strategy'!$C$5-SUM(E287,K287,Q287,W287,AC287)-SUM(IF(F287&lt;X287,C287+D287-E287,0),IF(L287&lt;X287,I287+J287-K287,0),IF(R287&lt;X287,O287+P287-Q287,0),IF(AD287&lt;X287,AA287+AB287-AC287,0)))))</x:f>
        <x:v>0</x:v>
      </x:c>
      <x:c r="Z287" s="6" t="n">
        <x:f>ROUND(MAX(0,U287+V287-W287-Y287),2)</x:f>
        <x:v>0</x:v>
      </x:c>
      <x:c r="AA287" s="6" t="n">
        <x:f>AF286</x:f>
        <x:v>0</x:v>
      </x:c>
      <x:c r="AB287" s="6" t="n">
        <x:f>ROUND(AA287*'Debt strategy'!$D$13/12,2)</x:f>
        <x:v>0</x:v>
      </x:c>
      <x:c r="AC287" s="6" t="n">
        <x:f>MIN(AA287+AB287,'Debt strategy'!$E$13)</x:f>
        <x:v>0</x:v>
      </x:c>
      <x:c r="AD287" s="27" t="n">
        <x:f>IF(AA287+AB287-AC287&lt;=0,99,1+SUM(IF(AND(C287+D287-E287&gt;0,OR(C287+D287-E287&lt;AA287+AB287-AC287,AND(C287+D287-E287=AA287+AB287-AC287,0&lt;4))),1,0),IF(AND(I287+J287-K287&gt;0,OR(I287+J287-K287&lt;AA287+AB287-AC287,AND(I287+J287-K287=AA287+AB287-AC287,1&lt;4))),1,0),IF(AND(O287+P287-Q287&gt;0,OR(O287+P287-Q287&lt;AA287+AB287-AC287,AND(O287+P287-Q287=AA287+AB287-AC287,2&lt;4))),1,0),IF(AND(U287+V287-W287&gt;0,OR(U287+V287-W287&lt;AA287+AB287-AC287,AND(U287+V287-W287=AA287+AB287-AC287,3&lt;4))),1,0)))</x:f>
        <x:v>99</x:v>
      </x:c>
      <x:c r="AE287" s="6" t="n">
        <x:f>IF('Debt strategy'!$C$16&gt;0,0,MIN(AA287+AB287-AC287,MAX(0,'Debt strategy'!$C$5-SUM(E287,K287,Q287,W287,AC287)-SUM(IF(F287&lt;AD287,C287+D287-E287,0),IF(L287&lt;AD287,I287+J287-K287,0),IF(R287&lt;AD287,O287+P287-Q287,0),IF(X287&lt;AD287,U287+V287-W287,0)))))</x:f>
        <x:v>0</x:v>
      </x:c>
      <x:c r="AF287" s="6" t="n">
        <x:f>ROUND(MAX(0,AA287+AB287-AC287-AE287),2)</x:f>
        <x:v>0</x:v>
      </x:c>
      <x:c r="AG287" s="6" t="n">
        <x:f>SUM(H287,N287,T287,Z287,AF287)</x:f>
        <x:v>0</x:v>
      </x:c>
      <x:c r="AH287" s="6" t="n">
        <x:f>SUM(D287,J287,P287,V287,AB287)+AH286</x:f>
        <x:v>1353.9499999999996</x:v>
      </x:c>
      <x:c r="AI287" s="2"/>
    </x:row>
    <x:row r="288" ht="23" customHeight="1">
      <x:c r="B288" s="2" t="n">
        <x:f>280</x:f>
        <x:v>280</x:v>
      </x:c>
      <x:c r="C288" s="6" t="n">
        <x:f>H287</x:f>
        <x:v>0</x:v>
      </x:c>
      <x:c r="D288" s="6" t="n">
        <x:f>ROUND(C288*'Debt strategy'!$D$9/12,2)</x:f>
        <x:v>0</x:v>
      </x:c>
      <x:c r="E288" s="6" t="n">
        <x:f>MIN(C288+D288,'Debt strategy'!$E$9)</x:f>
        <x:v>0</x:v>
      </x:c>
      <x:c r="F288" s="27" t="n">
        <x:f>IF(C288+D288-E288&lt;=0,99,1+SUM(IF(AND(I288+J288-K288&gt;0,OR(I288+J288-K288&lt;C288+D288-E288,AND(I288+J288-K288=C288+D288-E288,1&lt;0))),1,0),IF(AND(O288+P288-Q288&gt;0,OR(O288+P288-Q288&lt;C288+D288-E288,AND(O288+P288-Q288=C288+D288-E288,2&lt;0))),1,0),IF(AND(U288+V288-W288&gt;0,OR(U288+V288-W288&lt;C288+D288-E288,AND(U288+V288-W288=C288+D288-E288,3&lt;0))),1,0),IF(AND(AA288+AB288-AC288&gt;0,OR(AA288+AB288-AC288&lt;C288+D288-E288,AND(AA288+AB288-AC288=C288+D288-E288,4&lt;0))),1,0)))</x:f>
        <x:v>99</x:v>
      </x:c>
      <x:c r="G288" s="6" t="n">
        <x:f>IF('Debt strategy'!$C$16&gt;0,0,MIN(C288+D288-E288,MAX(0,'Debt strategy'!$C$5-SUM(E288,K288,Q288,W288,AC288)-SUM(IF(L288&lt;F288,I288+J288-K288,0),IF(R288&lt;F288,O288+P288-Q288,0),IF(X288&lt;F288,U288+V288-W288,0),IF(AD288&lt;F288,AA288+AB288-AC288,0)))))</x:f>
        <x:v>0</x:v>
      </x:c>
      <x:c r="H288" s="6" t="n">
        <x:f>ROUND(MAX(0,C288+D288-E288-G288),2)</x:f>
        <x:v>0</x:v>
      </x:c>
      <x:c r="I288" s="6" t="n">
        <x:f>N287</x:f>
        <x:v>0</x:v>
      </x:c>
      <x:c r="J288" s="6" t="n">
        <x:f>ROUND(I288*'Debt strategy'!$D$10/12,2)</x:f>
        <x:v>0</x:v>
      </x:c>
      <x:c r="K288" s="6" t="n">
        <x:f>MIN(I288+J288,'Debt strategy'!$E$10)</x:f>
        <x:v>0</x:v>
      </x:c>
      <x:c r="L288" s="27" t="n">
        <x:f>IF(I288+J288-K288&lt;=0,99,1+SUM(IF(AND(C288+D288-E288&gt;0,OR(C288+D288-E288&lt;I288+J288-K288,AND(C288+D288-E288=I288+J288-K288,0&lt;1))),1,0),IF(AND(O288+P288-Q288&gt;0,OR(O288+P288-Q288&lt;I288+J288-K288,AND(O288+P288-Q288=I288+J288-K288,2&lt;1))),1,0),IF(AND(U288+V288-W288&gt;0,OR(U288+V288-W288&lt;I288+J288-K288,AND(U288+V288-W288=I288+J288-K288,3&lt;1))),1,0),IF(AND(AA288+AB288-AC288&gt;0,OR(AA288+AB288-AC288&lt;I288+J288-K288,AND(AA288+AB288-AC288=I288+J288-K288,4&lt;1))),1,0)))</x:f>
        <x:v>99</x:v>
      </x:c>
      <x:c r="M288" s="6" t="n">
        <x:f>IF('Debt strategy'!$C$16&gt;0,0,MIN(I288+J288-K288,MAX(0,'Debt strategy'!$C$5-SUM(E288,K288,Q288,W288,AC288)-SUM(IF(F288&lt;L288,C288+D288-E288,0),IF(R288&lt;L288,O288+P288-Q288,0),IF(X288&lt;L288,U288+V288-W288,0),IF(AD288&lt;L288,AA288+AB288-AC288,0)))))</x:f>
        <x:v>0</x:v>
      </x:c>
      <x:c r="N288" s="6" t="n">
        <x:f>ROUND(MAX(0,I288+J288-K288-M288),2)</x:f>
        <x:v>0</x:v>
      </x:c>
      <x:c r="O288" s="6" t="n">
        <x:f>T287</x:f>
        <x:v>0</x:v>
      </x:c>
      <x:c r="P288" s="6" t="n">
        <x:f>ROUND(O288*'Debt strategy'!$D$11/12,2)</x:f>
        <x:v>0</x:v>
      </x:c>
      <x:c r="Q288" s="6" t="n">
        <x:f>MIN(O288+P288,'Debt strategy'!$E$11)</x:f>
        <x:v>0</x:v>
      </x:c>
      <x:c r="R288" s="27" t="n">
        <x:f>IF(O288+P288-Q288&lt;=0,99,1+SUM(IF(AND(C288+D288-E288&gt;0,OR(C288+D288-E288&lt;O288+P288-Q288,AND(C288+D288-E288=O288+P288-Q288,0&lt;2))),1,0),IF(AND(I288+J288-K288&gt;0,OR(I288+J288-K288&lt;O288+P288-Q288,AND(I288+J288-K288=O288+P288-Q288,1&lt;2))),1,0),IF(AND(U288+V288-W288&gt;0,OR(U288+V288-W288&lt;O288+P288-Q288,AND(U288+V288-W288=O288+P288-Q288,3&lt;2))),1,0),IF(AND(AA288+AB288-AC288&gt;0,OR(AA288+AB288-AC288&lt;O288+P288-Q288,AND(AA288+AB288-AC288=O288+P288-Q288,4&lt;2))),1,0)))</x:f>
        <x:v>99</x:v>
      </x:c>
      <x:c r="S288" s="6" t="n">
        <x:f>IF('Debt strategy'!$C$16&gt;0,0,MIN(O288+P288-Q288,MAX(0,'Debt strategy'!$C$5-SUM(E288,K288,Q288,W288,AC288)-SUM(IF(F288&lt;R288,C288+D288-E288,0),IF(L288&lt;R288,I288+J288-K288,0),IF(X288&lt;R288,U288+V288-W288,0),IF(AD288&lt;R288,AA288+AB288-AC288,0)))))</x:f>
        <x:v>0</x:v>
      </x:c>
      <x:c r="T288" s="6" t="n">
        <x:f>ROUND(MAX(0,O288+P288-Q288-S288),2)</x:f>
        <x:v>0</x:v>
      </x:c>
      <x:c r="U288" s="6" t="n">
        <x:f>Z287</x:f>
        <x:v>0</x:v>
      </x:c>
      <x:c r="V288" s="6" t="n">
        <x:f>ROUND(U288*'Debt strategy'!$D$12/12,2)</x:f>
        <x:v>0</x:v>
      </x:c>
      <x:c r="W288" s="6" t="n">
        <x:f>MIN(U288+V288,'Debt strategy'!$E$12)</x:f>
        <x:v>0</x:v>
      </x:c>
      <x:c r="X288" s="27" t="n">
        <x:f>IF(U288+V288-W288&lt;=0,99,1+SUM(IF(AND(C288+D288-E288&gt;0,OR(C288+D288-E288&lt;U288+V288-W288,AND(C288+D288-E288=U288+V288-W288,0&lt;3))),1,0),IF(AND(I288+J288-K288&gt;0,OR(I288+J288-K288&lt;U288+V288-W288,AND(I288+J288-K288=U288+V288-W288,1&lt;3))),1,0),IF(AND(O288+P288-Q288&gt;0,OR(O288+P288-Q288&lt;U288+V288-W288,AND(O288+P288-Q288=U288+V288-W288,2&lt;3))),1,0),IF(AND(AA288+AB288-AC288&gt;0,OR(AA288+AB288-AC288&lt;U288+V288-W288,AND(AA288+AB288-AC288=U288+V288-W288,4&lt;3))),1,0)))</x:f>
        <x:v>99</x:v>
      </x:c>
      <x:c r="Y288" s="6" t="n">
        <x:f>IF('Debt strategy'!$C$16&gt;0,0,MIN(U288+V288-W288,MAX(0,'Debt strategy'!$C$5-SUM(E288,K288,Q288,W288,AC288)-SUM(IF(F288&lt;X288,C288+D288-E288,0),IF(L288&lt;X288,I288+J288-K288,0),IF(R288&lt;X288,O288+P288-Q288,0),IF(AD288&lt;X288,AA288+AB288-AC288,0)))))</x:f>
        <x:v>0</x:v>
      </x:c>
      <x:c r="Z288" s="6" t="n">
        <x:f>ROUND(MAX(0,U288+V288-W288-Y288),2)</x:f>
        <x:v>0</x:v>
      </x:c>
      <x:c r="AA288" s="6" t="n">
        <x:f>AF287</x:f>
        <x:v>0</x:v>
      </x:c>
      <x:c r="AB288" s="6" t="n">
        <x:f>ROUND(AA288*'Debt strategy'!$D$13/12,2)</x:f>
        <x:v>0</x:v>
      </x:c>
      <x:c r="AC288" s="6" t="n">
        <x:f>MIN(AA288+AB288,'Debt strategy'!$E$13)</x:f>
        <x:v>0</x:v>
      </x:c>
      <x:c r="AD288" s="27" t="n">
        <x:f>IF(AA288+AB288-AC288&lt;=0,99,1+SUM(IF(AND(C288+D288-E288&gt;0,OR(C288+D288-E288&lt;AA288+AB288-AC288,AND(C288+D288-E288=AA288+AB288-AC288,0&lt;4))),1,0),IF(AND(I288+J288-K288&gt;0,OR(I288+J288-K288&lt;AA288+AB288-AC288,AND(I288+J288-K288=AA288+AB288-AC288,1&lt;4))),1,0),IF(AND(O288+P288-Q288&gt;0,OR(O288+P288-Q288&lt;AA288+AB288-AC288,AND(O288+P288-Q288=AA288+AB288-AC288,2&lt;4))),1,0),IF(AND(U288+V288-W288&gt;0,OR(U288+V288-W288&lt;AA288+AB288-AC288,AND(U288+V288-W288=AA288+AB288-AC288,3&lt;4))),1,0)))</x:f>
        <x:v>99</x:v>
      </x:c>
      <x:c r="AE288" s="6" t="n">
        <x:f>IF('Debt strategy'!$C$16&gt;0,0,MIN(AA288+AB288-AC288,MAX(0,'Debt strategy'!$C$5-SUM(E288,K288,Q288,W288,AC288)-SUM(IF(F288&lt;AD288,C288+D288-E288,0),IF(L288&lt;AD288,I288+J288-K288,0),IF(R288&lt;AD288,O288+P288-Q288,0),IF(X288&lt;AD288,U288+V288-W288,0)))))</x:f>
        <x:v>0</x:v>
      </x:c>
      <x:c r="AF288" s="6" t="n">
        <x:f>ROUND(MAX(0,AA288+AB288-AC288-AE288),2)</x:f>
        <x:v>0</x:v>
      </x:c>
      <x:c r="AG288" s="6" t="n">
        <x:f>SUM(H288,N288,T288,Z288,AF288)</x:f>
        <x:v>0</x:v>
      </x:c>
      <x:c r="AH288" s="6" t="n">
        <x:f>SUM(D288,J288,P288,V288,AB288)+AH287</x:f>
        <x:v>1353.9499999999996</x:v>
      </x:c>
      <x:c r="AI288" s="2"/>
    </x:row>
    <x:row r="289" ht="23" customHeight="1">
      <x:c r="B289" s="2" t="n">
        <x:f>281</x:f>
        <x:v>281</x:v>
      </x:c>
      <x:c r="C289" s="6" t="n">
        <x:f>H288</x:f>
        <x:v>0</x:v>
      </x:c>
      <x:c r="D289" s="6" t="n">
        <x:f>ROUND(C289*'Debt strategy'!$D$9/12,2)</x:f>
        <x:v>0</x:v>
      </x:c>
      <x:c r="E289" s="6" t="n">
        <x:f>MIN(C289+D289,'Debt strategy'!$E$9)</x:f>
        <x:v>0</x:v>
      </x:c>
      <x:c r="F289" s="27" t="n">
        <x:f>IF(C289+D289-E289&lt;=0,99,1+SUM(IF(AND(I289+J289-K289&gt;0,OR(I289+J289-K289&lt;C289+D289-E289,AND(I289+J289-K289=C289+D289-E289,1&lt;0))),1,0),IF(AND(O289+P289-Q289&gt;0,OR(O289+P289-Q289&lt;C289+D289-E289,AND(O289+P289-Q289=C289+D289-E289,2&lt;0))),1,0),IF(AND(U289+V289-W289&gt;0,OR(U289+V289-W289&lt;C289+D289-E289,AND(U289+V289-W289=C289+D289-E289,3&lt;0))),1,0),IF(AND(AA289+AB289-AC289&gt;0,OR(AA289+AB289-AC289&lt;C289+D289-E289,AND(AA289+AB289-AC289=C289+D289-E289,4&lt;0))),1,0)))</x:f>
        <x:v>99</x:v>
      </x:c>
      <x:c r="G289" s="6" t="n">
        <x:f>IF('Debt strategy'!$C$16&gt;0,0,MIN(C289+D289-E289,MAX(0,'Debt strategy'!$C$5-SUM(E289,K289,Q289,W289,AC289)-SUM(IF(L289&lt;F289,I289+J289-K289,0),IF(R289&lt;F289,O289+P289-Q289,0),IF(X289&lt;F289,U289+V289-W289,0),IF(AD289&lt;F289,AA289+AB289-AC289,0)))))</x:f>
        <x:v>0</x:v>
      </x:c>
      <x:c r="H289" s="6" t="n">
        <x:f>ROUND(MAX(0,C289+D289-E289-G289),2)</x:f>
        <x:v>0</x:v>
      </x:c>
      <x:c r="I289" s="6" t="n">
        <x:f>N288</x:f>
        <x:v>0</x:v>
      </x:c>
      <x:c r="J289" s="6" t="n">
        <x:f>ROUND(I289*'Debt strategy'!$D$10/12,2)</x:f>
        <x:v>0</x:v>
      </x:c>
      <x:c r="K289" s="6" t="n">
        <x:f>MIN(I289+J289,'Debt strategy'!$E$10)</x:f>
        <x:v>0</x:v>
      </x:c>
      <x:c r="L289" s="27" t="n">
        <x:f>IF(I289+J289-K289&lt;=0,99,1+SUM(IF(AND(C289+D289-E289&gt;0,OR(C289+D289-E289&lt;I289+J289-K289,AND(C289+D289-E289=I289+J289-K289,0&lt;1))),1,0),IF(AND(O289+P289-Q289&gt;0,OR(O289+P289-Q289&lt;I289+J289-K289,AND(O289+P289-Q289=I289+J289-K289,2&lt;1))),1,0),IF(AND(U289+V289-W289&gt;0,OR(U289+V289-W289&lt;I289+J289-K289,AND(U289+V289-W289=I289+J289-K289,3&lt;1))),1,0),IF(AND(AA289+AB289-AC289&gt;0,OR(AA289+AB289-AC289&lt;I289+J289-K289,AND(AA289+AB289-AC289=I289+J289-K289,4&lt;1))),1,0)))</x:f>
        <x:v>99</x:v>
      </x:c>
      <x:c r="M289" s="6" t="n">
        <x:f>IF('Debt strategy'!$C$16&gt;0,0,MIN(I289+J289-K289,MAX(0,'Debt strategy'!$C$5-SUM(E289,K289,Q289,W289,AC289)-SUM(IF(F289&lt;L289,C289+D289-E289,0),IF(R289&lt;L289,O289+P289-Q289,0),IF(X289&lt;L289,U289+V289-W289,0),IF(AD289&lt;L289,AA289+AB289-AC289,0)))))</x:f>
        <x:v>0</x:v>
      </x:c>
      <x:c r="N289" s="6" t="n">
        <x:f>ROUND(MAX(0,I289+J289-K289-M289),2)</x:f>
        <x:v>0</x:v>
      </x:c>
      <x:c r="O289" s="6" t="n">
        <x:f>T288</x:f>
        <x:v>0</x:v>
      </x:c>
      <x:c r="P289" s="6" t="n">
        <x:f>ROUND(O289*'Debt strategy'!$D$11/12,2)</x:f>
        <x:v>0</x:v>
      </x:c>
      <x:c r="Q289" s="6" t="n">
        <x:f>MIN(O289+P289,'Debt strategy'!$E$11)</x:f>
        <x:v>0</x:v>
      </x:c>
      <x:c r="R289" s="27" t="n">
        <x:f>IF(O289+P289-Q289&lt;=0,99,1+SUM(IF(AND(C289+D289-E289&gt;0,OR(C289+D289-E289&lt;O289+P289-Q289,AND(C289+D289-E289=O289+P289-Q289,0&lt;2))),1,0),IF(AND(I289+J289-K289&gt;0,OR(I289+J289-K289&lt;O289+P289-Q289,AND(I289+J289-K289=O289+P289-Q289,1&lt;2))),1,0),IF(AND(U289+V289-W289&gt;0,OR(U289+V289-W289&lt;O289+P289-Q289,AND(U289+V289-W289=O289+P289-Q289,3&lt;2))),1,0),IF(AND(AA289+AB289-AC289&gt;0,OR(AA289+AB289-AC289&lt;O289+P289-Q289,AND(AA289+AB289-AC289=O289+P289-Q289,4&lt;2))),1,0)))</x:f>
        <x:v>99</x:v>
      </x:c>
      <x:c r="S289" s="6" t="n">
        <x:f>IF('Debt strategy'!$C$16&gt;0,0,MIN(O289+P289-Q289,MAX(0,'Debt strategy'!$C$5-SUM(E289,K289,Q289,W289,AC289)-SUM(IF(F289&lt;R289,C289+D289-E289,0),IF(L289&lt;R289,I289+J289-K289,0),IF(X289&lt;R289,U289+V289-W289,0),IF(AD289&lt;R289,AA289+AB289-AC289,0)))))</x:f>
        <x:v>0</x:v>
      </x:c>
      <x:c r="T289" s="6" t="n">
        <x:f>ROUND(MAX(0,O289+P289-Q289-S289),2)</x:f>
        <x:v>0</x:v>
      </x:c>
      <x:c r="U289" s="6" t="n">
        <x:f>Z288</x:f>
        <x:v>0</x:v>
      </x:c>
      <x:c r="V289" s="6" t="n">
        <x:f>ROUND(U289*'Debt strategy'!$D$12/12,2)</x:f>
        <x:v>0</x:v>
      </x:c>
      <x:c r="W289" s="6" t="n">
        <x:f>MIN(U289+V289,'Debt strategy'!$E$12)</x:f>
        <x:v>0</x:v>
      </x:c>
      <x:c r="X289" s="27" t="n">
        <x:f>IF(U289+V289-W289&lt;=0,99,1+SUM(IF(AND(C289+D289-E289&gt;0,OR(C289+D289-E289&lt;U289+V289-W289,AND(C289+D289-E289=U289+V289-W289,0&lt;3))),1,0),IF(AND(I289+J289-K289&gt;0,OR(I289+J289-K289&lt;U289+V289-W289,AND(I289+J289-K289=U289+V289-W289,1&lt;3))),1,0),IF(AND(O289+P289-Q289&gt;0,OR(O289+P289-Q289&lt;U289+V289-W289,AND(O289+P289-Q289=U289+V289-W289,2&lt;3))),1,0),IF(AND(AA289+AB289-AC289&gt;0,OR(AA289+AB289-AC289&lt;U289+V289-W289,AND(AA289+AB289-AC289=U289+V289-W289,4&lt;3))),1,0)))</x:f>
        <x:v>99</x:v>
      </x:c>
      <x:c r="Y289" s="6" t="n">
        <x:f>IF('Debt strategy'!$C$16&gt;0,0,MIN(U289+V289-W289,MAX(0,'Debt strategy'!$C$5-SUM(E289,K289,Q289,W289,AC289)-SUM(IF(F289&lt;X289,C289+D289-E289,0),IF(L289&lt;X289,I289+J289-K289,0),IF(R289&lt;X289,O289+P289-Q289,0),IF(AD289&lt;X289,AA289+AB289-AC289,0)))))</x:f>
        <x:v>0</x:v>
      </x:c>
      <x:c r="Z289" s="6" t="n">
        <x:f>ROUND(MAX(0,U289+V289-W289-Y289),2)</x:f>
        <x:v>0</x:v>
      </x:c>
      <x:c r="AA289" s="6" t="n">
        <x:f>AF288</x:f>
        <x:v>0</x:v>
      </x:c>
      <x:c r="AB289" s="6" t="n">
        <x:f>ROUND(AA289*'Debt strategy'!$D$13/12,2)</x:f>
        <x:v>0</x:v>
      </x:c>
      <x:c r="AC289" s="6" t="n">
        <x:f>MIN(AA289+AB289,'Debt strategy'!$E$13)</x:f>
        <x:v>0</x:v>
      </x:c>
      <x:c r="AD289" s="27" t="n">
        <x:f>IF(AA289+AB289-AC289&lt;=0,99,1+SUM(IF(AND(C289+D289-E289&gt;0,OR(C289+D289-E289&lt;AA289+AB289-AC289,AND(C289+D289-E289=AA289+AB289-AC289,0&lt;4))),1,0),IF(AND(I289+J289-K289&gt;0,OR(I289+J289-K289&lt;AA289+AB289-AC289,AND(I289+J289-K289=AA289+AB289-AC289,1&lt;4))),1,0),IF(AND(O289+P289-Q289&gt;0,OR(O289+P289-Q289&lt;AA289+AB289-AC289,AND(O289+P289-Q289=AA289+AB289-AC289,2&lt;4))),1,0),IF(AND(U289+V289-W289&gt;0,OR(U289+V289-W289&lt;AA289+AB289-AC289,AND(U289+V289-W289=AA289+AB289-AC289,3&lt;4))),1,0)))</x:f>
        <x:v>99</x:v>
      </x:c>
      <x:c r="AE289" s="6" t="n">
        <x:f>IF('Debt strategy'!$C$16&gt;0,0,MIN(AA289+AB289-AC289,MAX(0,'Debt strategy'!$C$5-SUM(E289,K289,Q289,W289,AC289)-SUM(IF(F289&lt;AD289,C289+D289-E289,0),IF(L289&lt;AD289,I289+J289-K289,0),IF(R289&lt;AD289,O289+P289-Q289,0),IF(X289&lt;AD289,U289+V289-W289,0)))))</x:f>
        <x:v>0</x:v>
      </x:c>
      <x:c r="AF289" s="6" t="n">
        <x:f>ROUND(MAX(0,AA289+AB289-AC289-AE289),2)</x:f>
        <x:v>0</x:v>
      </x:c>
      <x:c r="AG289" s="6" t="n">
        <x:f>SUM(H289,N289,T289,Z289,AF289)</x:f>
        <x:v>0</x:v>
      </x:c>
      <x:c r="AH289" s="6" t="n">
        <x:f>SUM(D289,J289,P289,V289,AB289)+AH288</x:f>
        <x:v>1353.9499999999996</x:v>
      </x:c>
      <x:c r="AI289" s="2"/>
    </x:row>
    <x:row r="290" ht="23" customHeight="1">
      <x:c r="B290" s="2" t="n">
        <x:f>282</x:f>
        <x:v>282</x:v>
      </x:c>
      <x:c r="C290" s="6" t="n">
        <x:f>H289</x:f>
        <x:v>0</x:v>
      </x:c>
      <x:c r="D290" s="6" t="n">
        <x:f>ROUND(C290*'Debt strategy'!$D$9/12,2)</x:f>
        <x:v>0</x:v>
      </x:c>
      <x:c r="E290" s="6" t="n">
        <x:f>MIN(C290+D290,'Debt strategy'!$E$9)</x:f>
        <x:v>0</x:v>
      </x:c>
      <x:c r="F290" s="27" t="n">
        <x:f>IF(C290+D290-E290&lt;=0,99,1+SUM(IF(AND(I290+J290-K290&gt;0,OR(I290+J290-K290&lt;C290+D290-E290,AND(I290+J290-K290=C290+D290-E290,1&lt;0))),1,0),IF(AND(O290+P290-Q290&gt;0,OR(O290+P290-Q290&lt;C290+D290-E290,AND(O290+P290-Q290=C290+D290-E290,2&lt;0))),1,0),IF(AND(U290+V290-W290&gt;0,OR(U290+V290-W290&lt;C290+D290-E290,AND(U290+V290-W290=C290+D290-E290,3&lt;0))),1,0),IF(AND(AA290+AB290-AC290&gt;0,OR(AA290+AB290-AC290&lt;C290+D290-E290,AND(AA290+AB290-AC290=C290+D290-E290,4&lt;0))),1,0)))</x:f>
        <x:v>99</x:v>
      </x:c>
      <x:c r="G290" s="6" t="n">
        <x:f>IF('Debt strategy'!$C$16&gt;0,0,MIN(C290+D290-E290,MAX(0,'Debt strategy'!$C$5-SUM(E290,K290,Q290,W290,AC290)-SUM(IF(L290&lt;F290,I290+J290-K290,0),IF(R290&lt;F290,O290+P290-Q290,0),IF(X290&lt;F290,U290+V290-W290,0),IF(AD290&lt;F290,AA290+AB290-AC290,0)))))</x:f>
        <x:v>0</x:v>
      </x:c>
      <x:c r="H290" s="6" t="n">
        <x:f>ROUND(MAX(0,C290+D290-E290-G290),2)</x:f>
        <x:v>0</x:v>
      </x:c>
      <x:c r="I290" s="6" t="n">
        <x:f>N289</x:f>
        <x:v>0</x:v>
      </x:c>
      <x:c r="J290" s="6" t="n">
        <x:f>ROUND(I290*'Debt strategy'!$D$10/12,2)</x:f>
        <x:v>0</x:v>
      </x:c>
      <x:c r="K290" s="6" t="n">
        <x:f>MIN(I290+J290,'Debt strategy'!$E$10)</x:f>
        <x:v>0</x:v>
      </x:c>
      <x:c r="L290" s="27" t="n">
        <x:f>IF(I290+J290-K290&lt;=0,99,1+SUM(IF(AND(C290+D290-E290&gt;0,OR(C290+D290-E290&lt;I290+J290-K290,AND(C290+D290-E290=I290+J290-K290,0&lt;1))),1,0),IF(AND(O290+P290-Q290&gt;0,OR(O290+P290-Q290&lt;I290+J290-K290,AND(O290+P290-Q290=I290+J290-K290,2&lt;1))),1,0),IF(AND(U290+V290-W290&gt;0,OR(U290+V290-W290&lt;I290+J290-K290,AND(U290+V290-W290=I290+J290-K290,3&lt;1))),1,0),IF(AND(AA290+AB290-AC290&gt;0,OR(AA290+AB290-AC290&lt;I290+J290-K290,AND(AA290+AB290-AC290=I290+J290-K290,4&lt;1))),1,0)))</x:f>
        <x:v>99</x:v>
      </x:c>
      <x:c r="M290" s="6" t="n">
        <x:f>IF('Debt strategy'!$C$16&gt;0,0,MIN(I290+J290-K290,MAX(0,'Debt strategy'!$C$5-SUM(E290,K290,Q290,W290,AC290)-SUM(IF(F290&lt;L290,C290+D290-E290,0),IF(R290&lt;L290,O290+P290-Q290,0),IF(X290&lt;L290,U290+V290-W290,0),IF(AD290&lt;L290,AA290+AB290-AC290,0)))))</x:f>
        <x:v>0</x:v>
      </x:c>
      <x:c r="N290" s="6" t="n">
        <x:f>ROUND(MAX(0,I290+J290-K290-M290),2)</x:f>
        <x:v>0</x:v>
      </x:c>
      <x:c r="O290" s="6" t="n">
        <x:f>T289</x:f>
        <x:v>0</x:v>
      </x:c>
      <x:c r="P290" s="6" t="n">
        <x:f>ROUND(O290*'Debt strategy'!$D$11/12,2)</x:f>
        <x:v>0</x:v>
      </x:c>
      <x:c r="Q290" s="6" t="n">
        <x:f>MIN(O290+P290,'Debt strategy'!$E$11)</x:f>
        <x:v>0</x:v>
      </x:c>
      <x:c r="R290" s="27" t="n">
        <x:f>IF(O290+P290-Q290&lt;=0,99,1+SUM(IF(AND(C290+D290-E290&gt;0,OR(C290+D290-E290&lt;O290+P290-Q290,AND(C290+D290-E290=O290+P290-Q290,0&lt;2))),1,0),IF(AND(I290+J290-K290&gt;0,OR(I290+J290-K290&lt;O290+P290-Q290,AND(I290+J290-K290=O290+P290-Q290,1&lt;2))),1,0),IF(AND(U290+V290-W290&gt;0,OR(U290+V290-W290&lt;O290+P290-Q290,AND(U290+V290-W290=O290+P290-Q290,3&lt;2))),1,0),IF(AND(AA290+AB290-AC290&gt;0,OR(AA290+AB290-AC290&lt;O290+P290-Q290,AND(AA290+AB290-AC290=O290+P290-Q290,4&lt;2))),1,0)))</x:f>
        <x:v>99</x:v>
      </x:c>
      <x:c r="S290" s="6" t="n">
        <x:f>IF('Debt strategy'!$C$16&gt;0,0,MIN(O290+P290-Q290,MAX(0,'Debt strategy'!$C$5-SUM(E290,K290,Q290,W290,AC290)-SUM(IF(F290&lt;R290,C290+D290-E290,0),IF(L290&lt;R290,I290+J290-K290,0),IF(X290&lt;R290,U290+V290-W290,0),IF(AD290&lt;R290,AA290+AB290-AC290,0)))))</x:f>
        <x:v>0</x:v>
      </x:c>
      <x:c r="T290" s="6" t="n">
        <x:f>ROUND(MAX(0,O290+P290-Q290-S290),2)</x:f>
        <x:v>0</x:v>
      </x:c>
      <x:c r="U290" s="6" t="n">
        <x:f>Z289</x:f>
        <x:v>0</x:v>
      </x:c>
      <x:c r="V290" s="6" t="n">
        <x:f>ROUND(U290*'Debt strategy'!$D$12/12,2)</x:f>
        <x:v>0</x:v>
      </x:c>
      <x:c r="W290" s="6" t="n">
        <x:f>MIN(U290+V290,'Debt strategy'!$E$12)</x:f>
        <x:v>0</x:v>
      </x:c>
      <x:c r="X290" s="27" t="n">
        <x:f>IF(U290+V290-W290&lt;=0,99,1+SUM(IF(AND(C290+D290-E290&gt;0,OR(C290+D290-E290&lt;U290+V290-W290,AND(C290+D290-E290=U290+V290-W290,0&lt;3))),1,0),IF(AND(I290+J290-K290&gt;0,OR(I290+J290-K290&lt;U290+V290-W290,AND(I290+J290-K290=U290+V290-W290,1&lt;3))),1,0),IF(AND(O290+P290-Q290&gt;0,OR(O290+P290-Q290&lt;U290+V290-W290,AND(O290+P290-Q290=U290+V290-W290,2&lt;3))),1,0),IF(AND(AA290+AB290-AC290&gt;0,OR(AA290+AB290-AC290&lt;U290+V290-W290,AND(AA290+AB290-AC290=U290+V290-W290,4&lt;3))),1,0)))</x:f>
        <x:v>99</x:v>
      </x:c>
      <x:c r="Y290" s="6" t="n">
        <x:f>IF('Debt strategy'!$C$16&gt;0,0,MIN(U290+V290-W290,MAX(0,'Debt strategy'!$C$5-SUM(E290,K290,Q290,W290,AC290)-SUM(IF(F290&lt;X290,C290+D290-E290,0),IF(L290&lt;X290,I290+J290-K290,0),IF(R290&lt;X290,O290+P290-Q290,0),IF(AD290&lt;X290,AA290+AB290-AC290,0)))))</x:f>
        <x:v>0</x:v>
      </x:c>
      <x:c r="Z290" s="6" t="n">
        <x:f>ROUND(MAX(0,U290+V290-W290-Y290),2)</x:f>
        <x:v>0</x:v>
      </x:c>
      <x:c r="AA290" s="6" t="n">
        <x:f>AF289</x:f>
        <x:v>0</x:v>
      </x:c>
      <x:c r="AB290" s="6" t="n">
        <x:f>ROUND(AA290*'Debt strategy'!$D$13/12,2)</x:f>
        <x:v>0</x:v>
      </x:c>
      <x:c r="AC290" s="6" t="n">
        <x:f>MIN(AA290+AB290,'Debt strategy'!$E$13)</x:f>
        <x:v>0</x:v>
      </x:c>
      <x:c r="AD290" s="27" t="n">
        <x:f>IF(AA290+AB290-AC290&lt;=0,99,1+SUM(IF(AND(C290+D290-E290&gt;0,OR(C290+D290-E290&lt;AA290+AB290-AC290,AND(C290+D290-E290=AA290+AB290-AC290,0&lt;4))),1,0),IF(AND(I290+J290-K290&gt;0,OR(I290+J290-K290&lt;AA290+AB290-AC290,AND(I290+J290-K290=AA290+AB290-AC290,1&lt;4))),1,0),IF(AND(O290+P290-Q290&gt;0,OR(O290+P290-Q290&lt;AA290+AB290-AC290,AND(O290+P290-Q290=AA290+AB290-AC290,2&lt;4))),1,0),IF(AND(U290+V290-W290&gt;0,OR(U290+V290-W290&lt;AA290+AB290-AC290,AND(U290+V290-W290=AA290+AB290-AC290,3&lt;4))),1,0)))</x:f>
        <x:v>99</x:v>
      </x:c>
      <x:c r="AE290" s="6" t="n">
        <x:f>IF('Debt strategy'!$C$16&gt;0,0,MIN(AA290+AB290-AC290,MAX(0,'Debt strategy'!$C$5-SUM(E290,K290,Q290,W290,AC290)-SUM(IF(F290&lt;AD290,C290+D290-E290,0),IF(L290&lt;AD290,I290+J290-K290,0),IF(R290&lt;AD290,O290+P290-Q290,0),IF(X290&lt;AD290,U290+V290-W290,0)))))</x:f>
        <x:v>0</x:v>
      </x:c>
      <x:c r="AF290" s="6" t="n">
        <x:f>ROUND(MAX(0,AA290+AB290-AC290-AE290),2)</x:f>
        <x:v>0</x:v>
      </x:c>
      <x:c r="AG290" s="6" t="n">
        <x:f>SUM(H290,N290,T290,Z290,AF290)</x:f>
        <x:v>0</x:v>
      </x:c>
      <x:c r="AH290" s="6" t="n">
        <x:f>SUM(D290,J290,P290,V290,AB290)+AH289</x:f>
        <x:v>1353.9499999999996</x:v>
      </x:c>
      <x:c r="AI290" s="2"/>
    </x:row>
    <x:row r="291" ht="23" customHeight="1">
      <x:c r="B291" s="2" t="n">
        <x:f>283</x:f>
        <x:v>283</x:v>
      </x:c>
      <x:c r="C291" s="6" t="n">
        <x:f>H290</x:f>
        <x:v>0</x:v>
      </x:c>
      <x:c r="D291" s="6" t="n">
        <x:f>ROUND(C291*'Debt strategy'!$D$9/12,2)</x:f>
        <x:v>0</x:v>
      </x:c>
      <x:c r="E291" s="6" t="n">
        <x:f>MIN(C291+D291,'Debt strategy'!$E$9)</x:f>
        <x:v>0</x:v>
      </x:c>
      <x:c r="F291" s="27" t="n">
        <x:f>IF(C291+D291-E291&lt;=0,99,1+SUM(IF(AND(I291+J291-K291&gt;0,OR(I291+J291-K291&lt;C291+D291-E291,AND(I291+J291-K291=C291+D291-E291,1&lt;0))),1,0),IF(AND(O291+P291-Q291&gt;0,OR(O291+P291-Q291&lt;C291+D291-E291,AND(O291+P291-Q291=C291+D291-E291,2&lt;0))),1,0),IF(AND(U291+V291-W291&gt;0,OR(U291+V291-W291&lt;C291+D291-E291,AND(U291+V291-W291=C291+D291-E291,3&lt;0))),1,0),IF(AND(AA291+AB291-AC291&gt;0,OR(AA291+AB291-AC291&lt;C291+D291-E291,AND(AA291+AB291-AC291=C291+D291-E291,4&lt;0))),1,0)))</x:f>
        <x:v>99</x:v>
      </x:c>
      <x:c r="G291" s="6" t="n">
        <x:f>IF('Debt strategy'!$C$16&gt;0,0,MIN(C291+D291-E291,MAX(0,'Debt strategy'!$C$5-SUM(E291,K291,Q291,W291,AC291)-SUM(IF(L291&lt;F291,I291+J291-K291,0),IF(R291&lt;F291,O291+P291-Q291,0),IF(X291&lt;F291,U291+V291-W291,0),IF(AD291&lt;F291,AA291+AB291-AC291,0)))))</x:f>
        <x:v>0</x:v>
      </x:c>
      <x:c r="H291" s="6" t="n">
        <x:f>ROUND(MAX(0,C291+D291-E291-G291),2)</x:f>
        <x:v>0</x:v>
      </x:c>
      <x:c r="I291" s="6" t="n">
        <x:f>N290</x:f>
        <x:v>0</x:v>
      </x:c>
      <x:c r="J291" s="6" t="n">
        <x:f>ROUND(I291*'Debt strategy'!$D$10/12,2)</x:f>
        <x:v>0</x:v>
      </x:c>
      <x:c r="K291" s="6" t="n">
        <x:f>MIN(I291+J291,'Debt strategy'!$E$10)</x:f>
        <x:v>0</x:v>
      </x:c>
      <x:c r="L291" s="27" t="n">
        <x:f>IF(I291+J291-K291&lt;=0,99,1+SUM(IF(AND(C291+D291-E291&gt;0,OR(C291+D291-E291&lt;I291+J291-K291,AND(C291+D291-E291=I291+J291-K291,0&lt;1))),1,0),IF(AND(O291+P291-Q291&gt;0,OR(O291+P291-Q291&lt;I291+J291-K291,AND(O291+P291-Q291=I291+J291-K291,2&lt;1))),1,0),IF(AND(U291+V291-W291&gt;0,OR(U291+V291-W291&lt;I291+J291-K291,AND(U291+V291-W291=I291+J291-K291,3&lt;1))),1,0),IF(AND(AA291+AB291-AC291&gt;0,OR(AA291+AB291-AC291&lt;I291+J291-K291,AND(AA291+AB291-AC291=I291+J291-K291,4&lt;1))),1,0)))</x:f>
        <x:v>99</x:v>
      </x:c>
      <x:c r="M291" s="6" t="n">
        <x:f>IF('Debt strategy'!$C$16&gt;0,0,MIN(I291+J291-K291,MAX(0,'Debt strategy'!$C$5-SUM(E291,K291,Q291,W291,AC291)-SUM(IF(F291&lt;L291,C291+D291-E291,0),IF(R291&lt;L291,O291+P291-Q291,0),IF(X291&lt;L291,U291+V291-W291,0),IF(AD291&lt;L291,AA291+AB291-AC291,0)))))</x:f>
        <x:v>0</x:v>
      </x:c>
      <x:c r="N291" s="6" t="n">
        <x:f>ROUND(MAX(0,I291+J291-K291-M291),2)</x:f>
        <x:v>0</x:v>
      </x:c>
      <x:c r="O291" s="6" t="n">
        <x:f>T290</x:f>
        <x:v>0</x:v>
      </x:c>
      <x:c r="P291" s="6" t="n">
        <x:f>ROUND(O291*'Debt strategy'!$D$11/12,2)</x:f>
        <x:v>0</x:v>
      </x:c>
      <x:c r="Q291" s="6" t="n">
        <x:f>MIN(O291+P291,'Debt strategy'!$E$11)</x:f>
        <x:v>0</x:v>
      </x:c>
      <x:c r="R291" s="27" t="n">
        <x:f>IF(O291+P291-Q291&lt;=0,99,1+SUM(IF(AND(C291+D291-E291&gt;0,OR(C291+D291-E291&lt;O291+P291-Q291,AND(C291+D291-E291=O291+P291-Q291,0&lt;2))),1,0),IF(AND(I291+J291-K291&gt;0,OR(I291+J291-K291&lt;O291+P291-Q291,AND(I291+J291-K291=O291+P291-Q291,1&lt;2))),1,0),IF(AND(U291+V291-W291&gt;0,OR(U291+V291-W291&lt;O291+P291-Q291,AND(U291+V291-W291=O291+P291-Q291,3&lt;2))),1,0),IF(AND(AA291+AB291-AC291&gt;0,OR(AA291+AB291-AC291&lt;O291+P291-Q291,AND(AA291+AB291-AC291=O291+P291-Q291,4&lt;2))),1,0)))</x:f>
        <x:v>99</x:v>
      </x:c>
      <x:c r="S291" s="6" t="n">
        <x:f>IF('Debt strategy'!$C$16&gt;0,0,MIN(O291+P291-Q291,MAX(0,'Debt strategy'!$C$5-SUM(E291,K291,Q291,W291,AC291)-SUM(IF(F291&lt;R291,C291+D291-E291,0),IF(L291&lt;R291,I291+J291-K291,0),IF(X291&lt;R291,U291+V291-W291,0),IF(AD291&lt;R291,AA291+AB291-AC291,0)))))</x:f>
        <x:v>0</x:v>
      </x:c>
      <x:c r="T291" s="6" t="n">
        <x:f>ROUND(MAX(0,O291+P291-Q291-S291),2)</x:f>
        <x:v>0</x:v>
      </x:c>
      <x:c r="U291" s="6" t="n">
        <x:f>Z290</x:f>
        <x:v>0</x:v>
      </x:c>
      <x:c r="V291" s="6" t="n">
        <x:f>ROUND(U291*'Debt strategy'!$D$12/12,2)</x:f>
        <x:v>0</x:v>
      </x:c>
      <x:c r="W291" s="6" t="n">
        <x:f>MIN(U291+V291,'Debt strategy'!$E$12)</x:f>
        <x:v>0</x:v>
      </x:c>
      <x:c r="X291" s="27" t="n">
        <x:f>IF(U291+V291-W291&lt;=0,99,1+SUM(IF(AND(C291+D291-E291&gt;0,OR(C291+D291-E291&lt;U291+V291-W291,AND(C291+D291-E291=U291+V291-W291,0&lt;3))),1,0),IF(AND(I291+J291-K291&gt;0,OR(I291+J291-K291&lt;U291+V291-W291,AND(I291+J291-K291=U291+V291-W291,1&lt;3))),1,0),IF(AND(O291+P291-Q291&gt;0,OR(O291+P291-Q291&lt;U291+V291-W291,AND(O291+P291-Q291=U291+V291-W291,2&lt;3))),1,0),IF(AND(AA291+AB291-AC291&gt;0,OR(AA291+AB291-AC291&lt;U291+V291-W291,AND(AA291+AB291-AC291=U291+V291-W291,4&lt;3))),1,0)))</x:f>
        <x:v>99</x:v>
      </x:c>
      <x:c r="Y291" s="6" t="n">
        <x:f>IF('Debt strategy'!$C$16&gt;0,0,MIN(U291+V291-W291,MAX(0,'Debt strategy'!$C$5-SUM(E291,K291,Q291,W291,AC291)-SUM(IF(F291&lt;X291,C291+D291-E291,0),IF(L291&lt;X291,I291+J291-K291,0),IF(R291&lt;X291,O291+P291-Q291,0),IF(AD291&lt;X291,AA291+AB291-AC291,0)))))</x:f>
        <x:v>0</x:v>
      </x:c>
      <x:c r="Z291" s="6" t="n">
        <x:f>ROUND(MAX(0,U291+V291-W291-Y291),2)</x:f>
        <x:v>0</x:v>
      </x:c>
      <x:c r="AA291" s="6" t="n">
        <x:f>AF290</x:f>
        <x:v>0</x:v>
      </x:c>
      <x:c r="AB291" s="6" t="n">
        <x:f>ROUND(AA291*'Debt strategy'!$D$13/12,2)</x:f>
        <x:v>0</x:v>
      </x:c>
      <x:c r="AC291" s="6" t="n">
        <x:f>MIN(AA291+AB291,'Debt strategy'!$E$13)</x:f>
        <x:v>0</x:v>
      </x:c>
      <x:c r="AD291" s="27" t="n">
        <x:f>IF(AA291+AB291-AC291&lt;=0,99,1+SUM(IF(AND(C291+D291-E291&gt;0,OR(C291+D291-E291&lt;AA291+AB291-AC291,AND(C291+D291-E291=AA291+AB291-AC291,0&lt;4))),1,0),IF(AND(I291+J291-K291&gt;0,OR(I291+J291-K291&lt;AA291+AB291-AC291,AND(I291+J291-K291=AA291+AB291-AC291,1&lt;4))),1,0),IF(AND(O291+P291-Q291&gt;0,OR(O291+P291-Q291&lt;AA291+AB291-AC291,AND(O291+P291-Q291=AA291+AB291-AC291,2&lt;4))),1,0),IF(AND(U291+V291-W291&gt;0,OR(U291+V291-W291&lt;AA291+AB291-AC291,AND(U291+V291-W291=AA291+AB291-AC291,3&lt;4))),1,0)))</x:f>
        <x:v>99</x:v>
      </x:c>
      <x:c r="AE291" s="6" t="n">
        <x:f>IF('Debt strategy'!$C$16&gt;0,0,MIN(AA291+AB291-AC291,MAX(0,'Debt strategy'!$C$5-SUM(E291,K291,Q291,W291,AC291)-SUM(IF(F291&lt;AD291,C291+D291-E291,0),IF(L291&lt;AD291,I291+J291-K291,0),IF(R291&lt;AD291,O291+P291-Q291,0),IF(X291&lt;AD291,U291+V291-W291,0)))))</x:f>
        <x:v>0</x:v>
      </x:c>
      <x:c r="AF291" s="6" t="n">
        <x:f>ROUND(MAX(0,AA291+AB291-AC291-AE291),2)</x:f>
        <x:v>0</x:v>
      </x:c>
      <x:c r="AG291" s="6" t="n">
        <x:f>SUM(H291,N291,T291,Z291,AF291)</x:f>
        <x:v>0</x:v>
      </x:c>
      <x:c r="AH291" s="6" t="n">
        <x:f>SUM(D291,J291,P291,V291,AB291)+AH290</x:f>
        <x:v>1353.9499999999996</x:v>
      </x:c>
      <x:c r="AI291" s="2"/>
    </x:row>
    <x:row r="292" ht="23" customHeight="1">
      <x:c r="B292" s="2" t="n">
        <x:f>284</x:f>
        <x:v>284</x:v>
      </x:c>
      <x:c r="C292" s="6" t="n">
        <x:f>H291</x:f>
        <x:v>0</x:v>
      </x:c>
      <x:c r="D292" s="6" t="n">
        <x:f>ROUND(C292*'Debt strategy'!$D$9/12,2)</x:f>
        <x:v>0</x:v>
      </x:c>
      <x:c r="E292" s="6" t="n">
        <x:f>MIN(C292+D292,'Debt strategy'!$E$9)</x:f>
        <x:v>0</x:v>
      </x:c>
      <x:c r="F292" s="27" t="n">
        <x:f>IF(C292+D292-E292&lt;=0,99,1+SUM(IF(AND(I292+J292-K292&gt;0,OR(I292+J292-K292&lt;C292+D292-E292,AND(I292+J292-K292=C292+D292-E292,1&lt;0))),1,0),IF(AND(O292+P292-Q292&gt;0,OR(O292+P292-Q292&lt;C292+D292-E292,AND(O292+P292-Q292=C292+D292-E292,2&lt;0))),1,0),IF(AND(U292+V292-W292&gt;0,OR(U292+V292-W292&lt;C292+D292-E292,AND(U292+V292-W292=C292+D292-E292,3&lt;0))),1,0),IF(AND(AA292+AB292-AC292&gt;0,OR(AA292+AB292-AC292&lt;C292+D292-E292,AND(AA292+AB292-AC292=C292+D292-E292,4&lt;0))),1,0)))</x:f>
        <x:v>99</x:v>
      </x:c>
      <x:c r="G292" s="6" t="n">
        <x:f>IF('Debt strategy'!$C$16&gt;0,0,MIN(C292+D292-E292,MAX(0,'Debt strategy'!$C$5-SUM(E292,K292,Q292,W292,AC292)-SUM(IF(L292&lt;F292,I292+J292-K292,0),IF(R292&lt;F292,O292+P292-Q292,0),IF(X292&lt;F292,U292+V292-W292,0),IF(AD292&lt;F292,AA292+AB292-AC292,0)))))</x:f>
        <x:v>0</x:v>
      </x:c>
      <x:c r="H292" s="6" t="n">
        <x:f>ROUND(MAX(0,C292+D292-E292-G292),2)</x:f>
        <x:v>0</x:v>
      </x:c>
      <x:c r="I292" s="6" t="n">
        <x:f>N291</x:f>
        <x:v>0</x:v>
      </x:c>
      <x:c r="J292" s="6" t="n">
        <x:f>ROUND(I292*'Debt strategy'!$D$10/12,2)</x:f>
        <x:v>0</x:v>
      </x:c>
      <x:c r="K292" s="6" t="n">
        <x:f>MIN(I292+J292,'Debt strategy'!$E$10)</x:f>
        <x:v>0</x:v>
      </x:c>
      <x:c r="L292" s="27" t="n">
        <x:f>IF(I292+J292-K292&lt;=0,99,1+SUM(IF(AND(C292+D292-E292&gt;0,OR(C292+D292-E292&lt;I292+J292-K292,AND(C292+D292-E292=I292+J292-K292,0&lt;1))),1,0),IF(AND(O292+P292-Q292&gt;0,OR(O292+P292-Q292&lt;I292+J292-K292,AND(O292+P292-Q292=I292+J292-K292,2&lt;1))),1,0),IF(AND(U292+V292-W292&gt;0,OR(U292+V292-W292&lt;I292+J292-K292,AND(U292+V292-W292=I292+J292-K292,3&lt;1))),1,0),IF(AND(AA292+AB292-AC292&gt;0,OR(AA292+AB292-AC292&lt;I292+J292-K292,AND(AA292+AB292-AC292=I292+J292-K292,4&lt;1))),1,0)))</x:f>
        <x:v>99</x:v>
      </x:c>
      <x:c r="M292" s="6" t="n">
        <x:f>IF('Debt strategy'!$C$16&gt;0,0,MIN(I292+J292-K292,MAX(0,'Debt strategy'!$C$5-SUM(E292,K292,Q292,W292,AC292)-SUM(IF(F292&lt;L292,C292+D292-E292,0),IF(R292&lt;L292,O292+P292-Q292,0),IF(X292&lt;L292,U292+V292-W292,0),IF(AD292&lt;L292,AA292+AB292-AC292,0)))))</x:f>
        <x:v>0</x:v>
      </x:c>
      <x:c r="N292" s="6" t="n">
        <x:f>ROUND(MAX(0,I292+J292-K292-M292),2)</x:f>
        <x:v>0</x:v>
      </x:c>
      <x:c r="O292" s="6" t="n">
        <x:f>T291</x:f>
        <x:v>0</x:v>
      </x:c>
      <x:c r="P292" s="6" t="n">
        <x:f>ROUND(O292*'Debt strategy'!$D$11/12,2)</x:f>
        <x:v>0</x:v>
      </x:c>
      <x:c r="Q292" s="6" t="n">
        <x:f>MIN(O292+P292,'Debt strategy'!$E$11)</x:f>
        <x:v>0</x:v>
      </x:c>
      <x:c r="R292" s="27" t="n">
        <x:f>IF(O292+P292-Q292&lt;=0,99,1+SUM(IF(AND(C292+D292-E292&gt;0,OR(C292+D292-E292&lt;O292+P292-Q292,AND(C292+D292-E292=O292+P292-Q292,0&lt;2))),1,0),IF(AND(I292+J292-K292&gt;0,OR(I292+J292-K292&lt;O292+P292-Q292,AND(I292+J292-K292=O292+P292-Q292,1&lt;2))),1,0),IF(AND(U292+V292-W292&gt;0,OR(U292+V292-W292&lt;O292+P292-Q292,AND(U292+V292-W292=O292+P292-Q292,3&lt;2))),1,0),IF(AND(AA292+AB292-AC292&gt;0,OR(AA292+AB292-AC292&lt;O292+P292-Q292,AND(AA292+AB292-AC292=O292+P292-Q292,4&lt;2))),1,0)))</x:f>
        <x:v>99</x:v>
      </x:c>
      <x:c r="S292" s="6" t="n">
        <x:f>IF('Debt strategy'!$C$16&gt;0,0,MIN(O292+P292-Q292,MAX(0,'Debt strategy'!$C$5-SUM(E292,K292,Q292,W292,AC292)-SUM(IF(F292&lt;R292,C292+D292-E292,0),IF(L292&lt;R292,I292+J292-K292,0),IF(X292&lt;R292,U292+V292-W292,0),IF(AD292&lt;R292,AA292+AB292-AC292,0)))))</x:f>
        <x:v>0</x:v>
      </x:c>
      <x:c r="T292" s="6" t="n">
        <x:f>ROUND(MAX(0,O292+P292-Q292-S292),2)</x:f>
        <x:v>0</x:v>
      </x:c>
      <x:c r="U292" s="6" t="n">
        <x:f>Z291</x:f>
        <x:v>0</x:v>
      </x:c>
      <x:c r="V292" s="6" t="n">
        <x:f>ROUND(U292*'Debt strategy'!$D$12/12,2)</x:f>
        <x:v>0</x:v>
      </x:c>
      <x:c r="W292" s="6" t="n">
        <x:f>MIN(U292+V292,'Debt strategy'!$E$12)</x:f>
        <x:v>0</x:v>
      </x:c>
      <x:c r="X292" s="27" t="n">
        <x:f>IF(U292+V292-W292&lt;=0,99,1+SUM(IF(AND(C292+D292-E292&gt;0,OR(C292+D292-E292&lt;U292+V292-W292,AND(C292+D292-E292=U292+V292-W292,0&lt;3))),1,0),IF(AND(I292+J292-K292&gt;0,OR(I292+J292-K292&lt;U292+V292-W292,AND(I292+J292-K292=U292+V292-W292,1&lt;3))),1,0),IF(AND(O292+P292-Q292&gt;0,OR(O292+P292-Q292&lt;U292+V292-W292,AND(O292+P292-Q292=U292+V292-W292,2&lt;3))),1,0),IF(AND(AA292+AB292-AC292&gt;0,OR(AA292+AB292-AC292&lt;U292+V292-W292,AND(AA292+AB292-AC292=U292+V292-W292,4&lt;3))),1,0)))</x:f>
        <x:v>99</x:v>
      </x:c>
      <x:c r="Y292" s="6" t="n">
        <x:f>IF('Debt strategy'!$C$16&gt;0,0,MIN(U292+V292-W292,MAX(0,'Debt strategy'!$C$5-SUM(E292,K292,Q292,W292,AC292)-SUM(IF(F292&lt;X292,C292+D292-E292,0),IF(L292&lt;X292,I292+J292-K292,0),IF(R292&lt;X292,O292+P292-Q292,0),IF(AD292&lt;X292,AA292+AB292-AC292,0)))))</x:f>
        <x:v>0</x:v>
      </x:c>
      <x:c r="Z292" s="6" t="n">
        <x:f>ROUND(MAX(0,U292+V292-W292-Y292),2)</x:f>
        <x:v>0</x:v>
      </x:c>
      <x:c r="AA292" s="6" t="n">
        <x:f>AF291</x:f>
        <x:v>0</x:v>
      </x:c>
      <x:c r="AB292" s="6" t="n">
        <x:f>ROUND(AA292*'Debt strategy'!$D$13/12,2)</x:f>
        <x:v>0</x:v>
      </x:c>
      <x:c r="AC292" s="6" t="n">
        <x:f>MIN(AA292+AB292,'Debt strategy'!$E$13)</x:f>
        <x:v>0</x:v>
      </x:c>
      <x:c r="AD292" s="27" t="n">
        <x:f>IF(AA292+AB292-AC292&lt;=0,99,1+SUM(IF(AND(C292+D292-E292&gt;0,OR(C292+D292-E292&lt;AA292+AB292-AC292,AND(C292+D292-E292=AA292+AB292-AC292,0&lt;4))),1,0),IF(AND(I292+J292-K292&gt;0,OR(I292+J292-K292&lt;AA292+AB292-AC292,AND(I292+J292-K292=AA292+AB292-AC292,1&lt;4))),1,0),IF(AND(O292+P292-Q292&gt;0,OR(O292+P292-Q292&lt;AA292+AB292-AC292,AND(O292+P292-Q292=AA292+AB292-AC292,2&lt;4))),1,0),IF(AND(U292+V292-W292&gt;0,OR(U292+V292-W292&lt;AA292+AB292-AC292,AND(U292+V292-W292=AA292+AB292-AC292,3&lt;4))),1,0)))</x:f>
        <x:v>99</x:v>
      </x:c>
      <x:c r="AE292" s="6" t="n">
        <x:f>IF('Debt strategy'!$C$16&gt;0,0,MIN(AA292+AB292-AC292,MAX(0,'Debt strategy'!$C$5-SUM(E292,K292,Q292,W292,AC292)-SUM(IF(F292&lt;AD292,C292+D292-E292,0),IF(L292&lt;AD292,I292+J292-K292,0),IF(R292&lt;AD292,O292+P292-Q292,0),IF(X292&lt;AD292,U292+V292-W292,0)))))</x:f>
        <x:v>0</x:v>
      </x:c>
      <x:c r="AF292" s="6" t="n">
        <x:f>ROUND(MAX(0,AA292+AB292-AC292-AE292),2)</x:f>
        <x:v>0</x:v>
      </x:c>
      <x:c r="AG292" s="6" t="n">
        <x:f>SUM(H292,N292,T292,Z292,AF292)</x:f>
        <x:v>0</x:v>
      </x:c>
      <x:c r="AH292" s="6" t="n">
        <x:f>SUM(D292,J292,P292,V292,AB292)+AH291</x:f>
        <x:v>1353.9499999999996</x:v>
      </x:c>
      <x:c r="AI292" s="2"/>
    </x:row>
    <x:row r="293" ht="23" customHeight="1">
      <x:c r="B293" s="2" t="n">
        <x:f>285</x:f>
        <x:v>285</x:v>
      </x:c>
      <x:c r="C293" s="6" t="n">
        <x:f>H292</x:f>
        <x:v>0</x:v>
      </x:c>
      <x:c r="D293" s="6" t="n">
        <x:f>ROUND(C293*'Debt strategy'!$D$9/12,2)</x:f>
        <x:v>0</x:v>
      </x:c>
      <x:c r="E293" s="6" t="n">
        <x:f>MIN(C293+D293,'Debt strategy'!$E$9)</x:f>
        <x:v>0</x:v>
      </x:c>
      <x:c r="F293" s="27" t="n">
        <x:f>IF(C293+D293-E293&lt;=0,99,1+SUM(IF(AND(I293+J293-K293&gt;0,OR(I293+J293-K293&lt;C293+D293-E293,AND(I293+J293-K293=C293+D293-E293,1&lt;0))),1,0),IF(AND(O293+P293-Q293&gt;0,OR(O293+P293-Q293&lt;C293+D293-E293,AND(O293+P293-Q293=C293+D293-E293,2&lt;0))),1,0),IF(AND(U293+V293-W293&gt;0,OR(U293+V293-W293&lt;C293+D293-E293,AND(U293+V293-W293=C293+D293-E293,3&lt;0))),1,0),IF(AND(AA293+AB293-AC293&gt;0,OR(AA293+AB293-AC293&lt;C293+D293-E293,AND(AA293+AB293-AC293=C293+D293-E293,4&lt;0))),1,0)))</x:f>
        <x:v>99</x:v>
      </x:c>
      <x:c r="G293" s="6" t="n">
        <x:f>IF('Debt strategy'!$C$16&gt;0,0,MIN(C293+D293-E293,MAX(0,'Debt strategy'!$C$5-SUM(E293,K293,Q293,W293,AC293)-SUM(IF(L293&lt;F293,I293+J293-K293,0),IF(R293&lt;F293,O293+P293-Q293,0),IF(X293&lt;F293,U293+V293-W293,0),IF(AD293&lt;F293,AA293+AB293-AC293,0)))))</x:f>
        <x:v>0</x:v>
      </x:c>
      <x:c r="H293" s="6" t="n">
        <x:f>ROUND(MAX(0,C293+D293-E293-G293),2)</x:f>
        <x:v>0</x:v>
      </x:c>
      <x:c r="I293" s="6" t="n">
        <x:f>N292</x:f>
        <x:v>0</x:v>
      </x:c>
      <x:c r="J293" s="6" t="n">
        <x:f>ROUND(I293*'Debt strategy'!$D$10/12,2)</x:f>
        <x:v>0</x:v>
      </x:c>
      <x:c r="K293" s="6" t="n">
        <x:f>MIN(I293+J293,'Debt strategy'!$E$10)</x:f>
        <x:v>0</x:v>
      </x:c>
      <x:c r="L293" s="27" t="n">
        <x:f>IF(I293+J293-K293&lt;=0,99,1+SUM(IF(AND(C293+D293-E293&gt;0,OR(C293+D293-E293&lt;I293+J293-K293,AND(C293+D293-E293=I293+J293-K293,0&lt;1))),1,0),IF(AND(O293+P293-Q293&gt;0,OR(O293+P293-Q293&lt;I293+J293-K293,AND(O293+P293-Q293=I293+J293-K293,2&lt;1))),1,0),IF(AND(U293+V293-W293&gt;0,OR(U293+V293-W293&lt;I293+J293-K293,AND(U293+V293-W293=I293+J293-K293,3&lt;1))),1,0),IF(AND(AA293+AB293-AC293&gt;0,OR(AA293+AB293-AC293&lt;I293+J293-K293,AND(AA293+AB293-AC293=I293+J293-K293,4&lt;1))),1,0)))</x:f>
        <x:v>99</x:v>
      </x:c>
      <x:c r="M293" s="6" t="n">
        <x:f>IF('Debt strategy'!$C$16&gt;0,0,MIN(I293+J293-K293,MAX(0,'Debt strategy'!$C$5-SUM(E293,K293,Q293,W293,AC293)-SUM(IF(F293&lt;L293,C293+D293-E293,0),IF(R293&lt;L293,O293+P293-Q293,0),IF(X293&lt;L293,U293+V293-W293,0),IF(AD293&lt;L293,AA293+AB293-AC293,0)))))</x:f>
        <x:v>0</x:v>
      </x:c>
      <x:c r="N293" s="6" t="n">
        <x:f>ROUND(MAX(0,I293+J293-K293-M293),2)</x:f>
        <x:v>0</x:v>
      </x:c>
      <x:c r="O293" s="6" t="n">
        <x:f>T292</x:f>
        <x:v>0</x:v>
      </x:c>
      <x:c r="P293" s="6" t="n">
        <x:f>ROUND(O293*'Debt strategy'!$D$11/12,2)</x:f>
        <x:v>0</x:v>
      </x:c>
      <x:c r="Q293" s="6" t="n">
        <x:f>MIN(O293+P293,'Debt strategy'!$E$11)</x:f>
        <x:v>0</x:v>
      </x:c>
      <x:c r="R293" s="27" t="n">
        <x:f>IF(O293+P293-Q293&lt;=0,99,1+SUM(IF(AND(C293+D293-E293&gt;0,OR(C293+D293-E293&lt;O293+P293-Q293,AND(C293+D293-E293=O293+P293-Q293,0&lt;2))),1,0),IF(AND(I293+J293-K293&gt;0,OR(I293+J293-K293&lt;O293+P293-Q293,AND(I293+J293-K293=O293+P293-Q293,1&lt;2))),1,0),IF(AND(U293+V293-W293&gt;0,OR(U293+V293-W293&lt;O293+P293-Q293,AND(U293+V293-W293=O293+P293-Q293,3&lt;2))),1,0),IF(AND(AA293+AB293-AC293&gt;0,OR(AA293+AB293-AC293&lt;O293+P293-Q293,AND(AA293+AB293-AC293=O293+P293-Q293,4&lt;2))),1,0)))</x:f>
        <x:v>99</x:v>
      </x:c>
      <x:c r="S293" s="6" t="n">
        <x:f>IF('Debt strategy'!$C$16&gt;0,0,MIN(O293+P293-Q293,MAX(0,'Debt strategy'!$C$5-SUM(E293,K293,Q293,W293,AC293)-SUM(IF(F293&lt;R293,C293+D293-E293,0),IF(L293&lt;R293,I293+J293-K293,0),IF(X293&lt;R293,U293+V293-W293,0),IF(AD293&lt;R293,AA293+AB293-AC293,0)))))</x:f>
        <x:v>0</x:v>
      </x:c>
      <x:c r="T293" s="6" t="n">
        <x:f>ROUND(MAX(0,O293+P293-Q293-S293),2)</x:f>
        <x:v>0</x:v>
      </x:c>
      <x:c r="U293" s="6" t="n">
        <x:f>Z292</x:f>
        <x:v>0</x:v>
      </x:c>
      <x:c r="V293" s="6" t="n">
        <x:f>ROUND(U293*'Debt strategy'!$D$12/12,2)</x:f>
        <x:v>0</x:v>
      </x:c>
      <x:c r="W293" s="6" t="n">
        <x:f>MIN(U293+V293,'Debt strategy'!$E$12)</x:f>
        <x:v>0</x:v>
      </x:c>
      <x:c r="X293" s="27" t="n">
        <x:f>IF(U293+V293-W293&lt;=0,99,1+SUM(IF(AND(C293+D293-E293&gt;0,OR(C293+D293-E293&lt;U293+V293-W293,AND(C293+D293-E293=U293+V293-W293,0&lt;3))),1,0),IF(AND(I293+J293-K293&gt;0,OR(I293+J293-K293&lt;U293+V293-W293,AND(I293+J293-K293=U293+V293-W293,1&lt;3))),1,0),IF(AND(O293+P293-Q293&gt;0,OR(O293+P293-Q293&lt;U293+V293-W293,AND(O293+P293-Q293=U293+V293-W293,2&lt;3))),1,0),IF(AND(AA293+AB293-AC293&gt;0,OR(AA293+AB293-AC293&lt;U293+V293-W293,AND(AA293+AB293-AC293=U293+V293-W293,4&lt;3))),1,0)))</x:f>
        <x:v>99</x:v>
      </x:c>
      <x:c r="Y293" s="6" t="n">
        <x:f>IF('Debt strategy'!$C$16&gt;0,0,MIN(U293+V293-W293,MAX(0,'Debt strategy'!$C$5-SUM(E293,K293,Q293,W293,AC293)-SUM(IF(F293&lt;X293,C293+D293-E293,0),IF(L293&lt;X293,I293+J293-K293,0),IF(R293&lt;X293,O293+P293-Q293,0),IF(AD293&lt;X293,AA293+AB293-AC293,0)))))</x:f>
        <x:v>0</x:v>
      </x:c>
      <x:c r="Z293" s="6" t="n">
        <x:f>ROUND(MAX(0,U293+V293-W293-Y293),2)</x:f>
        <x:v>0</x:v>
      </x:c>
      <x:c r="AA293" s="6" t="n">
        <x:f>AF292</x:f>
        <x:v>0</x:v>
      </x:c>
      <x:c r="AB293" s="6" t="n">
        <x:f>ROUND(AA293*'Debt strategy'!$D$13/12,2)</x:f>
        <x:v>0</x:v>
      </x:c>
      <x:c r="AC293" s="6" t="n">
        <x:f>MIN(AA293+AB293,'Debt strategy'!$E$13)</x:f>
        <x:v>0</x:v>
      </x:c>
      <x:c r="AD293" s="27" t="n">
        <x:f>IF(AA293+AB293-AC293&lt;=0,99,1+SUM(IF(AND(C293+D293-E293&gt;0,OR(C293+D293-E293&lt;AA293+AB293-AC293,AND(C293+D293-E293=AA293+AB293-AC293,0&lt;4))),1,0),IF(AND(I293+J293-K293&gt;0,OR(I293+J293-K293&lt;AA293+AB293-AC293,AND(I293+J293-K293=AA293+AB293-AC293,1&lt;4))),1,0),IF(AND(O293+P293-Q293&gt;0,OR(O293+P293-Q293&lt;AA293+AB293-AC293,AND(O293+P293-Q293=AA293+AB293-AC293,2&lt;4))),1,0),IF(AND(U293+V293-W293&gt;0,OR(U293+V293-W293&lt;AA293+AB293-AC293,AND(U293+V293-W293=AA293+AB293-AC293,3&lt;4))),1,0)))</x:f>
        <x:v>99</x:v>
      </x:c>
      <x:c r="AE293" s="6" t="n">
        <x:f>IF('Debt strategy'!$C$16&gt;0,0,MIN(AA293+AB293-AC293,MAX(0,'Debt strategy'!$C$5-SUM(E293,K293,Q293,W293,AC293)-SUM(IF(F293&lt;AD293,C293+D293-E293,0),IF(L293&lt;AD293,I293+J293-K293,0),IF(R293&lt;AD293,O293+P293-Q293,0),IF(X293&lt;AD293,U293+V293-W293,0)))))</x:f>
        <x:v>0</x:v>
      </x:c>
      <x:c r="AF293" s="6" t="n">
        <x:f>ROUND(MAX(0,AA293+AB293-AC293-AE293),2)</x:f>
        <x:v>0</x:v>
      </x:c>
      <x:c r="AG293" s="6" t="n">
        <x:f>SUM(H293,N293,T293,Z293,AF293)</x:f>
        <x:v>0</x:v>
      </x:c>
      <x:c r="AH293" s="6" t="n">
        <x:f>SUM(D293,J293,P293,V293,AB293)+AH292</x:f>
        <x:v>1353.9499999999996</x:v>
      </x:c>
      <x:c r="AI293" s="2"/>
    </x:row>
    <x:row r="294" ht="23" customHeight="1">
      <x:c r="B294" s="2" t="n">
        <x:f>286</x:f>
        <x:v>286</x:v>
      </x:c>
      <x:c r="C294" s="6" t="n">
        <x:f>H293</x:f>
        <x:v>0</x:v>
      </x:c>
      <x:c r="D294" s="6" t="n">
        <x:f>ROUND(C294*'Debt strategy'!$D$9/12,2)</x:f>
        <x:v>0</x:v>
      </x:c>
      <x:c r="E294" s="6" t="n">
        <x:f>MIN(C294+D294,'Debt strategy'!$E$9)</x:f>
        <x:v>0</x:v>
      </x:c>
      <x:c r="F294" s="27" t="n">
        <x:f>IF(C294+D294-E294&lt;=0,99,1+SUM(IF(AND(I294+J294-K294&gt;0,OR(I294+J294-K294&lt;C294+D294-E294,AND(I294+J294-K294=C294+D294-E294,1&lt;0))),1,0),IF(AND(O294+P294-Q294&gt;0,OR(O294+P294-Q294&lt;C294+D294-E294,AND(O294+P294-Q294=C294+D294-E294,2&lt;0))),1,0),IF(AND(U294+V294-W294&gt;0,OR(U294+V294-W294&lt;C294+D294-E294,AND(U294+V294-W294=C294+D294-E294,3&lt;0))),1,0),IF(AND(AA294+AB294-AC294&gt;0,OR(AA294+AB294-AC294&lt;C294+D294-E294,AND(AA294+AB294-AC294=C294+D294-E294,4&lt;0))),1,0)))</x:f>
        <x:v>99</x:v>
      </x:c>
      <x:c r="G294" s="6" t="n">
        <x:f>IF('Debt strategy'!$C$16&gt;0,0,MIN(C294+D294-E294,MAX(0,'Debt strategy'!$C$5-SUM(E294,K294,Q294,W294,AC294)-SUM(IF(L294&lt;F294,I294+J294-K294,0),IF(R294&lt;F294,O294+P294-Q294,0),IF(X294&lt;F294,U294+V294-W294,0),IF(AD294&lt;F294,AA294+AB294-AC294,0)))))</x:f>
        <x:v>0</x:v>
      </x:c>
      <x:c r="H294" s="6" t="n">
        <x:f>ROUND(MAX(0,C294+D294-E294-G294),2)</x:f>
        <x:v>0</x:v>
      </x:c>
      <x:c r="I294" s="6" t="n">
        <x:f>N293</x:f>
        <x:v>0</x:v>
      </x:c>
      <x:c r="J294" s="6" t="n">
        <x:f>ROUND(I294*'Debt strategy'!$D$10/12,2)</x:f>
        <x:v>0</x:v>
      </x:c>
      <x:c r="K294" s="6" t="n">
        <x:f>MIN(I294+J294,'Debt strategy'!$E$10)</x:f>
        <x:v>0</x:v>
      </x:c>
      <x:c r="L294" s="27" t="n">
        <x:f>IF(I294+J294-K294&lt;=0,99,1+SUM(IF(AND(C294+D294-E294&gt;0,OR(C294+D294-E294&lt;I294+J294-K294,AND(C294+D294-E294=I294+J294-K294,0&lt;1))),1,0),IF(AND(O294+P294-Q294&gt;0,OR(O294+P294-Q294&lt;I294+J294-K294,AND(O294+P294-Q294=I294+J294-K294,2&lt;1))),1,0),IF(AND(U294+V294-W294&gt;0,OR(U294+V294-W294&lt;I294+J294-K294,AND(U294+V294-W294=I294+J294-K294,3&lt;1))),1,0),IF(AND(AA294+AB294-AC294&gt;0,OR(AA294+AB294-AC294&lt;I294+J294-K294,AND(AA294+AB294-AC294=I294+J294-K294,4&lt;1))),1,0)))</x:f>
        <x:v>99</x:v>
      </x:c>
      <x:c r="M294" s="6" t="n">
        <x:f>IF('Debt strategy'!$C$16&gt;0,0,MIN(I294+J294-K294,MAX(0,'Debt strategy'!$C$5-SUM(E294,K294,Q294,W294,AC294)-SUM(IF(F294&lt;L294,C294+D294-E294,0),IF(R294&lt;L294,O294+P294-Q294,0),IF(X294&lt;L294,U294+V294-W294,0),IF(AD294&lt;L294,AA294+AB294-AC294,0)))))</x:f>
        <x:v>0</x:v>
      </x:c>
      <x:c r="N294" s="6" t="n">
        <x:f>ROUND(MAX(0,I294+J294-K294-M294),2)</x:f>
        <x:v>0</x:v>
      </x:c>
      <x:c r="O294" s="6" t="n">
        <x:f>T293</x:f>
        <x:v>0</x:v>
      </x:c>
      <x:c r="P294" s="6" t="n">
        <x:f>ROUND(O294*'Debt strategy'!$D$11/12,2)</x:f>
        <x:v>0</x:v>
      </x:c>
      <x:c r="Q294" s="6" t="n">
        <x:f>MIN(O294+P294,'Debt strategy'!$E$11)</x:f>
        <x:v>0</x:v>
      </x:c>
      <x:c r="R294" s="27" t="n">
        <x:f>IF(O294+P294-Q294&lt;=0,99,1+SUM(IF(AND(C294+D294-E294&gt;0,OR(C294+D294-E294&lt;O294+P294-Q294,AND(C294+D294-E294=O294+P294-Q294,0&lt;2))),1,0),IF(AND(I294+J294-K294&gt;0,OR(I294+J294-K294&lt;O294+P294-Q294,AND(I294+J294-K294=O294+P294-Q294,1&lt;2))),1,0),IF(AND(U294+V294-W294&gt;0,OR(U294+V294-W294&lt;O294+P294-Q294,AND(U294+V294-W294=O294+P294-Q294,3&lt;2))),1,0),IF(AND(AA294+AB294-AC294&gt;0,OR(AA294+AB294-AC294&lt;O294+P294-Q294,AND(AA294+AB294-AC294=O294+P294-Q294,4&lt;2))),1,0)))</x:f>
        <x:v>99</x:v>
      </x:c>
      <x:c r="S294" s="6" t="n">
        <x:f>IF('Debt strategy'!$C$16&gt;0,0,MIN(O294+P294-Q294,MAX(0,'Debt strategy'!$C$5-SUM(E294,K294,Q294,W294,AC294)-SUM(IF(F294&lt;R294,C294+D294-E294,0),IF(L294&lt;R294,I294+J294-K294,0),IF(X294&lt;R294,U294+V294-W294,0),IF(AD294&lt;R294,AA294+AB294-AC294,0)))))</x:f>
        <x:v>0</x:v>
      </x:c>
      <x:c r="T294" s="6" t="n">
        <x:f>ROUND(MAX(0,O294+P294-Q294-S294),2)</x:f>
        <x:v>0</x:v>
      </x:c>
      <x:c r="U294" s="6" t="n">
        <x:f>Z293</x:f>
        <x:v>0</x:v>
      </x:c>
      <x:c r="V294" s="6" t="n">
        <x:f>ROUND(U294*'Debt strategy'!$D$12/12,2)</x:f>
        <x:v>0</x:v>
      </x:c>
      <x:c r="W294" s="6" t="n">
        <x:f>MIN(U294+V294,'Debt strategy'!$E$12)</x:f>
        <x:v>0</x:v>
      </x:c>
      <x:c r="X294" s="27" t="n">
        <x:f>IF(U294+V294-W294&lt;=0,99,1+SUM(IF(AND(C294+D294-E294&gt;0,OR(C294+D294-E294&lt;U294+V294-W294,AND(C294+D294-E294=U294+V294-W294,0&lt;3))),1,0),IF(AND(I294+J294-K294&gt;0,OR(I294+J294-K294&lt;U294+V294-W294,AND(I294+J294-K294=U294+V294-W294,1&lt;3))),1,0),IF(AND(O294+P294-Q294&gt;0,OR(O294+P294-Q294&lt;U294+V294-W294,AND(O294+P294-Q294=U294+V294-W294,2&lt;3))),1,0),IF(AND(AA294+AB294-AC294&gt;0,OR(AA294+AB294-AC294&lt;U294+V294-W294,AND(AA294+AB294-AC294=U294+V294-W294,4&lt;3))),1,0)))</x:f>
        <x:v>99</x:v>
      </x:c>
      <x:c r="Y294" s="6" t="n">
        <x:f>IF('Debt strategy'!$C$16&gt;0,0,MIN(U294+V294-W294,MAX(0,'Debt strategy'!$C$5-SUM(E294,K294,Q294,W294,AC294)-SUM(IF(F294&lt;X294,C294+D294-E294,0),IF(L294&lt;X294,I294+J294-K294,0),IF(R294&lt;X294,O294+P294-Q294,0),IF(AD294&lt;X294,AA294+AB294-AC294,0)))))</x:f>
        <x:v>0</x:v>
      </x:c>
      <x:c r="Z294" s="6" t="n">
        <x:f>ROUND(MAX(0,U294+V294-W294-Y294),2)</x:f>
        <x:v>0</x:v>
      </x:c>
      <x:c r="AA294" s="6" t="n">
        <x:f>AF293</x:f>
        <x:v>0</x:v>
      </x:c>
      <x:c r="AB294" s="6" t="n">
        <x:f>ROUND(AA294*'Debt strategy'!$D$13/12,2)</x:f>
        <x:v>0</x:v>
      </x:c>
      <x:c r="AC294" s="6" t="n">
        <x:f>MIN(AA294+AB294,'Debt strategy'!$E$13)</x:f>
        <x:v>0</x:v>
      </x:c>
      <x:c r="AD294" s="27" t="n">
        <x:f>IF(AA294+AB294-AC294&lt;=0,99,1+SUM(IF(AND(C294+D294-E294&gt;0,OR(C294+D294-E294&lt;AA294+AB294-AC294,AND(C294+D294-E294=AA294+AB294-AC294,0&lt;4))),1,0),IF(AND(I294+J294-K294&gt;0,OR(I294+J294-K294&lt;AA294+AB294-AC294,AND(I294+J294-K294=AA294+AB294-AC294,1&lt;4))),1,0),IF(AND(O294+P294-Q294&gt;0,OR(O294+P294-Q294&lt;AA294+AB294-AC294,AND(O294+P294-Q294=AA294+AB294-AC294,2&lt;4))),1,0),IF(AND(U294+V294-W294&gt;0,OR(U294+V294-W294&lt;AA294+AB294-AC294,AND(U294+V294-W294=AA294+AB294-AC294,3&lt;4))),1,0)))</x:f>
        <x:v>99</x:v>
      </x:c>
      <x:c r="AE294" s="6" t="n">
        <x:f>IF('Debt strategy'!$C$16&gt;0,0,MIN(AA294+AB294-AC294,MAX(0,'Debt strategy'!$C$5-SUM(E294,K294,Q294,W294,AC294)-SUM(IF(F294&lt;AD294,C294+D294-E294,0),IF(L294&lt;AD294,I294+J294-K294,0),IF(R294&lt;AD294,O294+P294-Q294,0),IF(X294&lt;AD294,U294+V294-W294,0)))))</x:f>
        <x:v>0</x:v>
      </x:c>
      <x:c r="AF294" s="6" t="n">
        <x:f>ROUND(MAX(0,AA294+AB294-AC294-AE294),2)</x:f>
        <x:v>0</x:v>
      </x:c>
      <x:c r="AG294" s="6" t="n">
        <x:f>SUM(H294,N294,T294,Z294,AF294)</x:f>
        <x:v>0</x:v>
      </x:c>
      <x:c r="AH294" s="6" t="n">
        <x:f>SUM(D294,J294,P294,V294,AB294)+AH293</x:f>
        <x:v>1353.9499999999996</x:v>
      </x:c>
      <x:c r="AI294" s="2"/>
    </x:row>
    <x:row r="295" ht="23" customHeight="1">
      <x:c r="B295" s="2" t="n">
        <x:f>287</x:f>
        <x:v>287</x:v>
      </x:c>
      <x:c r="C295" s="6" t="n">
        <x:f>H294</x:f>
        <x:v>0</x:v>
      </x:c>
      <x:c r="D295" s="6" t="n">
        <x:f>ROUND(C295*'Debt strategy'!$D$9/12,2)</x:f>
        <x:v>0</x:v>
      </x:c>
      <x:c r="E295" s="6" t="n">
        <x:f>MIN(C295+D295,'Debt strategy'!$E$9)</x:f>
        <x:v>0</x:v>
      </x:c>
      <x:c r="F295" s="27" t="n">
        <x:f>IF(C295+D295-E295&lt;=0,99,1+SUM(IF(AND(I295+J295-K295&gt;0,OR(I295+J295-K295&lt;C295+D295-E295,AND(I295+J295-K295=C295+D295-E295,1&lt;0))),1,0),IF(AND(O295+P295-Q295&gt;0,OR(O295+P295-Q295&lt;C295+D295-E295,AND(O295+P295-Q295=C295+D295-E295,2&lt;0))),1,0),IF(AND(U295+V295-W295&gt;0,OR(U295+V295-W295&lt;C295+D295-E295,AND(U295+V295-W295=C295+D295-E295,3&lt;0))),1,0),IF(AND(AA295+AB295-AC295&gt;0,OR(AA295+AB295-AC295&lt;C295+D295-E295,AND(AA295+AB295-AC295=C295+D295-E295,4&lt;0))),1,0)))</x:f>
        <x:v>99</x:v>
      </x:c>
      <x:c r="G295" s="6" t="n">
        <x:f>IF('Debt strategy'!$C$16&gt;0,0,MIN(C295+D295-E295,MAX(0,'Debt strategy'!$C$5-SUM(E295,K295,Q295,W295,AC295)-SUM(IF(L295&lt;F295,I295+J295-K295,0),IF(R295&lt;F295,O295+P295-Q295,0),IF(X295&lt;F295,U295+V295-W295,0),IF(AD295&lt;F295,AA295+AB295-AC295,0)))))</x:f>
        <x:v>0</x:v>
      </x:c>
      <x:c r="H295" s="6" t="n">
        <x:f>ROUND(MAX(0,C295+D295-E295-G295),2)</x:f>
        <x:v>0</x:v>
      </x:c>
      <x:c r="I295" s="6" t="n">
        <x:f>N294</x:f>
        <x:v>0</x:v>
      </x:c>
      <x:c r="J295" s="6" t="n">
        <x:f>ROUND(I295*'Debt strategy'!$D$10/12,2)</x:f>
        <x:v>0</x:v>
      </x:c>
      <x:c r="K295" s="6" t="n">
        <x:f>MIN(I295+J295,'Debt strategy'!$E$10)</x:f>
        <x:v>0</x:v>
      </x:c>
      <x:c r="L295" s="27" t="n">
        <x:f>IF(I295+J295-K295&lt;=0,99,1+SUM(IF(AND(C295+D295-E295&gt;0,OR(C295+D295-E295&lt;I295+J295-K295,AND(C295+D295-E295=I295+J295-K295,0&lt;1))),1,0),IF(AND(O295+P295-Q295&gt;0,OR(O295+P295-Q295&lt;I295+J295-K295,AND(O295+P295-Q295=I295+J295-K295,2&lt;1))),1,0),IF(AND(U295+V295-W295&gt;0,OR(U295+V295-W295&lt;I295+J295-K295,AND(U295+V295-W295=I295+J295-K295,3&lt;1))),1,0),IF(AND(AA295+AB295-AC295&gt;0,OR(AA295+AB295-AC295&lt;I295+J295-K295,AND(AA295+AB295-AC295=I295+J295-K295,4&lt;1))),1,0)))</x:f>
        <x:v>99</x:v>
      </x:c>
      <x:c r="M295" s="6" t="n">
        <x:f>IF('Debt strategy'!$C$16&gt;0,0,MIN(I295+J295-K295,MAX(0,'Debt strategy'!$C$5-SUM(E295,K295,Q295,W295,AC295)-SUM(IF(F295&lt;L295,C295+D295-E295,0),IF(R295&lt;L295,O295+P295-Q295,0),IF(X295&lt;L295,U295+V295-W295,0),IF(AD295&lt;L295,AA295+AB295-AC295,0)))))</x:f>
        <x:v>0</x:v>
      </x:c>
      <x:c r="N295" s="6" t="n">
        <x:f>ROUND(MAX(0,I295+J295-K295-M295),2)</x:f>
        <x:v>0</x:v>
      </x:c>
      <x:c r="O295" s="6" t="n">
        <x:f>T294</x:f>
        <x:v>0</x:v>
      </x:c>
      <x:c r="P295" s="6" t="n">
        <x:f>ROUND(O295*'Debt strategy'!$D$11/12,2)</x:f>
        <x:v>0</x:v>
      </x:c>
      <x:c r="Q295" s="6" t="n">
        <x:f>MIN(O295+P295,'Debt strategy'!$E$11)</x:f>
        <x:v>0</x:v>
      </x:c>
      <x:c r="R295" s="27" t="n">
        <x:f>IF(O295+P295-Q295&lt;=0,99,1+SUM(IF(AND(C295+D295-E295&gt;0,OR(C295+D295-E295&lt;O295+P295-Q295,AND(C295+D295-E295=O295+P295-Q295,0&lt;2))),1,0),IF(AND(I295+J295-K295&gt;0,OR(I295+J295-K295&lt;O295+P295-Q295,AND(I295+J295-K295=O295+P295-Q295,1&lt;2))),1,0),IF(AND(U295+V295-W295&gt;0,OR(U295+V295-W295&lt;O295+P295-Q295,AND(U295+V295-W295=O295+P295-Q295,3&lt;2))),1,0),IF(AND(AA295+AB295-AC295&gt;0,OR(AA295+AB295-AC295&lt;O295+P295-Q295,AND(AA295+AB295-AC295=O295+P295-Q295,4&lt;2))),1,0)))</x:f>
        <x:v>99</x:v>
      </x:c>
      <x:c r="S295" s="6" t="n">
        <x:f>IF('Debt strategy'!$C$16&gt;0,0,MIN(O295+P295-Q295,MAX(0,'Debt strategy'!$C$5-SUM(E295,K295,Q295,W295,AC295)-SUM(IF(F295&lt;R295,C295+D295-E295,0),IF(L295&lt;R295,I295+J295-K295,0),IF(X295&lt;R295,U295+V295-W295,0),IF(AD295&lt;R295,AA295+AB295-AC295,0)))))</x:f>
        <x:v>0</x:v>
      </x:c>
      <x:c r="T295" s="6" t="n">
        <x:f>ROUND(MAX(0,O295+P295-Q295-S295),2)</x:f>
        <x:v>0</x:v>
      </x:c>
      <x:c r="U295" s="6" t="n">
        <x:f>Z294</x:f>
        <x:v>0</x:v>
      </x:c>
      <x:c r="V295" s="6" t="n">
        <x:f>ROUND(U295*'Debt strategy'!$D$12/12,2)</x:f>
        <x:v>0</x:v>
      </x:c>
      <x:c r="W295" s="6" t="n">
        <x:f>MIN(U295+V295,'Debt strategy'!$E$12)</x:f>
        <x:v>0</x:v>
      </x:c>
      <x:c r="X295" s="27" t="n">
        <x:f>IF(U295+V295-W295&lt;=0,99,1+SUM(IF(AND(C295+D295-E295&gt;0,OR(C295+D295-E295&lt;U295+V295-W295,AND(C295+D295-E295=U295+V295-W295,0&lt;3))),1,0),IF(AND(I295+J295-K295&gt;0,OR(I295+J295-K295&lt;U295+V295-W295,AND(I295+J295-K295=U295+V295-W295,1&lt;3))),1,0),IF(AND(O295+P295-Q295&gt;0,OR(O295+P295-Q295&lt;U295+V295-W295,AND(O295+P295-Q295=U295+V295-W295,2&lt;3))),1,0),IF(AND(AA295+AB295-AC295&gt;0,OR(AA295+AB295-AC295&lt;U295+V295-W295,AND(AA295+AB295-AC295=U295+V295-W295,4&lt;3))),1,0)))</x:f>
        <x:v>99</x:v>
      </x:c>
      <x:c r="Y295" s="6" t="n">
        <x:f>IF('Debt strategy'!$C$16&gt;0,0,MIN(U295+V295-W295,MAX(0,'Debt strategy'!$C$5-SUM(E295,K295,Q295,W295,AC295)-SUM(IF(F295&lt;X295,C295+D295-E295,0),IF(L295&lt;X295,I295+J295-K295,0),IF(R295&lt;X295,O295+P295-Q295,0),IF(AD295&lt;X295,AA295+AB295-AC295,0)))))</x:f>
        <x:v>0</x:v>
      </x:c>
      <x:c r="Z295" s="6" t="n">
        <x:f>ROUND(MAX(0,U295+V295-W295-Y295),2)</x:f>
        <x:v>0</x:v>
      </x:c>
      <x:c r="AA295" s="6" t="n">
        <x:f>AF294</x:f>
        <x:v>0</x:v>
      </x:c>
      <x:c r="AB295" s="6" t="n">
        <x:f>ROUND(AA295*'Debt strategy'!$D$13/12,2)</x:f>
        <x:v>0</x:v>
      </x:c>
      <x:c r="AC295" s="6" t="n">
        <x:f>MIN(AA295+AB295,'Debt strategy'!$E$13)</x:f>
        <x:v>0</x:v>
      </x:c>
      <x:c r="AD295" s="27" t="n">
        <x:f>IF(AA295+AB295-AC295&lt;=0,99,1+SUM(IF(AND(C295+D295-E295&gt;0,OR(C295+D295-E295&lt;AA295+AB295-AC295,AND(C295+D295-E295=AA295+AB295-AC295,0&lt;4))),1,0),IF(AND(I295+J295-K295&gt;0,OR(I295+J295-K295&lt;AA295+AB295-AC295,AND(I295+J295-K295=AA295+AB295-AC295,1&lt;4))),1,0),IF(AND(O295+P295-Q295&gt;0,OR(O295+P295-Q295&lt;AA295+AB295-AC295,AND(O295+P295-Q295=AA295+AB295-AC295,2&lt;4))),1,0),IF(AND(U295+V295-W295&gt;0,OR(U295+V295-W295&lt;AA295+AB295-AC295,AND(U295+V295-W295=AA295+AB295-AC295,3&lt;4))),1,0)))</x:f>
        <x:v>99</x:v>
      </x:c>
      <x:c r="AE295" s="6" t="n">
        <x:f>IF('Debt strategy'!$C$16&gt;0,0,MIN(AA295+AB295-AC295,MAX(0,'Debt strategy'!$C$5-SUM(E295,K295,Q295,W295,AC295)-SUM(IF(F295&lt;AD295,C295+D295-E295,0),IF(L295&lt;AD295,I295+J295-K295,0),IF(R295&lt;AD295,O295+P295-Q295,0),IF(X295&lt;AD295,U295+V295-W295,0)))))</x:f>
        <x:v>0</x:v>
      </x:c>
      <x:c r="AF295" s="6" t="n">
        <x:f>ROUND(MAX(0,AA295+AB295-AC295-AE295),2)</x:f>
        <x:v>0</x:v>
      </x:c>
      <x:c r="AG295" s="6" t="n">
        <x:f>SUM(H295,N295,T295,Z295,AF295)</x:f>
        <x:v>0</x:v>
      </x:c>
      <x:c r="AH295" s="6" t="n">
        <x:f>SUM(D295,J295,P295,V295,AB295)+AH294</x:f>
        <x:v>1353.9499999999996</x:v>
      </x:c>
      <x:c r="AI295" s="2"/>
    </x:row>
    <x:row r="296" ht="23" customHeight="1">
      <x:c r="B296" s="2" t="n">
        <x:f>288</x:f>
        <x:v>288</x:v>
      </x:c>
      <x:c r="C296" s="6" t="n">
        <x:f>H295</x:f>
        <x:v>0</x:v>
      </x:c>
      <x:c r="D296" s="6" t="n">
        <x:f>ROUND(C296*'Debt strategy'!$D$9/12,2)</x:f>
        <x:v>0</x:v>
      </x:c>
      <x:c r="E296" s="6" t="n">
        <x:f>MIN(C296+D296,'Debt strategy'!$E$9)</x:f>
        <x:v>0</x:v>
      </x:c>
      <x:c r="F296" s="27" t="n">
        <x:f>IF(C296+D296-E296&lt;=0,99,1+SUM(IF(AND(I296+J296-K296&gt;0,OR(I296+J296-K296&lt;C296+D296-E296,AND(I296+J296-K296=C296+D296-E296,1&lt;0))),1,0),IF(AND(O296+P296-Q296&gt;0,OR(O296+P296-Q296&lt;C296+D296-E296,AND(O296+P296-Q296=C296+D296-E296,2&lt;0))),1,0),IF(AND(U296+V296-W296&gt;0,OR(U296+V296-W296&lt;C296+D296-E296,AND(U296+V296-W296=C296+D296-E296,3&lt;0))),1,0),IF(AND(AA296+AB296-AC296&gt;0,OR(AA296+AB296-AC296&lt;C296+D296-E296,AND(AA296+AB296-AC296=C296+D296-E296,4&lt;0))),1,0)))</x:f>
        <x:v>99</x:v>
      </x:c>
      <x:c r="G296" s="6" t="n">
        <x:f>IF('Debt strategy'!$C$16&gt;0,0,MIN(C296+D296-E296,MAX(0,'Debt strategy'!$C$5-SUM(E296,K296,Q296,W296,AC296)-SUM(IF(L296&lt;F296,I296+J296-K296,0),IF(R296&lt;F296,O296+P296-Q296,0),IF(X296&lt;F296,U296+V296-W296,0),IF(AD296&lt;F296,AA296+AB296-AC296,0)))))</x:f>
        <x:v>0</x:v>
      </x:c>
      <x:c r="H296" s="6" t="n">
        <x:f>ROUND(MAX(0,C296+D296-E296-G296),2)</x:f>
        <x:v>0</x:v>
      </x:c>
      <x:c r="I296" s="6" t="n">
        <x:f>N295</x:f>
        <x:v>0</x:v>
      </x:c>
      <x:c r="J296" s="6" t="n">
        <x:f>ROUND(I296*'Debt strategy'!$D$10/12,2)</x:f>
        <x:v>0</x:v>
      </x:c>
      <x:c r="K296" s="6" t="n">
        <x:f>MIN(I296+J296,'Debt strategy'!$E$10)</x:f>
        <x:v>0</x:v>
      </x:c>
      <x:c r="L296" s="27" t="n">
        <x:f>IF(I296+J296-K296&lt;=0,99,1+SUM(IF(AND(C296+D296-E296&gt;0,OR(C296+D296-E296&lt;I296+J296-K296,AND(C296+D296-E296=I296+J296-K296,0&lt;1))),1,0),IF(AND(O296+P296-Q296&gt;0,OR(O296+P296-Q296&lt;I296+J296-K296,AND(O296+P296-Q296=I296+J296-K296,2&lt;1))),1,0),IF(AND(U296+V296-W296&gt;0,OR(U296+V296-W296&lt;I296+J296-K296,AND(U296+V296-W296=I296+J296-K296,3&lt;1))),1,0),IF(AND(AA296+AB296-AC296&gt;0,OR(AA296+AB296-AC296&lt;I296+J296-K296,AND(AA296+AB296-AC296=I296+J296-K296,4&lt;1))),1,0)))</x:f>
        <x:v>99</x:v>
      </x:c>
      <x:c r="M296" s="6" t="n">
        <x:f>IF('Debt strategy'!$C$16&gt;0,0,MIN(I296+J296-K296,MAX(0,'Debt strategy'!$C$5-SUM(E296,K296,Q296,W296,AC296)-SUM(IF(F296&lt;L296,C296+D296-E296,0),IF(R296&lt;L296,O296+P296-Q296,0),IF(X296&lt;L296,U296+V296-W296,0),IF(AD296&lt;L296,AA296+AB296-AC296,0)))))</x:f>
        <x:v>0</x:v>
      </x:c>
      <x:c r="N296" s="6" t="n">
        <x:f>ROUND(MAX(0,I296+J296-K296-M296),2)</x:f>
        <x:v>0</x:v>
      </x:c>
      <x:c r="O296" s="6" t="n">
        <x:f>T295</x:f>
        <x:v>0</x:v>
      </x:c>
      <x:c r="P296" s="6" t="n">
        <x:f>ROUND(O296*'Debt strategy'!$D$11/12,2)</x:f>
        <x:v>0</x:v>
      </x:c>
      <x:c r="Q296" s="6" t="n">
        <x:f>MIN(O296+P296,'Debt strategy'!$E$11)</x:f>
        <x:v>0</x:v>
      </x:c>
      <x:c r="R296" s="27" t="n">
        <x:f>IF(O296+P296-Q296&lt;=0,99,1+SUM(IF(AND(C296+D296-E296&gt;0,OR(C296+D296-E296&lt;O296+P296-Q296,AND(C296+D296-E296=O296+P296-Q296,0&lt;2))),1,0),IF(AND(I296+J296-K296&gt;0,OR(I296+J296-K296&lt;O296+P296-Q296,AND(I296+J296-K296=O296+P296-Q296,1&lt;2))),1,0),IF(AND(U296+V296-W296&gt;0,OR(U296+V296-W296&lt;O296+P296-Q296,AND(U296+V296-W296=O296+P296-Q296,3&lt;2))),1,0),IF(AND(AA296+AB296-AC296&gt;0,OR(AA296+AB296-AC296&lt;O296+P296-Q296,AND(AA296+AB296-AC296=O296+P296-Q296,4&lt;2))),1,0)))</x:f>
        <x:v>99</x:v>
      </x:c>
      <x:c r="S296" s="6" t="n">
        <x:f>IF('Debt strategy'!$C$16&gt;0,0,MIN(O296+P296-Q296,MAX(0,'Debt strategy'!$C$5-SUM(E296,K296,Q296,W296,AC296)-SUM(IF(F296&lt;R296,C296+D296-E296,0),IF(L296&lt;R296,I296+J296-K296,0),IF(X296&lt;R296,U296+V296-W296,0),IF(AD296&lt;R296,AA296+AB296-AC296,0)))))</x:f>
        <x:v>0</x:v>
      </x:c>
      <x:c r="T296" s="6" t="n">
        <x:f>ROUND(MAX(0,O296+P296-Q296-S296),2)</x:f>
        <x:v>0</x:v>
      </x:c>
      <x:c r="U296" s="6" t="n">
        <x:f>Z295</x:f>
        <x:v>0</x:v>
      </x:c>
      <x:c r="V296" s="6" t="n">
        <x:f>ROUND(U296*'Debt strategy'!$D$12/12,2)</x:f>
        <x:v>0</x:v>
      </x:c>
      <x:c r="W296" s="6" t="n">
        <x:f>MIN(U296+V296,'Debt strategy'!$E$12)</x:f>
        <x:v>0</x:v>
      </x:c>
      <x:c r="X296" s="27" t="n">
        <x:f>IF(U296+V296-W296&lt;=0,99,1+SUM(IF(AND(C296+D296-E296&gt;0,OR(C296+D296-E296&lt;U296+V296-W296,AND(C296+D296-E296=U296+V296-W296,0&lt;3))),1,0),IF(AND(I296+J296-K296&gt;0,OR(I296+J296-K296&lt;U296+V296-W296,AND(I296+J296-K296=U296+V296-W296,1&lt;3))),1,0),IF(AND(O296+P296-Q296&gt;0,OR(O296+P296-Q296&lt;U296+V296-W296,AND(O296+P296-Q296=U296+V296-W296,2&lt;3))),1,0),IF(AND(AA296+AB296-AC296&gt;0,OR(AA296+AB296-AC296&lt;U296+V296-W296,AND(AA296+AB296-AC296=U296+V296-W296,4&lt;3))),1,0)))</x:f>
        <x:v>99</x:v>
      </x:c>
      <x:c r="Y296" s="6" t="n">
        <x:f>IF('Debt strategy'!$C$16&gt;0,0,MIN(U296+V296-W296,MAX(0,'Debt strategy'!$C$5-SUM(E296,K296,Q296,W296,AC296)-SUM(IF(F296&lt;X296,C296+D296-E296,0),IF(L296&lt;X296,I296+J296-K296,0),IF(R296&lt;X296,O296+P296-Q296,0),IF(AD296&lt;X296,AA296+AB296-AC296,0)))))</x:f>
        <x:v>0</x:v>
      </x:c>
      <x:c r="Z296" s="6" t="n">
        <x:f>ROUND(MAX(0,U296+V296-W296-Y296),2)</x:f>
        <x:v>0</x:v>
      </x:c>
      <x:c r="AA296" s="6" t="n">
        <x:f>AF295</x:f>
        <x:v>0</x:v>
      </x:c>
      <x:c r="AB296" s="6" t="n">
        <x:f>ROUND(AA296*'Debt strategy'!$D$13/12,2)</x:f>
        <x:v>0</x:v>
      </x:c>
      <x:c r="AC296" s="6" t="n">
        <x:f>MIN(AA296+AB296,'Debt strategy'!$E$13)</x:f>
        <x:v>0</x:v>
      </x:c>
      <x:c r="AD296" s="27" t="n">
        <x:f>IF(AA296+AB296-AC296&lt;=0,99,1+SUM(IF(AND(C296+D296-E296&gt;0,OR(C296+D296-E296&lt;AA296+AB296-AC296,AND(C296+D296-E296=AA296+AB296-AC296,0&lt;4))),1,0),IF(AND(I296+J296-K296&gt;0,OR(I296+J296-K296&lt;AA296+AB296-AC296,AND(I296+J296-K296=AA296+AB296-AC296,1&lt;4))),1,0),IF(AND(O296+P296-Q296&gt;0,OR(O296+P296-Q296&lt;AA296+AB296-AC296,AND(O296+P296-Q296=AA296+AB296-AC296,2&lt;4))),1,0),IF(AND(U296+V296-W296&gt;0,OR(U296+V296-W296&lt;AA296+AB296-AC296,AND(U296+V296-W296=AA296+AB296-AC296,3&lt;4))),1,0)))</x:f>
        <x:v>99</x:v>
      </x:c>
      <x:c r="AE296" s="6" t="n">
        <x:f>IF('Debt strategy'!$C$16&gt;0,0,MIN(AA296+AB296-AC296,MAX(0,'Debt strategy'!$C$5-SUM(E296,K296,Q296,W296,AC296)-SUM(IF(F296&lt;AD296,C296+D296-E296,0),IF(L296&lt;AD296,I296+J296-K296,0),IF(R296&lt;AD296,O296+P296-Q296,0),IF(X296&lt;AD296,U296+V296-W296,0)))))</x:f>
        <x:v>0</x:v>
      </x:c>
      <x:c r="AF296" s="6" t="n">
        <x:f>ROUND(MAX(0,AA296+AB296-AC296-AE296),2)</x:f>
        <x:v>0</x:v>
      </x:c>
      <x:c r="AG296" s="6" t="n">
        <x:f>SUM(H296,N296,T296,Z296,AF296)</x:f>
        <x:v>0</x:v>
      </x:c>
      <x:c r="AH296" s="6" t="n">
        <x:f>SUM(D296,J296,P296,V296,AB296)+AH295</x:f>
        <x:v>1353.9499999999996</x:v>
      </x:c>
      <x:c r="AI296" s="2"/>
    </x:row>
    <x:row r="297" ht="23" customHeight="1">
      <x:c r="B297" s="2" t="n">
        <x:f>289</x:f>
        <x:v>289</x:v>
      </x:c>
      <x:c r="C297" s="6" t="n">
        <x:f>H296</x:f>
        <x:v>0</x:v>
      </x:c>
      <x:c r="D297" s="6" t="n">
        <x:f>ROUND(C297*'Debt strategy'!$D$9/12,2)</x:f>
        <x:v>0</x:v>
      </x:c>
      <x:c r="E297" s="6" t="n">
        <x:f>MIN(C297+D297,'Debt strategy'!$E$9)</x:f>
        <x:v>0</x:v>
      </x:c>
      <x:c r="F297" s="27" t="n">
        <x:f>IF(C297+D297-E297&lt;=0,99,1+SUM(IF(AND(I297+J297-K297&gt;0,OR(I297+J297-K297&lt;C297+D297-E297,AND(I297+J297-K297=C297+D297-E297,1&lt;0))),1,0),IF(AND(O297+P297-Q297&gt;0,OR(O297+P297-Q297&lt;C297+D297-E297,AND(O297+P297-Q297=C297+D297-E297,2&lt;0))),1,0),IF(AND(U297+V297-W297&gt;0,OR(U297+V297-W297&lt;C297+D297-E297,AND(U297+V297-W297=C297+D297-E297,3&lt;0))),1,0),IF(AND(AA297+AB297-AC297&gt;0,OR(AA297+AB297-AC297&lt;C297+D297-E297,AND(AA297+AB297-AC297=C297+D297-E297,4&lt;0))),1,0)))</x:f>
        <x:v>99</x:v>
      </x:c>
      <x:c r="G297" s="6" t="n">
        <x:f>IF('Debt strategy'!$C$16&gt;0,0,MIN(C297+D297-E297,MAX(0,'Debt strategy'!$C$5-SUM(E297,K297,Q297,W297,AC297)-SUM(IF(L297&lt;F297,I297+J297-K297,0),IF(R297&lt;F297,O297+P297-Q297,0),IF(X297&lt;F297,U297+V297-W297,0),IF(AD297&lt;F297,AA297+AB297-AC297,0)))))</x:f>
        <x:v>0</x:v>
      </x:c>
      <x:c r="H297" s="6" t="n">
        <x:f>ROUND(MAX(0,C297+D297-E297-G297),2)</x:f>
        <x:v>0</x:v>
      </x:c>
      <x:c r="I297" s="6" t="n">
        <x:f>N296</x:f>
        <x:v>0</x:v>
      </x:c>
      <x:c r="J297" s="6" t="n">
        <x:f>ROUND(I297*'Debt strategy'!$D$10/12,2)</x:f>
        <x:v>0</x:v>
      </x:c>
      <x:c r="K297" s="6" t="n">
        <x:f>MIN(I297+J297,'Debt strategy'!$E$10)</x:f>
        <x:v>0</x:v>
      </x:c>
      <x:c r="L297" s="27" t="n">
        <x:f>IF(I297+J297-K297&lt;=0,99,1+SUM(IF(AND(C297+D297-E297&gt;0,OR(C297+D297-E297&lt;I297+J297-K297,AND(C297+D297-E297=I297+J297-K297,0&lt;1))),1,0),IF(AND(O297+P297-Q297&gt;0,OR(O297+P297-Q297&lt;I297+J297-K297,AND(O297+P297-Q297=I297+J297-K297,2&lt;1))),1,0),IF(AND(U297+V297-W297&gt;0,OR(U297+V297-W297&lt;I297+J297-K297,AND(U297+V297-W297=I297+J297-K297,3&lt;1))),1,0),IF(AND(AA297+AB297-AC297&gt;0,OR(AA297+AB297-AC297&lt;I297+J297-K297,AND(AA297+AB297-AC297=I297+J297-K297,4&lt;1))),1,0)))</x:f>
        <x:v>99</x:v>
      </x:c>
      <x:c r="M297" s="6" t="n">
        <x:f>IF('Debt strategy'!$C$16&gt;0,0,MIN(I297+J297-K297,MAX(0,'Debt strategy'!$C$5-SUM(E297,K297,Q297,W297,AC297)-SUM(IF(F297&lt;L297,C297+D297-E297,0),IF(R297&lt;L297,O297+P297-Q297,0),IF(X297&lt;L297,U297+V297-W297,0),IF(AD297&lt;L297,AA297+AB297-AC297,0)))))</x:f>
        <x:v>0</x:v>
      </x:c>
      <x:c r="N297" s="6" t="n">
        <x:f>ROUND(MAX(0,I297+J297-K297-M297),2)</x:f>
        <x:v>0</x:v>
      </x:c>
      <x:c r="O297" s="6" t="n">
        <x:f>T296</x:f>
        <x:v>0</x:v>
      </x:c>
      <x:c r="P297" s="6" t="n">
        <x:f>ROUND(O297*'Debt strategy'!$D$11/12,2)</x:f>
        <x:v>0</x:v>
      </x:c>
      <x:c r="Q297" s="6" t="n">
        <x:f>MIN(O297+P297,'Debt strategy'!$E$11)</x:f>
        <x:v>0</x:v>
      </x:c>
      <x:c r="R297" s="27" t="n">
        <x:f>IF(O297+P297-Q297&lt;=0,99,1+SUM(IF(AND(C297+D297-E297&gt;0,OR(C297+D297-E297&lt;O297+P297-Q297,AND(C297+D297-E297=O297+P297-Q297,0&lt;2))),1,0),IF(AND(I297+J297-K297&gt;0,OR(I297+J297-K297&lt;O297+P297-Q297,AND(I297+J297-K297=O297+P297-Q297,1&lt;2))),1,0),IF(AND(U297+V297-W297&gt;0,OR(U297+V297-W297&lt;O297+P297-Q297,AND(U297+V297-W297=O297+P297-Q297,3&lt;2))),1,0),IF(AND(AA297+AB297-AC297&gt;0,OR(AA297+AB297-AC297&lt;O297+P297-Q297,AND(AA297+AB297-AC297=O297+P297-Q297,4&lt;2))),1,0)))</x:f>
        <x:v>99</x:v>
      </x:c>
      <x:c r="S297" s="6" t="n">
        <x:f>IF('Debt strategy'!$C$16&gt;0,0,MIN(O297+P297-Q297,MAX(0,'Debt strategy'!$C$5-SUM(E297,K297,Q297,W297,AC297)-SUM(IF(F297&lt;R297,C297+D297-E297,0),IF(L297&lt;R297,I297+J297-K297,0),IF(X297&lt;R297,U297+V297-W297,0),IF(AD297&lt;R297,AA297+AB297-AC297,0)))))</x:f>
        <x:v>0</x:v>
      </x:c>
      <x:c r="T297" s="6" t="n">
        <x:f>ROUND(MAX(0,O297+P297-Q297-S297),2)</x:f>
        <x:v>0</x:v>
      </x:c>
      <x:c r="U297" s="6" t="n">
        <x:f>Z296</x:f>
        <x:v>0</x:v>
      </x:c>
      <x:c r="V297" s="6" t="n">
        <x:f>ROUND(U297*'Debt strategy'!$D$12/12,2)</x:f>
        <x:v>0</x:v>
      </x:c>
      <x:c r="W297" s="6" t="n">
        <x:f>MIN(U297+V297,'Debt strategy'!$E$12)</x:f>
        <x:v>0</x:v>
      </x:c>
      <x:c r="X297" s="27" t="n">
        <x:f>IF(U297+V297-W297&lt;=0,99,1+SUM(IF(AND(C297+D297-E297&gt;0,OR(C297+D297-E297&lt;U297+V297-W297,AND(C297+D297-E297=U297+V297-W297,0&lt;3))),1,0),IF(AND(I297+J297-K297&gt;0,OR(I297+J297-K297&lt;U297+V297-W297,AND(I297+J297-K297=U297+V297-W297,1&lt;3))),1,0),IF(AND(O297+P297-Q297&gt;0,OR(O297+P297-Q297&lt;U297+V297-W297,AND(O297+P297-Q297=U297+V297-W297,2&lt;3))),1,0),IF(AND(AA297+AB297-AC297&gt;0,OR(AA297+AB297-AC297&lt;U297+V297-W297,AND(AA297+AB297-AC297=U297+V297-W297,4&lt;3))),1,0)))</x:f>
        <x:v>99</x:v>
      </x:c>
      <x:c r="Y297" s="6" t="n">
        <x:f>IF('Debt strategy'!$C$16&gt;0,0,MIN(U297+V297-W297,MAX(0,'Debt strategy'!$C$5-SUM(E297,K297,Q297,W297,AC297)-SUM(IF(F297&lt;X297,C297+D297-E297,0),IF(L297&lt;X297,I297+J297-K297,0),IF(R297&lt;X297,O297+P297-Q297,0),IF(AD297&lt;X297,AA297+AB297-AC297,0)))))</x:f>
        <x:v>0</x:v>
      </x:c>
      <x:c r="Z297" s="6" t="n">
        <x:f>ROUND(MAX(0,U297+V297-W297-Y297),2)</x:f>
        <x:v>0</x:v>
      </x:c>
      <x:c r="AA297" s="6" t="n">
        <x:f>AF296</x:f>
        <x:v>0</x:v>
      </x:c>
      <x:c r="AB297" s="6" t="n">
        <x:f>ROUND(AA297*'Debt strategy'!$D$13/12,2)</x:f>
        <x:v>0</x:v>
      </x:c>
      <x:c r="AC297" s="6" t="n">
        <x:f>MIN(AA297+AB297,'Debt strategy'!$E$13)</x:f>
        <x:v>0</x:v>
      </x:c>
      <x:c r="AD297" s="27" t="n">
        <x:f>IF(AA297+AB297-AC297&lt;=0,99,1+SUM(IF(AND(C297+D297-E297&gt;0,OR(C297+D297-E297&lt;AA297+AB297-AC297,AND(C297+D297-E297=AA297+AB297-AC297,0&lt;4))),1,0),IF(AND(I297+J297-K297&gt;0,OR(I297+J297-K297&lt;AA297+AB297-AC297,AND(I297+J297-K297=AA297+AB297-AC297,1&lt;4))),1,0),IF(AND(O297+P297-Q297&gt;0,OR(O297+P297-Q297&lt;AA297+AB297-AC297,AND(O297+P297-Q297=AA297+AB297-AC297,2&lt;4))),1,0),IF(AND(U297+V297-W297&gt;0,OR(U297+V297-W297&lt;AA297+AB297-AC297,AND(U297+V297-W297=AA297+AB297-AC297,3&lt;4))),1,0)))</x:f>
        <x:v>99</x:v>
      </x:c>
      <x:c r="AE297" s="6" t="n">
        <x:f>IF('Debt strategy'!$C$16&gt;0,0,MIN(AA297+AB297-AC297,MAX(0,'Debt strategy'!$C$5-SUM(E297,K297,Q297,W297,AC297)-SUM(IF(F297&lt;AD297,C297+D297-E297,0),IF(L297&lt;AD297,I297+J297-K297,0),IF(R297&lt;AD297,O297+P297-Q297,0),IF(X297&lt;AD297,U297+V297-W297,0)))))</x:f>
        <x:v>0</x:v>
      </x:c>
      <x:c r="AF297" s="6" t="n">
        <x:f>ROUND(MAX(0,AA297+AB297-AC297-AE297),2)</x:f>
        <x:v>0</x:v>
      </x:c>
      <x:c r="AG297" s="6" t="n">
        <x:f>SUM(H297,N297,T297,Z297,AF297)</x:f>
        <x:v>0</x:v>
      </x:c>
      <x:c r="AH297" s="6" t="n">
        <x:f>SUM(D297,J297,P297,V297,AB297)+AH296</x:f>
        <x:v>1353.9499999999996</x:v>
      </x:c>
      <x:c r="AI297" s="2"/>
    </x:row>
    <x:row r="298" ht="23" customHeight="1">
      <x:c r="B298" s="2" t="n">
        <x:f>290</x:f>
        <x:v>290</x:v>
      </x:c>
      <x:c r="C298" s="6" t="n">
        <x:f>H297</x:f>
        <x:v>0</x:v>
      </x:c>
      <x:c r="D298" s="6" t="n">
        <x:f>ROUND(C298*'Debt strategy'!$D$9/12,2)</x:f>
        <x:v>0</x:v>
      </x:c>
      <x:c r="E298" s="6" t="n">
        <x:f>MIN(C298+D298,'Debt strategy'!$E$9)</x:f>
        <x:v>0</x:v>
      </x:c>
      <x:c r="F298" s="27" t="n">
        <x:f>IF(C298+D298-E298&lt;=0,99,1+SUM(IF(AND(I298+J298-K298&gt;0,OR(I298+J298-K298&lt;C298+D298-E298,AND(I298+J298-K298=C298+D298-E298,1&lt;0))),1,0),IF(AND(O298+P298-Q298&gt;0,OR(O298+P298-Q298&lt;C298+D298-E298,AND(O298+P298-Q298=C298+D298-E298,2&lt;0))),1,0),IF(AND(U298+V298-W298&gt;0,OR(U298+V298-W298&lt;C298+D298-E298,AND(U298+V298-W298=C298+D298-E298,3&lt;0))),1,0),IF(AND(AA298+AB298-AC298&gt;0,OR(AA298+AB298-AC298&lt;C298+D298-E298,AND(AA298+AB298-AC298=C298+D298-E298,4&lt;0))),1,0)))</x:f>
        <x:v>99</x:v>
      </x:c>
      <x:c r="G298" s="6" t="n">
        <x:f>IF('Debt strategy'!$C$16&gt;0,0,MIN(C298+D298-E298,MAX(0,'Debt strategy'!$C$5-SUM(E298,K298,Q298,W298,AC298)-SUM(IF(L298&lt;F298,I298+J298-K298,0),IF(R298&lt;F298,O298+P298-Q298,0),IF(X298&lt;F298,U298+V298-W298,0),IF(AD298&lt;F298,AA298+AB298-AC298,0)))))</x:f>
        <x:v>0</x:v>
      </x:c>
      <x:c r="H298" s="6" t="n">
        <x:f>ROUND(MAX(0,C298+D298-E298-G298),2)</x:f>
        <x:v>0</x:v>
      </x:c>
      <x:c r="I298" s="6" t="n">
        <x:f>N297</x:f>
        <x:v>0</x:v>
      </x:c>
      <x:c r="J298" s="6" t="n">
        <x:f>ROUND(I298*'Debt strategy'!$D$10/12,2)</x:f>
        <x:v>0</x:v>
      </x:c>
      <x:c r="K298" s="6" t="n">
        <x:f>MIN(I298+J298,'Debt strategy'!$E$10)</x:f>
        <x:v>0</x:v>
      </x:c>
      <x:c r="L298" s="27" t="n">
        <x:f>IF(I298+J298-K298&lt;=0,99,1+SUM(IF(AND(C298+D298-E298&gt;0,OR(C298+D298-E298&lt;I298+J298-K298,AND(C298+D298-E298=I298+J298-K298,0&lt;1))),1,0),IF(AND(O298+P298-Q298&gt;0,OR(O298+P298-Q298&lt;I298+J298-K298,AND(O298+P298-Q298=I298+J298-K298,2&lt;1))),1,0),IF(AND(U298+V298-W298&gt;0,OR(U298+V298-W298&lt;I298+J298-K298,AND(U298+V298-W298=I298+J298-K298,3&lt;1))),1,0),IF(AND(AA298+AB298-AC298&gt;0,OR(AA298+AB298-AC298&lt;I298+J298-K298,AND(AA298+AB298-AC298=I298+J298-K298,4&lt;1))),1,0)))</x:f>
        <x:v>99</x:v>
      </x:c>
      <x:c r="M298" s="6" t="n">
        <x:f>IF('Debt strategy'!$C$16&gt;0,0,MIN(I298+J298-K298,MAX(0,'Debt strategy'!$C$5-SUM(E298,K298,Q298,W298,AC298)-SUM(IF(F298&lt;L298,C298+D298-E298,0),IF(R298&lt;L298,O298+P298-Q298,0),IF(X298&lt;L298,U298+V298-W298,0),IF(AD298&lt;L298,AA298+AB298-AC298,0)))))</x:f>
        <x:v>0</x:v>
      </x:c>
      <x:c r="N298" s="6" t="n">
        <x:f>ROUND(MAX(0,I298+J298-K298-M298),2)</x:f>
        <x:v>0</x:v>
      </x:c>
      <x:c r="O298" s="6" t="n">
        <x:f>T297</x:f>
        <x:v>0</x:v>
      </x:c>
      <x:c r="P298" s="6" t="n">
        <x:f>ROUND(O298*'Debt strategy'!$D$11/12,2)</x:f>
        <x:v>0</x:v>
      </x:c>
      <x:c r="Q298" s="6" t="n">
        <x:f>MIN(O298+P298,'Debt strategy'!$E$11)</x:f>
        <x:v>0</x:v>
      </x:c>
      <x:c r="R298" s="27" t="n">
        <x:f>IF(O298+P298-Q298&lt;=0,99,1+SUM(IF(AND(C298+D298-E298&gt;0,OR(C298+D298-E298&lt;O298+P298-Q298,AND(C298+D298-E298=O298+P298-Q298,0&lt;2))),1,0),IF(AND(I298+J298-K298&gt;0,OR(I298+J298-K298&lt;O298+P298-Q298,AND(I298+J298-K298=O298+P298-Q298,1&lt;2))),1,0),IF(AND(U298+V298-W298&gt;0,OR(U298+V298-W298&lt;O298+P298-Q298,AND(U298+V298-W298=O298+P298-Q298,3&lt;2))),1,0),IF(AND(AA298+AB298-AC298&gt;0,OR(AA298+AB298-AC298&lt;O298+P298-Q298,AND(AA298+AB298-AC298=O298+P298-Q298,4&lt;2))),1,0)))</x:f>
        <x:v>99</x:v>
      </x:c>
      <x:c r="S298" s="6" t="n">
        <x:f>IF('Debt strategy'!$C$16&gt;0,0,MIN(O298+P298-Q298,MAX(0,'Debt strategy'!$C$5-SUM(E298,K298,Q298,W298,AC298)-SUM(IF(F298&lt;R298,C298+D298-E298,0),IF(L298&lt;R298,I298+J298-K298,0),IF(X298&lt;R298,U298+V298-W298,0),IF(AD298&lt;R298,AA298+AB298-AC298,0)))))</x:f>
        <x:v>0</x:v>
      </x:c>
      <x:c r="T298" s="6" t="n">
        <x:f>ROUND(MAX(0,O298+P298-Q298-S298),2)</x:f>
        <x:v>0</x:v>
      </x:c>
      <x:c r="U298" s="6" t="n">
        <x:f>Z297</x:f>
        <x:v>0</x:v>
      </x:c>
      <x:c r="V298" s="6" t="n">
        <x:f>ROUND(U298*'Debt strategy'!$D$12/12,2)</x:f>
        <x:v>0</x:v>
      </x:c>
      <x:c r="W298" s="6" t="n">
        <x:f>MIN(U298+V298,'Debt strategy'!$E$12)</x:f>
        <x:v>0</x:v>
      </x:c>
      <x:c r="X298" s="27" t="n">
        <x:f>IF(U298+V298-W298&lt;=0,99,1+SUM(IF(AND(C298+D298-E298&gt;0,OR(C298+D298-E298&lt;U298+V298-W298,AND(C298+D298-E298=U298+V298-W298,0&lt;3))),1,0),IF(AND(I298+J298-K298&gt;0,OR(I298+J298-K298&lt;U298+V298-W298,AND(I298+J298-K298=U298+V298-W298,1&lt;3))),1,0),IF(AND(O298+P298-Q298&gt;0,OR(O298+P298-Q298&lt;U298+V298-W298,AND(O298+P298-Q298=U298+V298-W298,2&lt;3))),1,0),IF(AND(AA298+AB298-AC298&gt;0,OR(AA298+AB298-AC298&lt;U298+V298-W298,AND(AA298+AB298-AC298=U298+V298-W298,4&lt;3))),1,0)))</x:f>
        <x:v>99</x:v>
      </x:c>
      <x:c r="Y298" s="6" t="n">
        <x:f>IF('Debt strategy'!$C$16&gt;0,0,MIN(U298+V298-W298,MAX(0,'Debt strategy'!$C$5-SUM(E298,K298,Q298,W298,AC298)-SUM(IF(F298&lt;X298,C298+D298-E298,0),IF(L298&lt;X298,I298+J298-K298,0),IF(R298&lt;X298,O298+P298-Q298,0),IF(AD298&lt;X298,AA298+AB298-AC298,0)))))</x:f>
        <x:v>0</x:v>
      </x:c>
      <x:c r="Z298" s="6" t="n">
        <x:f>ROUND(MAX(0,U298+V298-W298-Y298),2)</x:f>
        <x:v>0</x:v>
      </x:c>
      <x:c r="AA298" s="6" t="n">
        <x:f>AF297</x:f>
        <x:v>0</x:v>
      </x:c>
      <x:c r="AB298" s="6" t="n">
        <x:f>ROUND(AA298*'Debt strategy'!$D$13/12,2)</x:f>
        <x:v>0</x:v>
      </x:c>
      <x:c r="AC298" s="6" t="n">
        <x:f>MIN(AA298+AB298,'Debt strategy'!$E$13)</x:f>
        <x:v>0</x:v>
      </x:c>
      <x:c r="AD298" s="27" t="n">
        <x:f>IF(AA298+AB298-AC298&lt;=0,99,1+SUM(IF(AND(C298+D298-E298&gt;0,OR(C298+D298-E298&lt;AA298+AB298-AC298,AND(C298+D298-E298=AA298+AB298-AC298,0&lt;4))),1,0),IF(AND(I298+J298-K298&gt;0,OR(I298+J298-K298&lt;AA298+AB298-AC298,AND(I298+J298-K298=AA298+AB298-AC298,1&lt;4))),1,0),IF(AND(O298+P298-Q298&gt;0,OR(O298+P298-Q298&lt;AA298+AB298-AC298,AND(O298+P298-Q298=AA298+AB298-AC298,2&lt;4))),1,0),IF(AND(U298+V298-W298&gt;0,OR(U298+V298-W298&lt;AA298+AB298-AC298,AND(U298+V298-W298=AA298+AB298-AC298,3&lt;4))),1,0)))</x:f>
        <x:v>99</x:v>
      </x:c>
      <x:c r="AE298" s="6" t="n">
        <x:f>IF('Debt strategy'!$C$16&gt;0,0,MIN(AA298+AB298-AC298,MAX(0,'Debt strategy'!$C$5-SUM(E298,K298,Q298,W298,AC298)-SUM(IF(F298&lt;AD298,C298+D298-E298,0),IF(L298&lt;AD298,I298+J298-K298,0),IF(R298&lt;AD298,O298+P298-Q298,0),IF(X298&lt;AD298,U298+V298-W298,0)))))</x:f>
        <x:v>0</x:v>
      </x:c>
      <x:c r="AF298" s="6" t="n">
        <x:f>ROUND(MAX(0,AA298+AB298-AC298-AE298),2)</x:f>
        <x:v>0</x:v>
      </x:c>
      <x:c r="AG298" s="6" t="n">
        <x:f>SUM(H298,N298,T298,Z298,AF298)</x:f>
        <x:v>0</x:v>
      </x:c>
      <x:c r="AH298" s="6" t="n">
        <x:f>SUM(D298,J298,P298,V298,AB298)+AH297</x:f>
        <x:v>1353.9499999999996</x:v>
      </x:c>
      <x:c r="AI298" s="2"/>
    </x:row>
    <x:row r="299" ht="23" customHeight="1">
      <x:c r="B299" s="2" t="n">
        <x:f>291</x:f>
        <x:v>291</x:v>
      </x:c>
      <x:c r="C299" s="6" t="n">
        <x:f>H298</x:f>
        <x:v>0</x:v>
      </x:c>
      <x:c r="D299" s="6" t="n">
        <x:f>ROUND(C299*'Debt strategy'!$D$9/12,2)</x:f>
        <x:v>0</x:v>
      </x:c>
      <x:c r="E299" s="6" t="n">
        <x:f>MIN(C299+D299,'Debt strategy'!$E$9)</x:f>
        <x:v>0</x:v>
      </x:c>
      <x:c r="F299" s="27" t="n">
        <x:f>IF(C299+D299-E299&lt;=0,99,1+SUM(IF(AND(I299+J299-K299&gt;0,OR(I299+J299-K299&lt;C299+D299-E299,AND(I299+J299-K299=C299+D299-E299,1&lt;0))),1,0),IF(AND(O299+P299-Q299&gt;0,OR(O299+P299-Q299&lt;C299+D299-E299,AND(O299+P299-Q299=C299+D299-E299,2&lt;0))),1,0),IF(AND(U299+V299-W299&gt;0,OR(U299+V299-W299&lt;C299+D299-E299,AND(U299+V299-W299=C299+D299-E299,3&lt;0))),1,0),IF(AND(AA299+AB299-AC299&gt;0,OR(AA299+AB299-AC299&lt;C299+D299-E299,AND(AA299+AB299-AC299=C299+D299-E299,4&lt;0))),1,0)))</x:f>
        <x:v>99</x:v>
      </x:c>
      <x:c r="G299" s="6" t="n">
        <x:f>IF('Debt strategy'!$C$16&gt;0,0,MIN(C299+D299-E299,MAX(0,'Debt strategy'!$C$5-SUM(E299,K299,Q299,W299,AC299)-SUM(IF(L299&lt;F299,I299+J299-K299,0),IF(R299&lt;F299,O299+P299-Q299,0),IF(X299&lt;F299,U299+V299-W299,0),IF(AD299&lt;F299,AA299+AB299-AC299,0)))))</x:f>
        <x:v>0</x:v>
      </x:c>
      <x:c r="H299" s="6" t="n">
        <x:f>ROUND(MAX(0,C299+D299-E299-G299),2)</x:f>
        <x:v>0</x:v>
      </x:c>
      <x:c r="I299" s="6" t="n">
        <x:f>N298</x:f>
        <x:v>0</x:v>
      </x:c>
      <x:c r="J299" s="6" t="n">
        <x:f>ROUND(I299*'Debt strategy'!$D$10/12,2)</x:f>
        <x:v>0</x:v>
      </x:c>
      <x:c r="K299" s="6" t="n">
        <x:f>MIN(I299+J299,'Debt strategy'!$E$10)</x:f>
        <x:v>0</x:v>
      </x:c>
      <x:c r="L299" s="27" t="n">
        <x:f>IF(I299+J299-K299&lt;=0,99,1+SUM(IF(AND(C299+D299-E299&gt;0,OR(C299+D299-E299&lt;I299+J299-K299,AND(C299+D299-E299=I299+J299-K299,0&lt;1))),1,0),IF(AND(O299+P299-Q299&gt;0,OR(O299+P299-Q299&lt;I299+J299-K299,AND(O299+P299-Q299=I299+J299-K299,2&lt;1))),1,0),IF(AND(U299+V299-W299&gt;0,OR(U299+V299-W299&lt;I299+J299-K299,AND(U299+V299-W299=I299+J299-K299,3&lt;1))),1,0),IF(AND(AA299+AB299-AC299&gt;0,OR(AA299+AB299-AC299&lt;I299+J299-K299,AND(AA299+AB299-AC299=I299+J299-K299,4&lt;1))),1,0)))</x:f>
        <x:v>99</x:v>
      </x:c>
      <x:c r="M299" s="6" t="n">
        <x:f>IF('Debt strategy'!$C$16&gt;0,0,MIN(I299+J299-K299,MAX(0,'Debt strategy'!$C$5-SUM(E299,K299,Q299,W299,AC299)-SUM(IF(F299&lt;L299,C299+D299-E299,0),IF(R299&lt;L299,O299+P299-Q299,0),IF(X299&lt;L299,U299+V299-W299,0),IF(AD299&lt;L299,AA299+AB299-AC299,0)))))</x:f>
        <x:v>0</x:v>
      </x:c>
      <x:c r="N299" s="6" t="n">
        <x:f>ROUND(MAX(0,I299+J299-K299-M299),2)</x:f>
        <x:v>0</x:v>
      </x:c>
      <x:c r="O299" s="6" t="n">
        <x:f>T298</x:f>
        <x:v>0</x:v>
      </x:c>
      <x:c r="P299" s="6" t="n">
        <x:f>ROUND(O299*'Debt strategy'!$D$11/12,2)</x:f>
        <x:v>0</x:v>
      </x:c>
      <x:c r="Q299" s="6" t="n">
        <x:f>MIN(O299+P299,'Debt strategy'!$E$11)</x:f>
        <x:v>0</x:v>
      </x:c>
      <x:c r="R299" s="27" t="n">
        <x:f>IF(O299+P299-Q299&lt;=0,99,1+SUM(IF(AND(C299+D299-E299&gt;0,OR(C299+D299-E299&lt;O299+P299-Q299,AND(C299+D299-E299=O299+P299-Q299,0&lt;2))),1,0),IF(AND(I299+J299-K299&gt;0,OR(I299+J299-K299&lt;O299+P299-Q299,AND(I299+J299-K299=O299+P299-Q299,1&lt;2))),1,0),IF(AND(U299+V299-W299&gt;0,OR(U299+V299-W299&lt;O299+P299-Q299,AND(U299+V299-W299=O299+P299-Q299,3&lt;2))),1,0),IF(AND(AA299+AB299-AC299&gt;0,OR(AA299+AB299-AC299&lt;O299+P299-Q299,AND(AA299+AB299-AC299=O299+P299-Q299,4&lt;2))),1,0)))</x:f>
        <x:v>99</x:v>
      </x:c>
      <x:c r="S299" s="6" t="n">
        <x:f>IF('Debt strategy'!$C$16&gt;0,0,MIN(O299+P299-Q299,MAX(0,'Debt strategy'!$C$5-SUM(E299,K299,Q299,W299,AC299)-SUM(IF(F299&lt;R299,C299+D299-E299,0),IF(L299&lt;R299,I299+J299-K299,0),IF(X299&lt;R299,U299+V299-W299,0),IF(AD299&lt;R299,AA299+AB299-AC299,0)))))</x:f>
        <x:v>0</x:v>
      </x:c>
      <x:c r="T299" s="6" t="n">
        <x:f>ROUND(MAX(0,O299+P299-Q299-S299),2)</x:f>
        <x:v>0</x:v>
      </x:c>
      <x:c r="U299" s="6" t="n">
        <x:f>Z298</x:f>
        <x:v>0</x:v>
      </x:c>
      <x:c r="V299" s="6" t="n">
        <x:f>ROUND(U299*'Debt strategy'!$D$12/12,2)</x:f>
        <x:v>0</x:v>
      </x:c>
      <x:c r="W299" s="6" t="n">
        <x:f>MIN(U299+V299,'Debt strategy'!$E$12)</x:f>
        <x:v>0</x:v>
      </x:c>
      <x:c r="X299" s="27" t="n">
        <x:f>IF(U299+V299-W299&lt;=0,99,1+SUM(IF(AND(C299+D299-E299&gt;0,OR(C299+D299-E299&lt;U299+V299-W299,AND(C299+D299-E299=U299+V299-W299,0&lt;3))),1,0),IF(AND(I299+J299-K299&gt;0,OR(I299+J299-K299&lt;U299+V299-W299,AND(I299+J299-K299=U299+V299-W299,1&lt;3))),1,0),IF(AND(O299+P299-Q299&gt;0,OR(O299+P299-Q299&lt;U299+V299-W299,AND(O299+P299-Q299=U299+V299-W299,2&lt;3))),1,0),IF(AND(AA299+AB299-AC299&gt;0,OR(AA299+AB299-AC299&lt;U299+V299-W299,AND(AA299+AB299-AC299=U299+V299-W299,4&lt;3))),1,0)))</x:f>
        <x:v>99</x:v>
      </x:c>
      <x:c r="Y299" s="6" t="n">
        <x:f>IF('Debt strategy'!$C$16&gt;0,0,MIN(U299+V299-W299,MAX(0,'Debt strategy'!$C$5-SUM(E299,K299,Q299,W299,AC299)-SUM(IF(F299&lt;X299,C299+D299-E299,0),IF(L299&lt;X299,I299+J299-K299,0),IF(R299&lt;X299,O299+P299-Q299,0),IF(AD299&lt;X299,AA299+AB299-AC299,0)))))</x:f>
        <x:v>0</x:v>
      </x:c>
      <x:c r="Z299" s="6" t="n">
        <x:f>ROUND(MAX(0,U299+V299-W299-Y299),2)</x:f>
        <x:v>0</x:v>
      </x:c>
      <x:c r="AA299" s="6" t="n">
        <x:f>AF298</x:f>
        <x:v>0</x:v>
      </x:c>
      <x:c r="AB299" s="6" t="n">
        <x:f>ROUND(AA299*'Debt strategy'!$D$13/12,2)</x:f>
        <x:v>0</x:v>
      </x:c>
      <x:c r="AC299" s="6" t="n">
        <x:f>MIN(AA299+AB299,'Debt strategy'!$E$13)</x:f>
        <x:v>0</x:v>
      </x:c>
      <x:c r="AD299" s="27" t="n">
        <x:f>IF(AA299+AB299-AC299&lt;=0,99,1+SUM(IF(AND(C299+D299-E299&gt;0,OR(C299+D299-E299&lt;AA299+AB299-AC299,AND(C299+D299-E299=AA299+AB299-AC299,0&lt;4))),1,0),IF(AND(I299+J299-K299&gt;0,OR(I299+J299-K299&lt;AA299+AB299-AC299,AND(I299+J299-K299=AA299+AB299-AC299,1&lt;4))),1,0),IF(AND(O299+P299-Q299&gt;0,OR(O299+P299-Q299&lt;AA299+AB299-AC299,AND(O299+P299-Q299=AA299+AB299-AC299,2&lt;4))),1,0),IF(AND(U299+V299-W299&gt;0,OR(U299+V299-W299&lt;AA299+AB299-AC299,AND(U299+V299-W299=AA299+AB299-AC299,3&lt;4))),1,0)))</x:f>
        <x:v>99</x:v>
      </x:c>
      <x:c r="AE299" s="6" t="n">
        <x:f>IF('Debt strategy'!$C$16&gt;0,0,MIN(AA299+AB299-AC299,MAX(0,'Debt strategy'!$C$5-SUM(E299,K299,Q299,W299,AC299)-SUM(IF(F299&lt;AD299,C299+D299-E299,0),IF(L299&lt;AD299,I299+J299-K299,0),IF(R299&lt;AD299,O299+P299-Q299,0),IF(X299&lt;AD299,U299+V299-W299,0)))))</x:f>
        <x:v>0</x:v>
      </x:c>
      <x:c r="AF299" s="6" t="n">
        <x:f>ROUND(MAX(0,AA299+AB299-AC299-AE299),2)</x:f>
        <x:v>0</x:v>
      </x:c>
      <x:c r="AG299" s="6" t="n">
        <x:f>SUM(H299,N299,T299,Z299,AF299)</x:f>
        <x:v>0</x:v>
      </x:c>
      <x:c r="AH299" s="6" t="n">
        <x:f>SUM(D299,J299,P299,V299,AB299)+AH298</x:f>
        <x:v>1353.9499999999996</x:v>
      </x:c>
      <x:c r="AI299" s="2"/>
    </x:row>
    <x:row r="300" ht="23" customHeight="1">
      <x:c r="B300" s="2" t="n">
        <x:f>292</x:f>
        <x:v>292</x:v>
      </x:c>
      <x:c r="C300" s="6" t="n">
        <x:f>H299</x:f>
        <x:v>0</x:v>
      </x:c>
      <x:c r="D300" s="6" t="n">
        <x:f>ROUND(C300*'Debt strategy'!$D$9/12,2)</x:f>
        <x:v>0</x:v>
      </x:c>
      <x:c r="E300" s="6" t="n">
        <x:f>MIN(C300+D300,'Debt strategy'!$E$9)</x:f>
        <x:v>0</x:v>
      </x:c>
      <x:c r="F300" s="27" t="n">
        <x:f>IF(C300+D300-E300&lt;=0,99,1+SUM(IF(AND(I300+J300-K300&gt;0,OR(I300+J300-K300&lt;C300+D300-E300,AND(I300+J300-K300=C300+D300-E300,1&lt;0))),1,0),IF(AND(O300+P300-Q300&gt;0,OR(O300+P300-Q300&lt;C300+D300-E300,AND(O300+P300-Q300=C300+D300-E300,2&lt;0))),1,0),IF(AND(U300+V300-W300&gt;0,OR(U300+V300-W300&lt;C300+D300-E300,AND(U300+V300-W300=C300+D300-E300,3&lt;0))),1,0),IF(AND(AA300+AB300-AC300&gt;0,OR(AA300+AB300-AC300&lt;C300+D300-E300,AND(AA300+AB300-AC300=C300+D300-E300,4&lt;0))),1,0)))</x:f>
        <x:v>99</x:v>
      </x:c>
      <x:c r="G300" s="6" t="n">
        <x:f>IF('Debt strategy'!$C$16&gt;0,0,MIN(C300+D300-E300,MAX(0,'Debt strategy'!$C$5-SUM(E300,K300,Q300,W300,AC300)-SUM(IF(L300&lt;F300,I300+J300-K300,0),IF(R300&lt;F300,O300+P300-Q300,0),IF(X300&lt;F300,U300+V300-W300,0),IF(AD300&lt;F300,AA300+AB300-AC300,0)))))</x:f>
        <x:v>0</x:v>
      </x:c>
      <x:c r="H300" s="6" t="n">
        <x:f>ROUND(MAX(0,C300+D300-E300-G300),2)</x:f>
        <x:v>0</x:v>
      </x:c>
      <x:c r="I300" s="6" t="n">
        <x:f>N299</x:f>
        <x:v>0</x:v>
      </x:c>
      <x:c r="J300" s="6" t="n">
        <x:f>ROUND(I300*'Debt strategy'!$D$10/12,2)</x:f>
        <x:v>0</x:v>
      </x:c>
      <x:c r="K300" s="6" t="n">
        <x:f>MIN(I300+J300,'Debt strategy'!$E$10)</x:f>
        <x:v>0</x:v>
      </x:c>
      <x:c r="L300" s="27" t="n">
        <x:f>IF(I300+J300-K300&lt;=0,99,1+SUM(IF(AND(C300+D300-E300&gt;0,OR(C300+D300-E300&lt;I300+J300-K300,AND(C300+D300-E300=I300+J300-K300,0&lt;1))),1,0),IF(AND(O300+P300-Q300&gt;0,OR(O300+P300-Q300&lt;I300+J300-K300,AND(O300+P300-Q300=I300+J300-K300,2&lt;1))),1,0),IF(AND(U300+V300-W300&gt;0,OR(U300+V300-W300&lt;I300+J300-K300,AND(U300+V300-W300=I300+J300-K300,3&lt;1))),1,0),IF(AND(AA300+AB300-AC300&gt;0,OR(AA300+AB300-AC300&lt;I300+J300-K300,AND(AA300+AB300-AC300=I300+J300-K300,4&lt;1))),1,0)))</x:f>
        <x:v>99</x:v>
      </x:c>
      <x:c r="M300" s="6" t="n">
        <x:f>IF('Debt strategy'!$C$16&gt;0,0,MIN(I300+J300-K300,MAX(0,'Debt strategy'!$C$5-SUM(E300,K300,Q300,W300,AC300)-SUM(IF(F300&lt;L300,C300+D300-E300,0),IF(R300&lt;L300,O300+P300-Q300,0),IF(X300&lt;L300,U300+V300-W300,0),IF(AD300&lt;L300,AA300+AB300-AC300,0)))))</x:f>
        <x:v>0</x:v>
      </x:c>
      <x:c r="N300" s="6" t="n">
        <x:f>ROUND(MAX(0,I300+J300-K300-M300),2)</x:f>
        <x:v>0</x:v>
      </x:c>
      <x:c r="O300" s="6" t="n">
        <x:f>T299</x:f>
        <x:v>0</x:v>
      </x:c>
      <x:c r="P300" s="6" t="n">
        <x:f>ROUND(O300*'Debt strategy'!$D$11/12,2)</x:f>
        <x:v>0</x:v>
      </x:c>
      <x:c r="Q300" s="6" t="n">
        <x:f>MIN(O300+P300,'Debt strategy'!$E$11)</x:f>
        <x:v>0</x:v>
      </x:c>
      <x:c r="R300" s="27" t="n">
        <x:f>IF(O300+P300-Q300&lt;=0,99,1+SUM(IF(AND(C300+D300-E300&gt;0,OR(C300+D300-E300&lt;O300+P300-Q300,AND(C300+D300-E300=O300+P300-Q300,0&lt;2))),1,0),IF(AND(I300+J300-K300&gt;0,OR(I300+J300-K300&lt;O300+P300-Q300,AND(I300+J300-K300=O300+P300-Q300,1&lt;2))),1,0),IF(AND(U300+V300-W300&gt;0,OR(U300+V300-W300&lt;O300+P300-Q300,AND(U300+V300-W300=O300+P300-Q300,3&lt;2))),1,0),IF(AND(AA300+AB300-AC300&gt;0,OR(AA300+AB300-AC300&lt;O300+P300-Q300,AND(AA300+AB300-AC300=O300+P300-Q300,4&lt;2))),1,0)))</x:f>
        <x:v>99</x:v>
      </x:c>
      <x:c r="S300" s="6" t="n">
        <x:f>IF('Debt strategy'!$C$16&gt;0,0,MIN(O300+P300-Q300,MAX(0,'Debt strategy'!$C$5-SUM(E300,K300,Q300,W300,AC300)-SUM(IF(F300&lt;R300,C300+D300-E300,0),IF(L300&lt;R300,I300+J300-K300,0),IF(X300&lt;R300,U300+V300-W300,0),IF(AD300&lt;R300,AA300+AB300-AC300,0)))))</x:f>
        <x:v>0</x:v>
      </x:c>
      <x:c r="T300" s="6" t="n">
        <x:f>ROUND(MAX(0,O300+P300-Q300-S300),2)</x:f>
        <x:v>0</x:v>
      </x:c>
      <x:c r="U300" s="6" t="n">
        <x:f>Z299</x:f>
        <x:v>0</x:v>
      </x:c>
      <x:c r="V300" s="6" t="n">
        <x:f>ROUND(U300*'Debt strategy'!$D$12/12,2)</x:f>
        <x:v>0</x:v>
      </x:c>
      <x:c r="W300" s="6" t="n">
        <x:f>MIN(U300+V300,'Debt strategy'!$E$12)</x:f>
        <x:v>0</x:v>
      </x:c>
      <x:c r="X300" s="27" t="n">
        <x:f>IF(U300+V300-W300&lt;=0,99,1+SUM(IF(AND(C300+D300-E300&gt;0,OR(C300+D300-E300&lt;U300+V300-W300,AND(C300+D300-E300=U300+V300-W300,0&lt;3))),1,0),IF(AND(I300+J300-K300&gt;0,OR(I300+J300-K300&lt;U300+V300-W300,AND(I300+J300-K300=U300+V300-W300,1&lt;3))),1,0),IF(AND(O300+P300-Q300&gt;0,OR(O300+P300-Q300&lt;U300+V300-W300,AND(O300+P300-Q300=U300+V300-W300,2&lt;3))),1,0),IF(AND(AA300+AB300-AC300&gt;0,OR(AA300+AB300-AC300&lt;U300+V300-W300,AND(AA300+AB300-AC300=U300+V300-W300,4&lt;3))),1,0)))</x:f>
        <x:v>99</x:v>
      </x:c>
      <x:c r="Y300" s="6" t="n">
        <x:f>IF('Debt strategy'!$C$16&gt;0,0,MIN(U300+V300-W300,MAX(0,'Debt strategy'!$C$5-SUM(E300,K300,Q300,W300,AC300)-SUM(IF(F300&lt;X300,C300+D300-E300,0),IF(L300&lt;X300,I300+J300-K300,0),IF(R300&lt;X300,O300+P300-Q300,0),IF(AD300&lt;X300,AA300+AB300-AC300,0)))))</x:f>
        <x:v>0</x:v>
      </x:c>
      <x:c r="Z300" s="6" t="n">
        <x:f>ROUND(MAX(0,U300+V300-W300-Y300),2)</x:f>
        <x:v>0</x:v>
      </x:c>
      <x:c r="AA300" s="6" t="n">
        <x:f>AF299</x:f>
        <x:v>0</x:v>
      </x:c>
      <x:c r="AB300" s="6" t="n">
        <x:f>ROUND(AA300*'Debt strategy'!$D$13/12,2)</x:f>
        <x:v>0</x:v>
      </x:c>
      <x:c r="AC300" s="6" t="n">
        <x:f>MIN(AA300+AB300,'Debt strategy'!$E$13)</x:f>
        <x:v>0</x:v>
      </x:c>
      <x:c r="AD300" s="27" t="n">
        <x:f>IF(AA300+AB300-AC300&lt;=0,99,1+SUM(IF(AND(C300+D300-E300&gt;0,OR(C300+D300-E300&lt;AA300+AB300-AC300,AND(C300+D300-E300=AA300+AB300-AC300,0&lt;4))),1,0),IF(AND(I300+J300-K300&gt;0,OR(I300+J300-K300&lt;AA300+AB300-AC300,AND(I300+J300-K300=AA300+AB300-AC300,1&lt;4))),1,0),IF(AND(O300+P300-Q300&gt;0,OR(O300+P300-Q300&lt;AA300+AB300-AC300,AND(O300+P300-Q300=AA300+AB300-AC300,2&lt;4))),1,0),IF(AND(U300+V300-W300&gt;0,OR(U300+V300-W300&lt;AA300+AB300-AC300,AND(U300+V300-W300=AA300+AB300-AC300,3&lt;4))),1,0)))</x:f>
        <x:v>99</x:v>
      </x:c>
      <x:c r="AE300" s="6" t="n">
        <x:f>IF('Debt strategy'!$C$16&gt;0,0,MIN(AA300+AB300-AC300,MAX(0,'Debt strategy'!$C$5-SUM(E300,K300,Q300,W300,AC300)-SUM(IF(F300&lt;AD300,C300+D300-E300,0),IF(L300&lt;AD300,I300+J300-K300,0),IF(R300&lt;AD300,O300+P300-Q300,0),IF(X300&lt;AD300,U300+V300-W300,0)))))</x:f>
        <x:v>0</x:v>
      </x:c>
      <x:c r="AF300" s="6" t="n">
        <x:f>ROUND(MAX(0,AA300+AB300-AC300-AE300),2)</x:f>
        <x:v>0</x:v>
      </x:c>
      <x:c r="AG300" s="6" t="n">
        <x:f>SUM(H300,N300,T300,Z300,AF300)</x:f>
        <x:v>0</x:v>
      </x:c>
      <x:c r="AH300" s="6" t="n">
        <x:f>SUM(D300,J300,P300,V300,AB300)+AH299</x:f>
        <x:v>1353.9499999999996</x:v>
      </x:c>
      <x:c r="AI300" s="2"/>
    </x:row>
    <x:row r="301" ht="23" customHeight="1">
      <x:c r="B301" s="2" t="n">
        <x:f>293</x:f>
        <x:v>293</x:v>
      </x:c>
      <x:c r="C301" s="6" t="n">
        <x:f>H300</x:f>
        <x:v>0</x:v>
      </x:c>
      <x:c r="D301" s="6" t="n">
        <x:f>ROUND(C301*'Debt strategy'!$D$9/12,2)</x:f>
        <x:v>0</x:v>
      </x:c>
      <x:c r="E301" s="6" t="n">
        <x:f>MIN(C301+D301,'Debt strategy'!$E$9)</x:f>
        <x:v>0</x:v>
      </x:c>
      <x:c r="F301" s="27" t="n">
        <x:f>IF(C301+D301-E301&lt;=0,99,1+SUM(IF(AND(I301+J301-K301&gt;0,OR(I301+J301-K301&lt;C301+D301-E301,AND(I301+J301-K301=C301+D301-E301,1&lt;0))),1,0),IF(AND(O301+P301-Q301&gt;0,OR(O301+P301-Q301&lt;C301+D301-E301,AND(O301+P301-Q301=C301+D301-E301,2&lt;0))),1,0),IF(AND(U301+V301-W301&gt;0,OR(U301+V301-W301&lt;C301+D301-E301,AND(U301+V301-W301=C301+D301-E301,3&lt;0))),1,0),IF(AND(AA301+AB301-AC301&gt;0,OR(AA301+AB301-AC301&lt;C301+D301-E301,AND(AA301+AB301-AC301=C301+D301-E301,4&lt;0))),1,0)))</x:f>
        <x:v>99</x:v>
      </x:c>
      <x:c r="G301" s="6" t="n">
        <x:f>IF('Debt strategy'!$C$16&gt;0,0,MIN(C301+D301-E301,MAX(0,'Debt strategy'!$C$5-SUM(E301,K301,Q301,W301,AC301)-SUM(IF(L301&lt;F301,I301+J301-K301,0),IF(R301&lt;F301,O301+P301-Q301,0),IF(X301&lt;F301,U301+V301-W301,0),IF(AD301&lt;F301,AA301+AB301-AC301,0)))))</x:f>
        <x:v>0</x:v>
      </x:c>
      <x:c r="H301" s="6" t="n">
        <x:f>ROUND(MAX(0,C301+D301-E301-G301),2)</x:f>
        <x:v>0</x:v>
      </x:c>
      <x:c r="I301" s="6" t="n">
        <x:f>N300</x:f>
        <x:v>0</x:v>
      </x:c>
      <x:c r="J301" s="6" t="n">
        <x:f>ROUND(I301*'Debt strategy'!$D$10/12,2)</x:f>
        <x:v>0</x:v>
      </x:c>
      <x:c r="K301" s="6" t="n">
        <x:f>MIN(I301+J301,'Debt strategy'!$E$10)</x:f>
        <x:v>0</x:v>
      </x:c>
      <x:c r="L301" s="27" t="n">
        <x:f>IF(I301+J301-K301&lt;=0,99,1+SUM(IF(AND(C301+D301-E301&gt;0,OR(C301+D301-E301&lt;I301+J301-K301,AND(C301+D301-E301=I301+J301-K301,0&lt;1))),1,0),IF(AND(O301+P301-Q301&gt;0,OR(O301+P301-Q301&lt;I301+J301-K301,AND(O301+P301-Q301=I301+J301-K301,2&lt;1))),1,0),IF(AND(U301+V301-W301&gt;0,OR(U301+V301-W301&lt;I301+J301-K301,AND(U301+V301-W301=I301+J301-K301,3&lt;1))),1,0),IF(AND(AA301+AB301-AC301&gt;0,OR(AA301+AB301-AC301&lt;I301+J301-K301,AND(AA301+AB301-AC301=I301+J301-K301,4&lt;1))),1,0)))</x:f>
        <x:v>99</x:v>
      </x:c>
      <x:c r="M301" s="6" t="n">
        <x:f>IF('Debt strategy'!$C$16&gt;0,0,MIN(I301+J301-K301,MAX(0,'Debt strategy'!$C$5-SUM(E301,K301,Q301,W301,AC301)-SUM(IF(F301&lt;L301,C301+D301-E301,0),IF(R301&lt;L301,O301+P301-Q301,0),IF(X301&lt;L301,U301+V301-W301,0),IF(AD301&lt;L301,AA301+AB301-AC301,0)))))</x:f>
        <x:v>0</x:v>
      </x:c>
      <x:c r="N301" s="6" t="n">
        <x:f>ROUND(MAX(0,I301+J301-K301-M301),2)</x:f>
        <x:v>0</x:v>
      </x:c>
      <x:c r="O301" s="6" t="n">
        <x:f>T300</x:f>
        <x:v>0</x:v>
      </x:c>
      <x:c r="P301" s="6" t="n">
        <x:f>ROUND(O301*'Debt strategy'!$D$11/12,2)</x:f>
        <x:v>0</x:v>
      </x:c>
      <x:c r="Q301" s="6" t="n">
        <x:f>MIN(O301+P301,'Debt strategy'!$E$11)</x:f>
        <x:v>0</x:v>
      </x:c>
      <x:c r="R301" s="27" t="n">
        <x:f>IF(O301+P301-Q301&lt;=0,99,1+SUM(IF(AND(C301+D301-E301&gt;0,OR(C301+D301-E301&lt;O301+P301-Q301,AND(C301+D301-E301=O301+P301-Q301,0&lt;2))),1,0),IF(AND(I301+J301-K301&gt;0,OR(I301+J301-K301&lt;O301+P301-Q301,AND(I301+J301-K301=O301+P301-Q301,1&lt;2))),1,0),IF(AND(U301+V301-W301&gt;0,OR(U301+V301-W301&lt;O301+P301-Q301,AND(U301+V301-W301=O301+P301-Q301,3&lt;2))),1,0),IF(AND(AA301+AB301-AC301&gt;0,OR(AA301+AB301-AC301&lt;O301+P301-Q301,AND(AA301+AB301-AC301=O301+P301-Q301,4&lt;2))),1,0)))</x:f>
        <x:v>99</x:v>
      </x:c>
      <x:c r="S301" s="6" t="n">
        <x:f>IF('Debt strategy'!$C$16&gt;0,0,MIN(O301+P301-Q301,MAX(0,'Debt strategy'!$C$5-SUM(E301,K301,Q301,W301,AC301)-SUM(IF(F301&lt;R301,C301+D301-E301,0),IF(L301&lt;R301,I301+J301-K301,0),IF(X301&lt;R301,U301+V301-W301,0),IF(AD301&lt;R301,AA301+AB301-AC301,0)))))</x:f>
        <x:v>0</x:v>
      </x:c>
      <x:c r="T301" s="6" t="n">
        <x:f>ROUND(MAX(0,O301+P301-Q301-S301),2)</x:f>
        <x:v>0</x:v>
      </x:c>
      <x:c r="U301" s="6" t="n">
        <x:f>Z300</x:f>
        <x:v>0</x:v>
      </x:c>
      <x:c r="V301" s="6" t="n">
        <x:f>ROUND(U301*'Debt strategy'!$D$12/12,2)</x:f>
        <x:v>0</x:v>
      </x:c>
      <x:c r="W301" s="6" t="n">
        <x:f>MIN(U301+V301,'Debt strategy'!$E$12)</x:f>
        <x:v>0</x:v>
      </x:c>
      <x:c r="X301" s="27" t="n">
        <x:f>IF(U301+V301-W301&lt;=0,99,1+SUM(IF(AND(C301+D301-E301&gt;0,OR(C301+D301-E301&lt;U301+V301-W301,AND(C301+D301-E301=U301+V301-W301,0&lt;3))),1,0),IF(AND(I301+J301-K301&gt;0,OR(I301+J301-K301&lt;U301+V301-W301,AND(I301+J301-K301=U301+V301-W301,1&lt;3))),1,0),IF(AND(O301+P301-Q301&gt;0,OR(O301+P301-Q301&lt;U301+V301-W301,AND(O301+P301-Q301=U301+V301-W301,2&lt;3))),1,0),IF(AND(AA301+AB301-AC301&gt;0,OR(AA301+AB301-AC301&lt;U301+V301-W301,AND(AA301+AB301-AC301=U301+V301-W301,4&lt;3))),1,0)))</x:f>
        <x:v>99</x:v>
      </x:c>
      <x:c r="Y301" s="6" t="n">
        <x:f>IF('Debt strategy'!$C$16&gt;0,0,MIN(U301+V301-W301,MAX(0,'Debt strategy'!$C$5-SUM(E301,K301,Q301,W301,AC301)-SUM(IF(F301&lt;X301,C301+D301-E301,0),IF(L301&lt;X301,I301+J301-K301,0),IF(R301&lt;X301,O301+P301-Q301,0),IF(AD301&lt;X301,AA301+AB301-AC301,0)))))</x:f>
        <x:v>0</x:v>
      </x:c>
      <x:c r="Z301" s="6" t="n">
        <x:f>ROUND(MAX(0,U301+V301-W301-Y301),2)</x:f>
        <x:v>0</x:v>
      </x:c>
      <x:c r="AA301" s="6" t="n">
        <x:f>AF300</x:f>
        <x:v>0</x:v>
      </x:c>
      <x:c r="AB301" s="6" t="n">
        <x:f>ROUND(AA301*'Debt strategy'!$D$13/12,2)</x:f>
        <x:v>0</x:v>
      </x:c>
      <x:c r="AC301" s="6" t="n">
        <x:f>MIN(AA301+AB301,'Debt strategy'!$E$13)</x:f>
        <x:v>0</x:v>
      </x:c>
      <x:c r="AD301" s="27" t="n">
        <x:f>IF(AA301+AB301-AC301&lt;=0,99,1+SUM(IF(AND(C301+D301-E301&gt;0,OR(C301+D301-E301&lt;AA301+AB301-AC301,AND(C301+D301-E301=AA301+AB301-AC301,0&lt;4))),1,0),IF(AND(I301+J301-K301&gt;0,OR(I301+J301-K301&lt;AA301+AB301-AC301,AND(I301+J301-K301=AA301+AB301-AC301,1&lt;4))),1,0),IF(AND(O301+P301-Q301&gt;0,OR(O301+P301-Q301&lt;AA301+AB301-AC301,AND(O301+P301-Q301=AA301+AB301-AC301,2&lt;4))),1,0),IF(AND(U301+V301-W301&gt;0,OR(U301+V301-W301&lt;AA301+AB301-AC301,AND(U301+V301-W301=AA301+AB301-AC301,3&lt;4))),1,0)))</x:f>
        <x:v>99</x:v>
      </x:c>
      <x:c r="AE301" s="6" t="n">
        <x:f>IF('Debt strategy'!$C$16&gt;0,0,MIN(AA301+AB301-AC301,MAX(0,'Debt strategy'!$C$5-SUM(E301,K301,Q301,W301,AC301)-SUM(IF(F301&lt;AD301,C301+D301-E301,0),IF(L301&lt;AD301,I301+J301-K301,0),IF(R301&lt;AD301,O301+P301-Q301,0),IF(X301&lt;AD301,U301+V301-W301,0)))))</x:f>
        <x:v>0</x:v>
      </x:c>
      <x:c r="AF301" s="6" t="n">
        <x:f>ROUND(MAX(0,AA301+AB301-AC301-AE301),2)</x:f>
        <x:v>0</x:v>
      </x:c>
      <x:c r="AG301" s="6" t="n">
        <x:f>SUM(H301,N301,T301,Z301,AF301)</x:f>
        <x:v>0</x:v>
      </x:c>
      <x:c r="AH301" s="6" t="n">
        <x:f>SUM(D301,J301,P301,V301,AB301)+AH300</x:f>
        <x:v>1353.9499999999996</x:v>
      </x:c>
      <x:c r="AI301" s="2"/>
    </x:row>
    <x:row r="302" ht="23" customHeight="1">
      <x:c r="B302" s="2" t="n">
        <x:f>294</x:f>
        <x:v>294</x:v>
      </x:c>
      <x:c r="C302" s="6" t="n">
        <x:f>H301</x:f>
        <x:v>0</x:v>
      </x:c>
      <x:c r="D302" s="6" t="n">
        <x:f>ROUND(C302*'Debt strategy'!$D$9/12,2)</x:f>
        <x:v>0</x:v>
      </x:c>
      <x:c r="E302" s="6" t="n">
        <x:f>MIN(C302+D302,'Debt strategy'!$E$9)</x:f>
        <x:v>0</x:v>
      </x:c>
      <x:c r="F302" s="27" t="n">
        <x:f>IF(C302+D302-E302&lt;=0,99,1+SUM(IF(AND(I302+J302-K302&gt;0,OR(I302+J302-K302&lt;C302+D302-E302,AND(I302+J302-K302=C302+D302-E302,1&lt;0))),1,0),IF(AND(O302+P302-Q302&gt;0,OR(O302+P302-Q302&lt;C302+D302-E302,AND(O302+P302-Q302=C302+D302-E302,2&lt;0))),1,0),IF(AND(U302+V302-W302&gt;0,OR(U302+V302-W302&lt;C302+D302-E302,AND(U302+V302-W302=C302+D302-E302,3&lt;0))),1,0),IF(AND(AA302+AB302-AC302&gt;0,OR(AA302+AB302-AC302&lt;C302+D302-E302,AND(AA302+AB302-AC302=C302+D302-E302,4&lt;0))),1,0)))</x:f>
        <x:v>99</x:v>
      </x:c>
      <x:c r="G302" s="6" t="n">
        <x:f>IF('Debt strategy'!$C$16&gt;0,0,MIN(C302+D302-E302,MAX(0,'Debt strategy'!$C$5-SUM(E302,K302,Q302,W302,AC302)-SUM(IF(L302&lt;F302,I302+J302-K302,0),IF(R302&lt;F302,O302+P302-Q302,0),IF(X302&lt;F302,U302+V302-W302,0),IF(AD302&lt;F302,AA302+AB302-AC302,0)))))</x:f>
        <x:v>0</x:v>
      </x:c>
      <x:c r="H302" s="6" t="n">
        <x:f>ROUND(MAX(0,C302+D302-E302-G302),2)</x:f>
        <x:v>0</x:v>
      </x:c>
      <x:c r="I302" s="6" t="n">
        <x:f>N301</x:f>
        <x:v>0</x:v>
      </x:c>
      <x:c r="J302" s="6" t="n">
        <x:f>ROUND(I302*'Debt strategy'!$D$10/12,2)</x:f>
        <x:v>0</x:v>
      </x:c>
      <x:c r="K302" s="6" t="n">
        <x:f>MIN(I302+J302,'Debt strategy'!$E$10)</x:f>
        <x:v>0</x:v>
      </x:c>
      <x:c r="L302" s="27" t="n">
        <x:f>IF(I302+J302-K302&lt;=0,99,1+SUM(IF(AND(C302+D302-E302&gt;0,OR(C302+D302-E302&lt;I302+J302-K302,AND(C302+D302-E302=I302+J302-K302,0&lt;1))),1,0),IF(AND(O302+P302-Q302&gt;0,OR(O302+P302-Q302&lt;I302+J302-K302,AND(O302+P302-Q302=I302+J302-K302,2&lt;1))),1,0),IF(AND(U302+V302-W302&gt;0,OR(U302+V302-W302&lt;I302+J302-K302,AND(U302+V302-W302=I302+J302-K302,3&lt;1))),1,0),IF(AND(AA302+AB302-AC302&gt;0,OR(AA302+AB302-AC302&lt;I302+J302-K302,AND(AA302+AB302-AC302=I302+J302-K302,4&lt;1))),1,0)))</x:f>
        <x:v>99</x:v>
      </x:c>
      <x:c r="M302" s="6" t="n">
        <x:f>IF('Debt strategy'!$C$16&gt;0,0,MIN(I302+J302-K302,MAX(0,'Debt strategy'!$C$5-SUM(E302,K302,Q302,W302,AC302)-SUM(IF(F302&lt;L302,C302+D302-E302,0),IF(R302&lt;L302,O302+P302-Q302,0),IF(X302&lt;L302,U302+V302-W302,0),IF(AD302&lt;L302,AA302+AB302-AC302,0)))))</x:f>
        <x:v>0</x:v>
      </x:c>
      <x:c r="N302" s="6" t="n">
        <x:f>ROUND(MAX(0,I302+J302-K302-M302),2)</x:f>
        <x:v>0</x:v>
      </x:c>
      <x:c r="O302" s="6" t="n">
        <x:f>T301</x:f>
        <x:v>0</x:v>
      </x:c>
      <x:c r="P302" s="6" t="n">
        <x:f>ROUND(O302*'Debt strategy'!$D$11/12,2)</x:f>
        <x:v>0</x:v>
      </x:c>
      <x:c r="Q302" s="6" t="n">
        <x:f>MIN(O302+P302,'Debt strategy'!$E$11)</x:f>
        <x:v>0</x:v>
      </x:c>
      <x:c r="R302" s="27" t="n">
        <x:f>IF(O302+P302-Q302&lt;=0,99,1+SUM(IF(AND(C302+D302-E302&gt;0,OR(C302+D302-E302&lt;O302+P302-Q302,AND(C302+D302-E302=O302+P302-Q302,0&lt;2))),1,0),IF(AND(I302+J302-K302&gt;0,OR(I302+J302-K302&lt;O302+P302-Q302,AND(I302+J302-K302=O302+P302-Q302,1&lt;2))),1,0),IF(AND(U302+V302-W302&gt;0,OR(U302+V302-W302&lt;O302+P302-Q302,AND(U302+V302-W302=O302+P302-Q302,3&lt;2))),1,0),IF(AND(AA302+AB302-AC302&gt;0,OR(AA302+AB302-AC302&lt;O302+P302-Q302,AND(AA302+AB302-AC302=O302+P302-Q302,4&lt;2))),1,0)))</x:f>
        <x:v>99</x:v>
      </x:c>
      <x:c r="S302" s="6" t="n">
        <x:f>IF('Debt strategy'!$C$16&gt;0,0,MIN(O302+P302-Q302,MAX(0,'Debt strategy'!$C$5-SUM(E302,K302,Q302,W302,AC302)-SUM(IF(F302&lt;R302,C302+D302-E302,0),IF(L302&lt;R302,I302+J302-K302,0),IF(X302&lt;R302,U302+V302-W302,0),IF(AD302&lt;R302,AA302+AB302-AC302,0)))))</x:f>
        <x:v>0</x:v>
      </x:c>
      <x:c r="T302" s="6" t="n">
        <x:f>ROUND(MAX(0,O302+P302-Q302-S302),2)</x:f>
        <x:v>0</x:v>
      </x:c>
      <x:c r="U302" s="6" t="n">
        <x:f>Z301</x:f>
        <x:v>0</x:v>
      </x:c>
      <x:c r="V302" s="6" t="n">
        <x:f>ROUND(U302*'Debt strategy'!$D$12/12,2)</x:f>
        <x:v>0</x:v>
      </x:c>
      <x:c r="W302" s="6" t="n">
        <x:f>MIN(U302+V302,'Debt strategy'!$E$12)</x:f>
        <x:v>0</x:v>
      </x:c>
      <x:c r="X302" s="27" t="n">
        <x:f>IF(U302+V302-W302&lt;=0,99,1+SUM(IF(AND(C302+D302-E302&gt;0,OR(C302+D302-E302&lt;U302+V302-W302,AND(C302+D302-E302=U302+V302-W302,0&lt;3))),1,0),IF(AND(I302+J302-K302&gt;0,OR(I302+J302-K302&lt;U302+V302-W302,AND(I302+J302-K302=U302+V302-W302,1&lt;3))),1,0),IF(AND(O302+P302-Q302&gt;0,OR(O302+P302-Q302&lt;U302+V302-W302,AND(O302+P302-Q302=U302+V302-W302,2&lt;3))),1,0),IF(AND(AA302+AB302-AC302&gt;0,OR(AA302+AB302-AC302&lt;U302+V302-W302,AND(AA302+AB302-AC302=U302+V302-W302,4&lt;3))),1,0)))</x:f>
        <x:v>99</x:v>
      </x:c>
      <x:c r="Y302" s="6" t="n">
        <x:f>IF('Debt strategy'!$C$16&gt;0,0,MIN(U302+V302-W302,MAX(0,'Debt strategy'!$C$5-SUM(E302,K302,Q302,W302,AC302)-SUM(IF(F302&lt;X302,C302+D302-E302,0),IF(L302&lt;X302,I302+J302-K302,0),IF(R302&lt;X302,O302+P302-Q302,0),IF(AD302&lt;X302,AA302+AB302-AC302,0)))))</x:f>
        <x:v>0</x:v>
      </x:c>
      <x:c r="Z302" s="6" t="n">
        <x:f>ROUND(MAX(0,U302+V302-W302-Y302),2)</x:f>
        <x:v>0</x:v>
      </x:c>
      <x:c r="AA302" s="6" t="n">
        <x:f>AF301</x:f>
        <x:v>0</x:v>
      </x:c>
      <x:c r="AB302" s="6" t="n">
        <x:f>ROUND(AA302*'Debt strategy'!$D$13/12,2)</x:f>
        <x:v>0</x:v>
      </x:c>
      <x:c r="AC302" s="6" t="n">
        <x:f>MIN(AA302+AB302,'Debt strategy'!$E$13)</x:f>
        <x:v>0</x:v>
      </x:c>
      <x:c r="AD302" s="27" t="n">
        <x:f>IF(AA302+AB302-AC302&lt;=0,99,1+SUM(IF(AND(C302+D302-E302&gt;0,OR(C302+D302-E302&lt;AA302+AB302-AC302,AND(C302+D302-E302=AA302+AB302-AC302,0&lt;4))),1,0),IF(AND(I302+J302-K302&gt;0,OR(I302+J302-K302&lt;AA302+AB302-AC302,AND(I302+J302-K302=AA302+AB302-AC302,1&lt;4))),1,0),IF(AND(O302+P302-Q302&gt;0,OR(O302+P302-Q302&lt;AA302+AB302-AC302,AND(O302+P302-Q302=AA302+AB302-AC302,2&lt;4))),1,0),IF(AND(U302+V302-W302&gt;0,OR(U302+V302-W302&lt;AA302+AB302-AC302,AND(U302+V302-W302=AA302+AB302-AC302,3&lt;4))),1,0)))</x:f>
        <x:v>99</x:v>
      </x:c>
      <x:c r="AE302" s="6" t="n">
        <x:f>IF('Debt strategy'!$C$16&gt;0,0,MIN(AA302+AB302-AC302,MAX(0,'Debt strategy'!$C$5-SUM(E302,K302,Q302,W302,AC302)-SUM(IF(F302&lt;AD302,C302+D302-E302,0),IF(L302&lt;AD302,I302+J302-K302,0),IF(R302&lt;AD302,O302+P302-Q302,0),IF(X302&lt;AD302,U302+V302-W302,0)))))</x:f>
        <x:v>0</x:v>
      </x:c>
      <x:c r="AF302" s="6" t="n">
        <x:f>ROUND(MAX(0,AA302+AB302-AC302-AE302),2)</x:f>
        <x:v>0</x:v>
      </x:c>
      <x:c r="AG302" s="6" t="n">
        <x:f>SUM(H302,N302,T302,Z302,AF302)</x:f>
        <x:v>0</x:v>
      </x:c>
      <x:c r="AH302" s="6" t="n">
        <x:f>SUM(D302,J302,P302,V302,AB302)+AH301</x:f>
        <x:v>1353.9499999999996</x:v>
      </x:c>
      <x:c r="AI302" s="2"/>
    </x:row>
    <x:row r="303" ht="23" customHeight="1">
      <x:c r="B303" s="2" t="n">
        <x:f>295</x:f>
        <x:v>295</x:v>
      </x:c>
      <x:c r="C303" s="6" t="n">
        <x:f>H302</x:f>
        <x:v>0</x:v>
      </x:c>
      <x:c r="D303" s="6" t="n">
        <x:f>ROUND(C303*'Debt strategy'!$D$9/12,2)</x:f>
        <x:v>0</x:v>
      </x:c>
      <x:c r="E303" s="6" t="n">
        <x:f>MIN(C303+D303,'Debt strategy'!$E$9)</x:f>
        <x:v>0</x:v>
      </x:c>
      <x:c r="F303" s="27" t="n">
        <x:f>IF(C303+D303-E303&lt;=0,99,1+SUM(IF(AND(I303+J303-K303&gt;0,OR(I303+J303-K303&lt;C303+D303-E303,AND(I303+J303-K303=C303+D303-E303,1&lt;0))),1,0),IF(AND(O303+P303-Q303&gt;0,OR(O303+P303-Q303&lt;C303+D303-E303,AND(O303+P303-Q303=C303+D303-E303,2&lt;0))),1,0),IF(AND(U303+V303-W303&gt;0,OR(U303+V303-W303&lt;C303+D303-E303,AND(U303+V303-W303=C303+D303-E303,3&lt;0))),1,0),IF(AND(AA303+AB303-AC303&gt;0,OR(AA303+AB303-AC303&lt;C303+D303-E303,AND(AA303+AB303-AC303=C303+D303-E303,4&lt;0))),1,0)))</x:f>
        <x:v>99</x:v>
      </x:c>
      <x:c r="G303" s="6" t="n">
        <x:f>IF('Debt strategy'!$C$16&gt;0,0,MIN(C303+D303-E303,MAX(0,'Debt strategy'!$C$5-SUM(E303,K303,Q303,W303,AC303)-SUM(IF(L303&lt;F303,I303+J303-K303,0),IF(R303&lt;F303,O303+P303-Q303,0),IF(X303&lt;F303,U303+V303-W303,0),IF(AD303&lt;F303,AA303+AB303-AC303,0)))))</x:f>
        <x:v>0</x:v>
      </x:c>
      <x:c r="H303" s="6" t="n">
        <x:f>ROUND(MAX(0,C303+D303-E303-G303),2)</x:f>
        <x:v>0</x:v>
      </x:c>
      <x:c r="I303" s="6" t="n">
        <x:f>N302</x:f>
        <x:v>0</x:v>
      </x:c>
      <x:c r="J303" s="6" t="n">
        <x:f>ROUND(I303*'Debt strategy'!$D$10/12,2)</x:f>
        <x:v>0</x:v>
      </x:c>
      <x:c r="K303" s="6" t="n">
        <x:f>MIN(I303+J303,'Debt strategy'!$E$10)</x:f>
        <x:v>0</x:v>
      </x:c>
      <x:c r="L303" s="27" t="n">
        <x:f>IF(I303+J303-K303&lt;=0,99,1+SUM(IF(AND(C303+D303-E303&gt;0,OR(C303+D303-E303&lt;I303+J303-K303,AND(C303+D303-E303=I303+J303-K303,0&lt;1))),1,0),IF(AND(O303+P303-Q303&gt;0,OR(O303+P303-Q303&lt;I303+J303-K303,AND(O303+P303-Q303=I303+J303-K303,2&lt;1))),1,0),IF(AND(U303+V303-W303&gt;0,OR(U303+V303-W303&lt;I303+J303-K303,AND(U303+V303-W303=I303+J303-K303,3&lt;1))),1,0),IF(AND(AA303+AB303-AC303&gt;0,OR(AA303+AB303-AC303&lt;I303+J303-K303,AND(AA303+AB303-AC303=I303+J303-K303,4&lt;1))),1,0)))</x:f>
        <x:v>99</x:v>
      </x:c>
      <x:c r="M303" s="6" t="n">
        <x:f>IF('Debt strategy'!$C$16&gt;0,0,MIN(I303+J303-K303,MAX(0,'Debt strategy'!$C$5-SUM(E303,K303,Q303,W303,AC303)-SUM(IF(F303&lt;L303,C303+D303-E303,0),IF(R303&lt;L303,O303+P303-Q303,0),IF(X303&lt;L303,U303+V303-W303,0),IF(AD303&lt;L303,AA303+AB303-AC303,0)))))</x:f>
        <x:v>0</x:v>
      </x:c>
      <x:c r="N303" s="6" t="n">
        <x:f>ROUND(MAX(0,I303+J303-K303-M303),2)</x:f>
        <x:v>0</x:v>
      </x:c>
      <x:c r="O303" s="6" t="n">
        <x:f>T302</x:f>
        <x:v>0</x:v>
      </x:c>
      <x:c r="P303" s="6" t="n">
        <x:f>ROUND(O303*'Debt strategy'!$D$11/12,2)</x:f>
        <x:v>0</x:v>
      </x:c>
      <x:c r="Q303" s="6" t="n">
        <x:f>MIN(O303+P303,'Debt strategy'!$E$11)</x:f>
        <x:v>0</x:v>
      </x:c>
      <x:c r="R303" s="27" t="n">
        <x:f>IF(O303+P303-Q303&lt;=0,99,1+SUM(IF(AND(C303+D303-E303&gt;0,OR(C303+D303-E303&lt;O303+P303-Q303,AND(C303+D303-E303=O303+P303-Q303,0&lt;2))),1,0),IF(AND(I303+J303-K303&gt;0,OR(I303+J303-K303&lt;O303+P303-Q303,AND(I303+J303-K303=O303+P303-Q303,1&lt;2))),1,0),IF(AND(U303+V303-W303&gt;0,OR(U303+V303-W303&lt;O303+P303-Q303,AND(U303+V303-W303=O303+P303-Q303,3&lt;2))),1,0),IF(AND(AA303+AB303-AC303&gt;0,OR(AA303+AB303-AC303&lt;O303+P303-Q303,AND(AA303+AB303-AC303=O303+P303-Q303,4&lt;2))),1,0)))</x:f>
        <x:v>99</x:v>
      </x:c>
      <x:c r="S303" s="6" t="n">
        <x:f>IF('Debt strategy'!$C$16&gt;0,0,MIN(O303+P303-Q303,MAX(0,'Debt strategy'!$C$5-SUM(E303,K303,Q303,W303,AC303)-SUM(IF(F303&lt;R303,C303+D303-E303,0),IF(L303&lt;R303,I303+J303-K303,0),IF(X303&lt;R303,U303+V303-W303,0),IF(AD303&lt;R303,AA303+AB303-AC303,0)))))</x:f>
        <x:v>0</x:v>
      </x:c>
      <x:c r="T303" s="6" t="n">
        <x:f>ROUND(MAX(0,O303+P303-Q303-S303),2)</x:f>
        <x:v>0</x:v>
      </x:c>
      <x:c r="U303" s="6" t="n">
        <x:f>Z302</x:f>
        <x:v>0</x:v>
      </x:c>
      <x:c r="V303" s="6" t="n">
        <x:f>ROUND(U303*'Debt strategy'!$D$12/12,2)</x:f>
        <x:v>0</x:v>
      </x:c>
      <x:c r="W303" s="6" t="n">
        <x:f>MIN(U303+V303,'Debt strategy'!$E$12)</x:f>
        <x:v>0</x:v>
      </x:c>
      <x:c r="X303" s="27" t="n">
        <x:f>IF(U303+V303-W303&lt;=0,99,1+SUM(IF(AND(C303+D303-E303&gt;0,OR(C303+D303-E303&lt;U303+V303-W303,AND(C303+D303-E303=U303+V303-W303,0&lt;3))),1,0),IF(AND(I303+J303-K303&gt;0,OR(I303+J303-K303&lt;U303+V303-W303,AND(I303+J303-K303=U303+V303-W303,1&lt;3))),1,0),IF(AND(O303+P303-Q303&gt;0,OR(O303+P303-Q303&lt;U303+V303-W303,AND(O303+P303-Q303=U303+V303-W303,2&lt;3))),1,0),IF(AND(AA303+AB303-AC303&gt;0,OR(AA303+AB303-AC303&lt;U303+V303-W303,AND(AA303+AB303-AC303=U303+V303-W303,4&lt;3))),1,0)))</x:f>
        <x:v>99</x:v>
      </x:c>
      <x:c r="Y303" s="6" t="n">
        <x:f>IF('Debt strategy'!$C$16&gt;0,0,MIN(U303+V303-W303,MAX(0,'Debt strategy'!$C$5-SUM(E303,K303,Q303,W303,AC303)-SUM(IF(F303&lt;X303,C303+D303-E303,0),IF(L303&lt;X303,I303+J303-K303,0),IF(R303&lt;X303,O303+P303-Q303,0),IF(AD303&lt;X303,AA303+AB303-AC303,0)))))</x:f>
        <x:v>0</x:v>
      </x:c>
      <x:c r="Z303" s="6" t="n">
        <x:f>ROUND(MAX(0,U303+V303-W303-Y303),2)</x:f>
        <x:v>0</x:v>
      </x:c>
      <x:c r="AA303" s="6" t="n">
        <x:f>AF302</x:f>
        <x:v>0</x:v>
      </x:c>
      <x:c r="AB303" s="6" t="n">
        <x:f>ROUND(AA303*'Debt strategy'!$D$13/12,2)</x:f>
        <x:v>0</x:v>
      </x:c>
      <x:c r="AC303" s="6" t="n">
        <x:f>MIN(AA303+AB303,'Debt strategy'!$E$13)</x:f>
        <x:v>0</x:v>
      </x:c>
      <x:c r="AD303" s="27" t="n">
        <x:f>IF(AA303+AB303-AC303&lt;=0,99,1+SUM(IF(AND(C303+D303-E303&gt;0,OR(C303+D303-E303&lt;AA303+AB303-AC303,AND(C303+D303-E303=AA303+AB303-AC303,0&lt;4))),1,0),IF(AND(I303+J303-K303&gt;0,OR(I303+J303-K303&lt;AA303+AB303-AC303,AND(I303+J303-K303=AA303+AB303-AC303,1&lt;4))),1,0),IF(AND(O303+P303-Q303&gt;0,OR(O303+P303-Q303&lt;AA303+AB303-AC303,AND(O303+P303-Q303=AA303+AB303-AC303,2&lt;4))),1,0),IF(AND(U303+V303-W303&gt;0,OR(U303+V303-W303&lt;AA303+AB303-AC303,AND(U303+V303-W303=AA303+AB303-AC303,3&lt;4))),1,0)))</x:f>
        <x:v>99</x:v>
      </x:c>
      <x:c r="AE303" s="6" t="n">
        <x:f>IF('Debt strategy'!$C$16&gt;0,0,MIN(AA303+AB303-AC303,MAX(0,'Debt strategy'!$C$5-SUM(E303,K303,Q303,W303,AC303)-SUM(IF(F303&lt;AD303,C303+D303-E303,0),IF(L303&lt;AD303,I303+J303-K303,0),IF(R303&lt;AD303,O303+P303-Q303,0),IF(X303&lt;AD303,U303+V303-W303,0)))))</x:f>
        <x:v>0</x:v>
      </x:c>
      <x:c r="AF303" s="6" t="n">
        <x:f>ROUND(MAX(0,AA303+AB303-AC303-AE303),2)</x:f>
        <x:v>0</x:v>
      </x:c>
      <x:c r="AG303" s="6" t="n">
        <x:f>SUM(H303,N303,T303,Z303,AF303)</x:f>
        <x:v>0</x:v>
      </x:c>
      <x:c r="AH303" s="6" t="n">
        <x:f>SUM(D303,J303,P303,V303,AB303)+AH302</x:f>
        <x:v>1353.9499999999996</x:v>
      </x:c>
      <x:c r="AI303" s="2"/>
    </x:row>
    <x:row r="304" ht="23" customHeight="1">
      <x:c r="B304" s="2" t="n">
        <x:f>296</x:f>
        <x:v>296</x:v>
      </x:c>
      <x:c r="C304" s="6" t="n">
        <x:f>H303</x:f>
        <x:v>0</x:v>
      </x:c>
      <x:c r="D304" s="6" t="n">
        <x:f>ROUND(C304*'Debt strategy'!$D$9/12,2)</x:f>
        <x:v>0</x:v>
      </x:c>
      <x:c r="E304" s="6" t="n">
        <x:f>MIN(C304+D304,'Debt strategy'!$E$9)</x:f>
        <x:v>0</x:v>
      </x:c>
      <x:c r="F304" s="27" t="n">
        <x:f>IF(C304+D304-E304&lt;=0,99,1+SUM(IF(AND(I304+J304-K304&gt;0,OR(I304+J304-K304&lt;C304+D304-E304,AND(I304+J304-K304=C304+D304-E304,1&lt;0))),1,0),IF(AND(O304+P304-Q304&gt;0,OR(O304+P304-Q304&lt;C304+D304-E304,AND(O304+P304-Q304=C304+D304-E304,2&lt;0))),1,0),IF(AND(U304+V304-W304&gt;0,OR(U304+V304-W304&lt;C304+D304-E304,AND(U304+V304-W304=C304+D304-E304,3&lt;0))),1,0),IF(AND(AA304+AB304-AC304&gt;0,OR(AA304+AB304-AC304&lt;C304+D304-E304,AND(AA304+AB304-AC304=C304+D304-E304,4&lt;0))),1,0)))</x:f>
        <x:v>99</x:v>
      </x:c>
      <x:c r="G304" s="6" t="n">
        <x:f>IF('Debt strategy'!$C$16&gt;0,0,MIN(C304+D304-E304,MAX(0,'Debt strategy'!$C$5-SUM(E304,K304,Q304,W304,AC304)-SUM(IF(L304&lt;F304,I304+J304-K304,0),IF(R304&lt;F304,O304+P304-Q304,0),IF(X304&lt;F304,U304+V304-W304,0),IF(AD304&lt;F304,AA304+AB304-AC304,0)))))</x:f>
        <x:v>0</x:v>
      </x:c>
      <x:c r="H304" s="6" t="n">
        <x:f>ROUND(MAX(0,C304+D304-E304-G304),2)</x:f>
        <x:v>0</x:v>
      </x:c>
      <x:c r="I304" s="6" t="n">
        <x:f>N303</x:f>
        <x:v>0</x:v>
      </x:c>
      <x:c r="J304" s="6" t="n">
        <x:f>ROUND(I304*'Debt strategy'!$D$10/12,2)</x:f>
        <x:v>0</x:v>
      </x:c>
      <x:c r="K304" s="6" t="n">
        <x:f>MIN(I304+J304,'Debt strategy'!$E$10)</x:f>
        <x:v>0</x:v>
      </x:c>
      <x:c r="L304" s="27" t="n">
        <x:f>IF(I304+J304-K304&lt;=0,99,1+SUM(IF(AND(C304+D304-E304&gt;0,OR(C304+D304-E304&lt;I304+J304-K304,AND(C304+D304-E304=I304+J304-K304,0&lt;1))),1,0),IF(AND(O304+P304-Q304&gt;0,OR(O304+P304-Q304&lt;I304+J304-K304,AND(O304+P304-Q304=I304+J304-K304,2&lt;1))),1,0),IF(AND(U304+V304-W304&gt;0,OR(U304+V304-W304&lt;I304+J304-K304,AND(U304+V304-W304=I304+J304-K304,3&lt;1))),1,0),IF(AND(AA304+AB304-AC304&gt;0,OR(AA304+AB304-AC304&lt;I304+J304-K304,AND(AA304+AB304-AC304=I304+J304-K304,4&lt;1))),1,0)))</x:f>
        <x:v>99</x:v>
      </x:c>
      <x:c r="M304" s="6" t="n">
        <x:f>IF('Debt strategy'!$C$16&gt;0,0,MIN(I304+J304-K304,MAX(0,'Debt strategy'!$C$5-SUM(E304,K304,Q304,W304,AC304)-SUM(IF(F304&lt;L304,C304+D304-E304,0),IF(R304&lt;L304,O304+P304-Q304,0),IF(X304&lt;L304,U304+V304-W304,0),IF(AD304&lt;L304,AA304+AB304-AC304,0)))))</x:f>
        <x:v>0</x:v>
      </x:c>
      <x:c r="N304" s="6" t="n">
        <x:f>ROUND(MAX(0,I304+J304-K304-M304),2)</x:f>
        <x:v>0</x:v>
      </x:c>
      <x:c r="O304" s="6" t="n">
        <x:f>T303</x:f>
        <x:v>0</x:v>
      </x:c>
      <x:c r="P304" s="6" t="n">
        <x:f>ROUND(O304*'Debt strategy'!$D$11/12,2)</x:f>
        <x:v>0</x:v>
      </x:c>
      <x:c r="Q304" s="6" t="n">
        <x:f>MIN(O304+P304,'Debt strategy'!$E$11)</x:f>
        <x:v>0</x:v>
      </x:c>
      <x:c r="R304" s="27" t="n">
        <x:f>IF(O304+P304-Q304&lt;=0,99,1+SUM(IF(AND(C304+D304-E304&gt;0,OR(C304+D304-E304&lt;O304+P304-Q304,AND(C304+D304-E304=O304+P304-Q304,0&lt;2))),1,0),IF(AND(I304+J304-K304&gt;0,OR(I304+J304-K304&lt;O304+P304-Q304,AND(I304+J304-K304=O304+P304-Q304,1&lt;2))),1,0),IF(AND(U304+V304-W304&gt;0,OR(U304+V304-W304&lt;O304+P304-Q304,AND(U304+V304-W304=O304+P304-Q304,3&lt;2))),1,0),IF(AND(AA304+AB304-AC304&gt;0,OR(AA304+AB304-AC304&lt;O304+P304-Q304,AND(AA304+AB304-AC304=O304+P304-Q304,4&lt;2))),1,0)))</x:f>
        <x:v>99</x:v>
      </x:c>
      <x:c r="S304" s="6" t="n">
        <x:f>IF('Debt strategy'!$C$16&gt;0,0,MIN(O304+P304-Q304,MAX(0,'Debt strategy'!$C$5-SUM(E304,K304,Q304,W304,AC304)-SUM(IF(F304&lt;R304,C304+D304-E304,0),IF(L304&lt;R304,I304+J304-K304,0),IF(X304&lt;R304,U304+V304-W304,0),IF(AD304&lt;R304,AA304+AB304-AC304,0)))))</x:f>
        <x:v>0</x:v>
      </x:c>
      <x:c r="T304" s="6" t="n">
        <x:f>ROUND(MAX(0,O304+P304-Q304-S304),2)</x:f>
        <x:v>0</x:v>
      </x:c>
      <x:c r="U304" s="6" t="n">
        <x:f>Z303</x:f>
        <x:v>0</x:v>
      </x:c>
      <x:c r="V304" s="6" t="n">
        <x:f>ROUND(U304*'Debt strategy'!$D$12/12,2)</x:f>
        <x:v>0</x:v>
      </x:c>
      <x:c r="W304" s="6" t="n">
        <x:f>MIN(U304+V304,'Debt strategy'!$E$12)</x:f>
        <x:v>0</x:v>
      </x:c>
      <x:c r="X304" s="27" t="n">
        <x:f>IF(U304+V304-W304&lt;=0,99,1+SUM(IF(AND(C304+D304-E304&gt;0,OR(C304+D304-E304&lt;U304+V304-W304,AND(C304+D304-E304=U304+V304-W304,0&lt;3))),1,0),IF(AND(I304+J304-K304&gt;0,OR(I304+J304-K304&lt;U304+V304-W304,AND(I304+J304-K304=U304+V304-W304,1&lt;3))),1,0),IF(AND(O304+P304-Q304&gt;0,OR(O304+P304-Q304&lt;U304+V304-W304,AND(O304+P304-Q304=U304+V304-W304,2&lt;3))),1,0),IF(AND(AA304+AB304-AC304&gt;0,OR(AA304+AB304-AC304&lt;U304+V304-W304,AND(AA304+AB304-AC304=U304+V304-W304,4&lt;3))),1,0)))</x:f>
        <x:v>99</x:v>
      </x:c>
      <x:c r="Y304" s="6" t="n">
        <x:f>IF('Debt strategy'!$C$16&gt;0,0,MIN(U304+V304-W304,MAX(0,'Debt strategy'!$C$5-SUM(E304,K304,Q304,W304,AC304)-SUM(IF(F304&lt;X304,C304+D304-E304,0),IF(L304&lt;X304,I304+J304-K304,0),IF(R304&lt;X304,O304+P304-Q304,0),IF(AD304&lt;X304,AA304+AB304-AC304,0)))))</x:f>
        <x:v>0</x:v>
      </x:c>
      <x:c r="Z304" s="6" t="n">
        <x:f>ROUND(MAX(0,U304+V304-W304-Y304),2)</x:f>
        <x:v>0</x:v>
      </x:c>
      <x:c r="AA304" s="6" t="n">
        <x:f>AF303</x:f>
        <x:v>0</x:v>
      </x:c>
      <x:c r="AB304" s="6" t="n">
        <x:f>ROUND(AA304*'Debt strategy'!$D$13/12,2)</x:f>
        <x:v>0</x:v>
      </x:c>
      <x:c r="AC304" s="6" t="n">
        <x:f>MIN(AA304+AB304,'Debt strategy'!$E$13)</x:f>
        <x:v>0</x:v>
      </x:c>
      <x:c r="AD304" s="27" t="n">
        <x:f>IF(AA304+AB304-AC304&lt;=0,99,1+SUM(IF(AND(C304+D304-E304&gt;0,OR(C304+D304-E304&lt;AA304+AB304-AC304,AND(C304+D304-E304=AA304+AB304-AC304,0&lt;4))),1,0),IF(AND(I304+J304-K304&gt;0,OR(I304+J304-K304&lt;AA304+AB304-AC304,AND(I304+J304-K304=AA304+AB304-AC304,1&lt;4))),1,0),IF(AND(O304+P304-Q304&gt;0,OR(O304+P304-Q304&lt;AA304+AB304-AC304,AND(O304+P304-Q304=AA304+AB304-AC304,2&lt;4))),1,0),IF(AND(U304+V304-W304&gt;0,OR(U304+V304-W304&lt;AA304+AB304-AC304,AND(U304+V304-W304=AA304+AB304-AC304,3&lt;4))),1,0)))</x:f>
        <x:v>99</x:v>
      </x:c>
      <x:c r="AE304" s="6" t="n">
        <x:f>IF('Debt strategy'!$C$16&gt;0,0,MIN(AA304+AB304-AC304,MAX(0,'Debt strategy'!$C$5-SUM(E304,K304,Q304,W304,AC304)-SUM(IF(F304&lt;AD304,C304+D304-E304,0),IF(L304&lt;AD304,I304+J304-K304,0),IF(R304&lt;AD304,O304+P304-Q304,0),IF(X304&lt;AD304,U304+V304-W304,0)))))</x:f>
        <x:v>0</x:v>
      </x:c>
      <x:c r="AF304" s="6" t="n">
        <x:f>ROUND(MAX(0,AA304+AB304-AC304-AE304),2)</x:f>
        <x:v>0</x:v>
      </x:c>
      <x:c r="AG304" s="6" t="n">
        <x:f>SUM(H304,N304,T304,Z304,AF304)</x:f>
        <x:v>0</x:v>
      </x:c>
      <x:c r="AH304" s="6" t="n">
        <x:f>SUM(D304,J304,P304,V304,AB304)+AH303</x:f>
        <x:v>1353.9499999999996</x:v>
      </x:c>
      <x:c r="AI304" s="2"/>
    </x:row>
    <x:row r="305" ht="23" customHeight="1">
      <x:c r="B305" s="2" t="n">
        <x:f>297</x:f>
        <x:v>297</x:v>
      </x:c>
      <x:c r="C305" s="6" t="n">
        <x:f>H304</x:f>
        <x:v>0</x:v>
      </x:c>
      <x:c r="D305" s="6" t="n">
        <x:f>ROUND(C305*'Debt strategy'!$D$9/12,2)</x:f>
        <x:v>0</x:v>
      </x:c>
      <x:c r="E305" s="6" t="n">
        <x:f>MIN(C305+D305,'Debt strategy'!$E$9)</x:f>
        <x:v>0</x:v>
      </x:c>
      <x:c r="F305" s="27" t="n">
        <x:f>IF(C305+D305-E305&lt;=0,99,1+SUM(IF(AND(I305+J305-K305&gt;0,OR(I305+J305-K305&lt;C305+D305-E305,AND(I305+J305-K305=C305+D305-E305,1&lt;0))),1,0),IF(AND(O305+P305-Q305&gt;0,OR(O305+P305-Q305&lt;C305+D305-E305,AND(O305+P305-Q305=C305+D305-E305,2&lt;0))),1,0),IF(AND(U305+V305-W305&gt;0,OR(U305+V305-W305&lt;C305+D305-E305,AND(U305+V305-W305=C305+D305-E305,3&lt;0))),1,0),IF(AND(AA305+AB305-AC305&gt;0,OR(AA305+AB305-AC305&lt;C305+D305-E305,AND(AA305+AB305-AC305=C305+D305-E305,4&lt;0))),1,0)))</x:f>
        <x:v>99</x:v>
      </x:c>
      <x:c r="G305" s="6" t="n">
        <x:f>IF('Debt strategy'!$C$16&gt;0,0,MIN(C305+D305-E305,MAX(0,'Debt strategy'!$C$5-SUM(E305,K305,Q305,W305,AC305)-SUM(IF(L305&lt;F305,I305+J305-K305,0),IF(R305&lt;F305,O305+P305-Q305,0),IF(X305&lt;F305,U305+V305-W305,0),IF(AD305&lt;F305,AA305+AB305-AC305,0)))))</x:f>
        <x:v>0</x:v>
      </x:c>
      <x:c r="H305" s="6" t="n">
        <x:f>ROUND(MAX(0,C305+D305-E305-G305),2)</x:f>
        <x:v>0</x:v>
      </x:c>
      <x:c r="I305" s="6" t="n">
        <x:f>N304</x:f>
        <x:v>0</x:v>
      </x:c>
      <x:c r="J305" s="6" t="n">
        <x:f>ROUND(I305*'Debt strategy'!$D$10/12,2)</x:f>
        <x:v>0</x:v>
      </x:c>
      <x:c r="K305" s="6" t="n">
        <x:f>MIN(I305+J305,'Debt strategy'!$E$10)</x:f>
        <x:v>0</x:v>
      </x:c>
      <x:c r="L305" s="27" t="n">
        <x:f>IF(I305+J305-K305&lt;=0,99,1+SUM(IF(AND(C305+D305-E305&gt;0,OR(C305+D305-E305&lt;I305+J305-K305,AND(C305+D305-E305=I305+J305-K305,0&lt;1))),1,0),IF(AND(O305+P305-Q305&gt;0,OR(O305+P305-Q305&lt;I305+J305-K305,AND(O305+P305-Q305=I305+J305-K305,2&lt;1))),1,0),IF(AND(U305+V305-W305&gt;0,OR(U305+V305-W305&lt;I305+J305-K305,AND(U305+V305-W305=I305+J305-K305,3&lt;1))),1,0),IF(AND(AA305+AB305-AC305&gt;0,OR(AA305+AB305-AC305&lt;I305+J305-K305,AND(AA305+AB305-AC305=I305+J305-K305,4&lt;1))),1,0)))</x:f>
        <x:v>99</x:v>
      </x:c>
      <x:c r="M305" s="6" t="n">
        <x:f>IF('Debt strategy'!$C$16&gt;0,0,MIN(I305+J305-K305,MAX(0,'Debt strategy'!$C$5-SUM(E305,K305,Q305,W305,AC305)-SUM(IF(F305&lt;L305,C305+D305-E305,0),IF(R305&lt;L305,O305+P305-Q305,0),IF(X305&lt;L305,U305+V305-W305,0),IF(AD305&lt;L305,AA305+AB305-AC305,0)))))</x:f>
        <x:v>0</x:v>
      </x:c>
      <x:c r="N305" s="6" t="n">
        <x:f>ROUND(MAX(0,I305+J305-K305-M305),2)</x:f>
        <x:v>0</x:v>
      </x:c>
      <x:c r="O305" s="6" t="n">
        <x:f>T304</x:f>
        <x:v>0</x:v>
      </x:c>
      <x:c r="P305" s="6" t="n">
        <x:f>ROUND(O305*'Debt strategy'!$D$11/12,2)</x:f>
        <x:v>0</x:v>
      </x:c>
      <x:c r="Q305" s="6" t="n">
        <x:f>MIN(O305+P305,'Debt strategy'!$E$11)</x:f>
        <x:v>0</x:v>
      </x:c>
      <x:c r="R305" s="27" t="n">
        <x:f>IF(O305+P305-Q305&lt;=0,99,1+SUM(IF(AND(C305+D305-E305&gt;0,OR(C305+D305-E305&lt;O305+P305-Q305,AND(C305+D305-E305=O305+P305-Q305,0&lt;2))),1,0),IF(AND(I305+J305-K305&gt;0,OR(I305+J305-K305&lt;O305+P305-Q305,AND(I305+J305-K305=O305+P305-Q305,1&lt;2))),1,0),IF(AND(U305+V305-W305&gt;0,OR(U305+V305-W305&lt;O305+P305-Q305,AND(U305+V305-W305=O305+P305-Q305,3&lt;2))),1,0),IF(AND(AA305+AB305-AC305&gt;0,OR(AA305+AB305-AC305&lt;O305+P305-Q305,AND(AA305+AB305-AC305=O305+P305-Q305,4&lt;2))),1,0)))</x:f>
        <x:v>99</x:v>
      </x:c>
      <x:c r="S305" s="6" t="n">
        <x:f>IF('Debt strategy'!$C$16&gt;0,0,MIN(O305+P305-Q305,MAX(0,'Debt strategy'!$C$5-SUM(E305,K305,Q305,W305,AC305)-SUM(IF(F305&lt;R305,C305+D305-E305,0),IF(L305&lt;R305,I305+J305-K305,0),IF(X305&lt;R305,U305+V305-W305,0),IF(AD305&lt;R305,AA305+AB305-AC305,0)))))</x:f>
        <x:v>0</x:v>
      </x:c>
      <x:c r="T305" s="6" t="n">
        <x:f>ROUND(MAX(0,O305+P305-Q305-S305),2)</x:f>
        <x:v>0</x:v>
      </x:c>
      <x:c r="U305" s="6" t="n">
        <x:f>Z304</x:f>
        <x:v>0</x:v>
      </x:c>
      <x:c r="V305" s="6" t="n">
        <x:f>ROUND(U305*'Debt strategy'!$D$12/12,2)</x:f>
        <x:v>0</x:v>
      </x:c>
      <x:c r="W305" s="6" t="n">
        <x:f>MIN(U305+V305,'Debt strategy'!$E$12)</x:f>
        <x:v>0</x:v>
      </x:c>
      <x:c r="X305" s="27" t="n">
        <x:f>IF(U305+V305-W305&lt;=0,99,1+SUM(IF(AND(C305+D305-E305&gt;0,OR(C305+D305-E305&lt;U305+V305-W305,AND(C305+D305-E305=U305+V305-W305,0&lt;3))),1,0),IF(AND(I305+J305-K305&gt;0,OR(I305+J305-K305&lt;U305+V305-W305,AND(I305+J305-K305=U305+V305-W305,1&lt;3))),1,0),IF(AND(O305+P305-Q305&gt;0,OR(O305+P305-Q305&lt;U305+V305-W305,AND(O305+P305-Q305=U305+V305-W305,2&lt;3))),1,0),IF(AND(AA305+AB305-AC305&gt;0,OR(AA305+AB305-AC305&lt;U305+V305-W305,AND(AA305+AB305-AC305=U305+V305-W305,4&lt;3))),1,0)))</x:f>
        <x:v>99</x:v>
      </x:c>
      <x:c r="Y305" s="6" t="n">
        <x:f>IF('Debt strategy'!$C$16&gt;0,0,MIN(U305+V305-W305,MAX(0,'Debt strategy'!$C$5-SUM(E305,K305,Q305,W305,AC305)-SUM(IF(F305&lt;X305,C305+D305-E305,0),IF(L305&lt;X305,I305+J305-K305,0),IF(R305&lt;X305,O305+P305-Q305,0),IF(AD305&lt;X305,AA305+AB305-AC305,0)))))</x:f>
        <x:v>0</x:v>
      </x:c>
      <x:c r="Z305" s="6" t="n">
        <x:f>ROUND(MAX(0,U305+V305-W305-Y305),2)</x:f>
        <x:v>0</x:v>
      </x:c>
      <x:c r="AA305" s="6" t="n">
        <x:f>AF304</x:f>
        <x:v>0</x:v>
      </x:c>
      <x:c r="AB305" s="6" t="n">
        <x:f>ROUND(AA305*'Debt strategy'!$D$13/12,2)</x:f>
        <x:v>0</x:v>
      </x:c>
      <x:c r="AC305" s="6" t="n">
        <x:f>MIN(AA305+AB305,'Debt strategy'!$E$13)</x:f>
        <x:v>0</x:v>
      </x:c>
      <x:c r="AD305" s="27" t="n">
        <x:f>IF(AA305+AB305-AC305&lt;=0,99,1+SUM(IF(AND(C305+D305-E305&gt;0,OR(C305+D305-E305&lt;AA305+AB305-AC305,AND(C305+D305-E305=AA305+AB305-AC305,0&lt;4))),1,0),IF(AND(I305+J305-K305&gt;0,OR(I305+J305-K305&lt;AA305+AB305-AC305,AND(I305+J305-K305=AA305+AB305-AC305,1&lt;4))),1,0),IF(AND(O305+P305-Q305&gt;0,OR(O305+P305-Q305&lt;AA305+AB305-AC305,AND(O305+P305-Q305=AA305+AB305-AC305,2&lt;4))),1,0),IF(AND(U305+V305-W305&gt;0,OR(U305+V305-W305&lt;AA305+AB305-AC305,AND(U305+V305-W305=AA305+AB305-AC305,3&lt;4))),1,0)))</x:f>
        <x:v>99</x:v>
      </x:c>
      <x:c r="AE305" s="6" t="n">
        <x:f>IF('Debt strategy'!$C$16&gt;0,0,MIN(AA305+AB305-AC305,MAX(0,'Debt strategy'!$C$5-SUM(E305,K305,Q305,W305,AC305)-SUM(IF(F305&lt;AD305,C305+D305-E305,0),IF(L305&lt;AD305,I305+J305-K305,0),IF(R305&lt;AD305,O305+P305-Q305,0),IF(X305&lt;AD305,U305+V305-W305,0)))))</x:f>
        <x:v>0</x:v>
      </x:c>
      <x:c r="AF305" s="6" t="n">
        <x:f>ROUND(MAX(0,AA305+AB305-AC305-AE305),2)</x:f>
        <x:v>0</x:v>
      </x:c>
      <x:c r="AG305" s="6" t="n">
        <x:f>SUM(H305,N305,T305,Z305,AF305)</x:f>
        <x:v>0</x:v>
      </x:c>
      <x:c r="AH305" s="6" t="n">
        <x:f>SUM(D305,J305,P305,V305,AB305)+AH304</x:f>
        <x:v>1353.9499999999996</x:v>
      </x:c>
      <x:c r="AI305" s="2"/>
    </x:row>
    <x:row r="306" ht="23" customHeight="1">
      <x:c r="B306" s="2" t="n">
        <x:f>298</x:f>
        <x:v>298</x:v>
      </x:c>
      <x:c r="C306" s="6" t="n">
        <x:f>H305</x:f>
        <x:v>0</x:v>
      </x:c>
      <x:c r="D306" s="6" t="n">
        <x:f>ROUND(C306*'Debt strategy'!$D$9/12,2)</x:f>
        <x:v>0</x:v>
      </x:c>
      <x:c r="E306" s="6" t="n">
        <x:f>MIN(C306+D306,'Debt strategy'!$E$9)</x:f>
        <x:v>0</x:v>
      </x:c>
      <x:c r="F306" s="27" t="n">
        <x:f>IF(C306+D306-E306&lt;=0,99,1+SUM(IF(AND(I306+J306-K306&gt;0,OR(I306+J306-K306&lt;C306+D306-E306,AND(I306+J306-K306=C306+D306-E306,1&lt;0))),1,0),IF(AND(O306+P306-Q306&gt;0,OR(O306+P306-Q306&lt;C306+D306-E306,AND(O306+P306-Q306=C306+D306-E306,2&lt;0))),1,0),IF(AND(U306+V306-W306&gt;0,OR(U306+V306-W306&lt;C306+D306-E306,AND(U306+V306-W306=C306+D306-E306,3&lt;0))),1,0),IF(AND(AA306+AB306-AC306&gt;0,OR(AA306+AB306-AC306&lt;C306+D306-E306,AND(AA306+AB306-AC306=C306+D306-E306,4&lt;0))),1,0)))</x:f>
        <x:v>99</x:v>
      </x:c>
      <x:c r="G306" s="6" t="n">
        <x:f>IF('Debt strategy'!$C$16&gt;0,0,MIN(C306+D306-E306,MAX(0,'Debt strategy'!$C$5-SUM(E306,K306,Q306,W306,AC306)-SUM(IF(L306&lt;F306,I306+J306-K306,0),IF(R306&lt;F306,O306+P306-Q306,0),IF(X306&lt;F306,U306+V306-W306,0),IF(AD306&lt;F306,AA306+AB306-AC306,0)))))</x:f>
        <x:v>0</x:v>
      </x:c>
      <x:c r="H306" s="6" t="n">
        <x:f>ROUND(MAX(0,C306+D306-E306-G306),2)</x:f>
        <x:v>0</x:v>
      </x:c>
      <x:c r="I306" s="6" t="n">
        <x:f>N305</x:f>
        <x:v>0</x:v>
      </x:c>
      <x:c r="J306" s="6" t="n">
        <x:f>ROUND(I306*'Debt strategy'!$D$10/12,2)</x:f>
        <x:v>0</x:v>
      </x:c>
      <x:c r="K306" s="6" t="n">
        <x:f>MIN(I306+J306,'Debt strategy'!$E$10)</x:f>
        <x:v>0</x:v>
      </x:c>
      <x:c r="L306" s="27" t="n">
        <x:f>IF(I306+J306-K306&lt;=0,99,1+SUM(IF(AND(C306+D306-E306&gt;0,OR(C306+D306-E306&lt;I306+J306-K306,AND(C306+D306-E306=I306+J306-K306,0&lt;1))),1,0),IF(AND(O306+P306-Q306&gt;0,OR(O306+P306-Q306&lt;I306+J306-K306,AND(O306+P306-Q306=I306+J306-K306,2&lt;1))),1,0),IF(AND(U306+V306-W306&gt;0,OR(U306+V306-W306&lt;I306+J306-K306,AND(U306+V306-W306=I306+J306-K306,3&lt;1))),1,0),IF(AND(AA306+AB306-AC306&gt;0,OR(AA306+AB306-AC306&lt;I306+J306-K306,AND(AA306+AB306-AC306=I306+J306-K306,4&lt;1))),1,0)))</x:f>
        <x:v>99</x:v>
      </x:c>
      <x:c r="M306" s="6" t="n">
        <x:f>IF('Debt strategy'!$C$16&gt;0,0,MIN(I306+J306-K306,MAX(0,'Debt strategy'!$C$5-SUM(E306,K306,Q306,W306,AC306)-SUM(IF(F306&lt;L306,C306+D306-E306,0),IF(R306&lt;L306,O306+P306-Q306,0),IF(X306&lt;L306,U306+V306-W306,0),IF(AD306&lt;L306,AA306+AB306-AC306,0)))))</x:f>
        <x:v>0</x:v>
      </x:c>
      <x:c r="N306" s="6" t="n">
        <x:f>ROUND(MAX(0,I306+J306-K306-M306),2)</x:f>
        <x:v>0</x:v>
      </x:c>
      <x:c r="O306" s="6" t="n">
        <x:f>T305</x:f>
        <x:v>0</x:v>
      </x:c>
      <x:c r="P306" s="6" t="n">
        <x:f>ROUND(O306*'Debt strategy'!$D$11/12,2)</x:f>
        <x:v>0</x:v>
      </x:c>
      <x:c r="Q306" s="6" t="n">
        <x:f>MIN(O306+P306,'Debt strategy'!$E$11)</x:f>
        <x:v>0</x:v>
      </x:c>
      <x:c r="R306" s="27" t="n">
        <x:f>IF(O306+P306-Q306&lt;=0,99,1+SUM(IF(AND(C306+D306-E306&gt;0,OR(C306+D306-E306&lt;O306+P306-Q306,AND(C306+D306-E306=O306+P306-Q306,0&lt;2))),1,0),IF(AND(I306+J306-K306&gt;0,OR(I306+J306-K306&lt;O306+P306-Q306,AND(I306+J306-K306=O306+P306-Q306,1&lt;2))),1,0),IF(AND(U306+V306-W306&gt;0,OR(U306+V306-W306&lt;O306+P306-Q306,AND(U306+V306-W306=O306+P306-Q306,3&lt;2))),1,0),IF(AND(AA306+AB306-AC306&gt;0,OR(AA306+AB306-AC306&lt;O306+P306-Q306,AND(AA306+AB306-AC306=O306+P306-Q306,4&lt;2))),1,0)))</x:f>
        <x:v>99</x:v>
      </x:c>
      <x:c r="S306" s="6" t="n">
        <x:f>IF('Debt strategy'!$C$16&gt;0,0,MIN(O306+P306-Q306,MAX(0,'Debt strategy'!$C$5-SUM(E306,K306,Q306,W306,AC306)-SUM(IF(F306&lt;R306,C306+D306-E306,0),IF(L306&lt;R306,I306+J306-K306,0),IF(X306&lt;R306,U306+V306-W306,0),IF(AD306&lt;R306,AA306+AB306-AC306,0)))))</x:f>
        <x:v>0</x:v>
      </x:c>
      <x:c r="T306" s="6" t="n">
        <x:f>ROUND(MAX(0,O306+P306-Q306-S306),2)</x:f>
        <x:v>0</x:v>
      </x:c>
      <x:c r="U306" s="6" t="n">
        <x:f>Z305</x:f>
        <x:v>0</x:v>
      </x:c>
      <x:c r="V306" s="6" t="n">
        <x:f>ROUND(U306*'Debt strategy'!$D$12/12,2)</x:f>
        <x:v>0</x:v>
      </x:c>
      <x:c r="W306" s="6" t="n">
        <x:f>MIN(U306+V306,'Debt strategy'!$E$12)</x:f>
        <x:v>0</x:v>
      </x:c>
      <x:c r="X306" s="27" t="n">
        <x:f>IF(U306+V306-W306&lt;=0,99,1+SUM(IF(AND(C306+D306-E306&gt;0,OR(C306+D306-E306&lt;U306+V306-W306,AND(C306+D306-E306=U306+V306-W306,0&lt;3))),1,0),IF(AND(I306+J306-K306&gt;0,OR(I306+J306-K306&lt;U306+V306-W306,AND(I306+J306-K306=U306+V306-W306,1&lt;3))),1,0),IF(AND(O306+P306-Q306&gt;0,OR(O306+P306-Q306&lt;U306+V306-W306,AND(O306+P306-Q306=U306+V306-W306,2&lt;3))),1,0),IF(AND(AA306+AB306-AC306&gt;0,OR(AA306+AB306-AC306&lt;U306+V306-W306,AND(AA306+AB306-AC306=U306+V306-W306,4&lt;3))),1,0)))</x:f>
        <x:v>99</x:v>
      </x:c>
      <x:c r="Y306" s="6" t="n">
        <x:f>IF('Debt strategy'!$C$16&gt;0,0,MIN(U306+V306-W306,MAX(0,'Debt strategy'!$C$5-SUM(E306,K306,Q306,W306,AC306)-SUM(IF(F306&lt;X306,C306+D306-E306,0),IF(L306&lt;X306,I306+J306-K306,0),IF(R306&lt;X306,O306+P306-Q306,0),IF(AD306&lt;X306,AA306+AB306-AC306,0)))))</x:f>
        <x:v>0</x:v>
      </x:c>
      <x:c r="Z306" s="6" t="n">
        <x:f>ROUND(MAX(0,U306+V306-W306-Y306),2)</x:f>
        <x:v>0</x:v>
      </x:c>
      <x:c r="AA306" s="6" t="n">
        <x:f>AF305</x:f>
        <x:v>0</x:v>
      </x:c>
      <x:c r="AB306" s="6" t="n">
        <x:f>ROUND(AA306*'Debt strategy'!$D$13/12,2)</x:f>
        <x:v>0</x:v>
      </x:c>
      <x:c r="AC306" s="6" t="n">
        <x:f>MIN(AA306+AB306,'Debt strategy'!$E$13)</x:f>
        <x:v>0</x:v>
      </x:c>
      <x:c r="AD306" s="27" t="n">
        <x:f>IF(AA306+AB306-AC306&lt;=0,99,1+SUM(IF(AND(C306+D306-E306&gt;0,OR(C306+D306-E306&lt;AA306+AB306-AC306,AND(C306+D306-E306=AA306+AB306-AC306,0&lt;4))),1,0),IF(AND(I306+J306-K306&gt;0,OR(I306+J306-K306&lt;AA306+AB306-AC306,AND(I306+J306-K306=AA306+AB306-AC306,1&lt;4))),1,0),IF(AND(O306+P306-Q306&gt;0,OR(O306+P306-Q306&lt;AA306+AB306-AC306,AND(O306+P306-Q306=AA306+AB306-AC306,2&lt;4))),1,0),IF(AND(U306+V306-W306&gt;0,OR(U306+V306-W306&lt;AA306+AB306-AC306,AND(U306+V306-W306=AA306+AB306-AC306,3&lt;4))),1,0)))</x:f>
        <x:v>99</x:v>
      </x:c>
      <x:c r="AE306" s="6" t="n">
        <x:f>IF('Debt strategy'!$C$16&gt;0,0,MIN(AA306+AB306-AC306,MAX(0,'Debt strategy'!$C$5-SUM(E306,K306,Q306,W306,AC306)-SUM(IF(F306&lt;AD306,C306+D306-E306,0),IF(L306&lt;AD306,I306+J306-K306,0),IF(R306&lt;AD306,O306+P306-Q306,0),IF(X306&lt;AD306,U306+V306-W306,0)))))</x:f>
        <x:v>0</x:v>
      </x:c>
      <x:c r="AF306" s="6" t="n">
        <x:f>ROUND(MAX(0,AA306+AB306-AC306-AE306),2)</x:f>
        <x:v>0</x:v>
      </x:c>
      <x:c r="AG306" s="6" t="n">
        <x:f>SUM(H306,N306,T306,Z306,AF306)</x:f>
        <x:v>0</x:v>
      </x:c>
      <x:c r="AH306" s="6" t="n">
        <x:f>SUM(D306,J306,P306,V306,AB306)+AH305</x:f>
        <x:v>1353.9499999999996</x:v>
      </x:c>
      <x:c r="AI306" s="2"/>
    </x:row>
    <x:row r="307" ht="23" customHeight="1">
      <x:c r="B307" s="2" t="n">
        <x:f>299</x:f>
        <x:v>299</x:v>
      </x:c>
      <x:c r="C307" s="6" t="n">
        <x:f>H306</x:f>
        <x:v>0</x:v>
      </x:c>
      <x:c r="D307" s="6" t="n">
        <x:f>ROUND(C307*'Debt strategy'!$D$9/12,2)</x:f>
        <x:v>0</x:v>
      </x:c>
      <x:c r="E307" s="6" t="n">
        <x:f>MIN(C307+D307,'Debt strategy'!$E$9)</x:f>
        <x:v>0</x:v>
      </x:c>
      <x:c r="F307" s="27" t="n">
        <x:f>IF(C307+D307-E307&lt;=0,99,1+SUM(IF(AND(I307+J307-K307&gt;0,OR(I307+J307-K307&lt;C307+D307-E307,AND(I307+J307-K307=C307+D307-E307,1&lt;0))),1,0),IF(AND(O307+P307-Q307&gt;0,OR(O307+P307-Q307&lt;C307+D307-E307,AND(O307+P307-Q307=C307+D307-E307,2&lt;0))),1,0),IF(AND(U307+V307-W307&gt;0,OR(U307+V307-W307&lt;C307+D307-E307,AND(U307+V307-W307=C307+D307-E307,3&lt;0))),1,0),IF(AND(AA307+AB307-AC307&gt;0,OR(AA307+AB307-AC307&lt;C307+D307-E307,AND(AA307+AB307-AC307=C307+D307-E307,4&lt;0))),1,0)))</x:f>
        <x:v>99</x:v>
      </x:c>
      <x:c r="G307" s="6" t="n">
        <x:f>IF('Debt strategy'!$C$16&gt;0,0,MIN(C307+D307-E307,MAX(0,'Debt strategy'!$C$5-SUM(E307,K307,Q307,W307,AC307)-SUM(IF(L307&lt;F307,I307+J307-K307,0),IF(R307&lt;F307,O307+P307-Q307,0),IF(X307&lt;F307,U307+V307-W307,0),IF(AD307&lt;F307,AA307+AB307-AC307,0)))))</x:f>
        <x:v>0</x:v>
      </x:c>
      <x:c r="H307" s="6" t="n">
        <x:f>ROUND(MAX(0,C307+D307-E307-G307),2)</x:f>
        <x:v>0</x:v>
      </x:c>
      <x:c r="I307" s="6" t="n">
        <x:f>N306</x:f>
        <x:v>0</x:v>
      </x:c>
      <x:c r="J307" s="6" t="n">
        <x:f>ROUND(I307*'Debt strategy'!$D$10/12,2)</x:f>
        <x:v>0</x:v>
      </x:c>
      <x:c r="K307" s="6" t="n">
        <x:f>MIN(I307+J307,'Debt strategy'!$E$10)</x:f>
        <x:v>0</x:v>
      </x:c>
      <x:c r="L307" s="27" t="n">
        <x:f>IF(I307+J307-K307&lt;=0,99,1+SUM(IF(AND(C307+D307-E307&gt;0,OR(C307+D307-E307&lt;I307+J307-K307,AND(C307+D307-E307=I307+J307-K307,0&lt;1))),1,0),IF(AND(O307+P307-Q307&gt;0,OR(O307+P307-Q307&lt;I307+J307-K307,AND(O307+P307-Q307=I307+J307-K307,2&lt;1))),1,0),IF(AND(U307+V307-W307&gt;0,OR(U307+V307-W307&lt;I307+J307-K307,AND(U307+V307-W307=I307+J307-K307,3&lt;1))),1,0),IF(AND(AA307+AB307-AC307&gt;0,OR(AA307+AB307-AC307&lt;I307+J307-K307,AND(AA307+AB307-AC307=I307+J307-K307,4&lt;1))),1,0)))</x:f>
        <x:v>99</x:v>
      </x:c>
      <x:c r="M307" s="6" t="n">
        <x:f>IF('Debt strategy'!$C$16&gt;0,0,MIN(I307+J307-K307,MAX(0,'Debt strategy'!$C$5-SUM(E307,K307,Q307,W307,AC307)-SUM(IF(F307&lt;L307,C307+D307-E307,0),IF(R307&lt;L307,O307+P307-Q307,0),IF(X307&lt;L307,U307+V307-W307,0),IF(AD307&lt;L307,AA307+AB307-AC307,0)))))</x:f>
        <x:v>0</x:v>
      </x:c>
      <x:c r="N307" s="6" t="n">
        <x:f>ROUND(MAX(0,I307+J307-K307-M307),2)</x:f>
        <x:v>0</x:v>
      </x:c>
      <x:c r="O307" s="6" t="n">
        <x:f>T306</x:f>
        <x:v>0</x:v>
      </x:c>
      <x:c r="P307" s="6" t="n">
        <x:f>ROUND(O307*'Debt strategy'!$D$11/12,2)</x:f>
        <x:v>0</x:v>
      </x:c>
      <x:c r="Q307" s="6" t="n">
        <x:f>MIN(O307+P307,'Debt strategy'!$E$11)</x:f>
        <x:v>0</x:v>
      </x:c>
      <x:c r="R307" s="27" t="n">
        <x:f>IF(O307+P307-Q307&lt;=0,99,1+SUM(IF(AND(C307+D307-E307&gt;0,OR(C307+D307-E307&lt;O307+P307-Q307,AND(C307+D307-E307=O307+P307-Q307,0&lt;2))),1,0),IF(AND(I307+J307-K307&gt;0,OR(I307+J307-K307&lt;O307+P307-Q307,AND(I307+J307-K307=O307+P307-Q307,1&lt;2))),1,0),IF(AND(U307+V307-W307&gt;0,OR(U307+V307-W307&lt;O307+P307-Q307,AND(U307+V307-W307=O307+P307-Q307,3&lt;2))),1,0),IF(AND(AA307+AB307-AC307&gt;0,OR(AA307+AB307-AC307&lt;O307+P307-Q307,AND(AA307+AB307-AC307=O307+P307-Q307,4&lt;2))),1,0)))</x:f>
        <x:v>99</x:v>
      </x:c>
      <x:c r="S307" s="6" t="n">
        <x:f>IF('Debt strategy'!$C$16&gt;0,0,MIN(O307+P307-Q307,MAX(0,'Debt strategy'!$C$5-SUM(E307,K307,Q307,W307,AC307)-SUM(IF(F307&lt;R307,C307+D307-E307,0),IF(L307&lt;R307,I307+J307-K307,0),IF(X307&lt;R307,U307+V307-W307,0),IF(AD307&lt;R307,AA307+AB307-AC307,0)))))</x:f>
        <x:v>0</x:v>
      </x:c>
      <x:c r="T307" s="6" t="n">
        <x:f>ROUND(MAX(0,O307+P307-Q307-S307),2)</x:f>
        <x:v>0</x:v>
      </x:c>
      <x:c r="U307" s="6" t="n">
        <x:f>Z306</x:f>
        <x:v>0</x:v>
      </x:c>
      <x:c r="V307" s="6" t="n">
        <x:f>ROUND(U307*'Debt strategy'!$D$12/12,2)</x:f>
        <x:v>0</x:v>
      </x:c>
      <x:c r="W307" s="6" t="n">
        <x:f>MIN(U307+V307,'Debt strategy'!$E$12)</x:f>
        <x:v>0</x:v>
      </x:c>
      <x:c r="X307" s="27" t="n">
        <x:f>IF(U307+V307-W307&lt;=0,99,1+SUM(IF(AND(C307+D307-E307&gt;0,OR(C307+D307-E307&lt;U307+V307-W307,AND(C307+D307-E307=U307+V307-W307,0&lt;3))),1,0),IF(AND(I307+J307-K307&gt;0,OR(I307+J307-K307&lt;U307+V307-W307,AND(I307+J307-K307=U307+V307-W307,1&lt;3))),1,0),IF(AND(O307+P307-Q307&gt;0,OR(O307+P307-Q307&lt;U307+V307-W307,AND(O307+P307-Q307=U307+V307-W307,2&lt;3))),1,0),IF(AND(AA307+AB307-AC307&gt;0,OR(AA307+AB307-AC307&lt;U307+V307-W307,AND(AA307+AB307-AC307=U307+V307-W307,4&lt;3))),1,0)))</x:f>
        <x:v>99</x:v>
      </x:c>
      <x:c r="Y307" s="6" t="n">
        <x:f>IF('Debt strategy'!$C$16&gt;0,0,MIN(U307+V307-W307,MAX(0,'Debt strategy'!$C$5-SUM(E307,K307,Q307,W307,AC307)-SUM(IF(F307&lt;X307,C307+D307-E307,0),IF(L307&lt;X307,I307+J307-K307,0),IF(R307&lt;X307,O307+P307-Q307,0),IF(AD307&lt;X307,AA307+AB307-AC307,0)))))</x:f>
        <x:v>0</x:v>
      </x:c>
      <x:c r="Z307" s="6" t="n">
        <x:f>ROUND(MAX(0,U307+V307-W307-Y307),2)</x:f>
        <x:v>0</x:v>
      </x:c>
      <x:c r="AA307" s="6" t="n">
        <x:f>AF306</x:f>
        <x:v>0</x:v>
      </x:c>
      <x:c r="AB307" s="6" t="n">
        <x:f>ROUND(AA307*'Debt strategy'!$D$13/12,2)</x:f>
        <x:v>0</x:v>
      </x:c>
      <x:c r="AC307" s="6" t="n">
        <x:f>MIN(AA307+AB307,'Debt strategy'!$E$13)</x:f>
        <x:v>0</x:v>
      </x:c>
      <x:c r="AD307" s="27" t="n">
        <x:f>IF(AA307+AB307-AC307&lt;=0,99,1+SUM(IF(AND(C307+D307-E307&gt;0,OR(C307+D307-E307&lt;AA307+AB307-AC307,AND(C307+D307-E307=AA307+AB307-AC307,0&lt;4))),1,0),IF(AND(I307+J307-K307&gt;0,OR(I307+J307-K307&lt;AA307+AB307-AC307,AND(I307+J307-K307=AA307+AB307-AC307,1&lt;4))),1,0),IF(AND(O307+P307-Q307&gt;0,OR(O307+P307-Q307&lt;AA307+AB307-AC307,AND(O307+P307-Q307=AA307+AB307-AC307,2&lt;4))),1,0),IF(AND(U307+V307-W307&gt;0,OR(U307+V307-W307&lt;AA307+AB307-AC307,AND(U307+V307-W307=AA307+AB307-AC307,3&lt;4))),1,0)))</x:f>
        <x:v>99</x:v>
      </x:c>
      <x:c r="AE307" s="6" t="n">
        <x:f>IF('Debt strategy'!$C$16&gt;0,0,MIN(AA307+AB307-AC307,MAX(0,'Debt strategy'!$C$5-SUM(E307,K307,Q307,W307,AC307)-SUM(IF(F307&lt;AD307,C307+D307-E307,0),IF(L307&lt;AD307,I307+J307-K307,0),IF(R307&lt;AD307,O307+P307-Q307,0),IF(X307&lt;AD307,U307+V307-W307,0)))))</x:f>
        <x:v>0</x:v>
      </x:c>
      <x:c r="AF307" s="6" t="n">
        <x:f>ROUND(MAX(0,AA307+AB307-AC307-AE307),2)</x:f>
        <x:v>0</x:v>
      </x:c>
      <x:c r="AG307" s="6" t="n">
        <x:f>SUM(H307,N307,T307,Z307,AF307)</x:f>
        <x:v>0</x:v>
      </x:c>
      <x:c r="AH307" s="6" t="n">
        <x:f>SUM(D307,J307,P307,V307,AB307)+AH306</x:f>
        <x:v>1353.9499999999996</x:v>
      </x:c>
      <x:c r="AI307" s="2"/>
    </x:row>
    <x:row r="308" ht="23" customHeight="1">
      <x:c r="B308" s="2" t="n">
        <x:f>300</x:f>
        <x:v>300</x:v>
      </x:c>
      <x:c r="C308" s="6" t="n">
        <x:f>H307</x:f>
        <x:v>0</x:v>
      </x:c>
      <x:c r="D308" s="6" t="n">
        <x:f>ROUND(C308*'Debt strategy'!$D$9/12,2)</x:f>
        <x:v>0</x:v>
      </x:c>
      <x:c r="E308" s="6" t="n">
        <x:f>MIN(C308+D308,'Debt strategy'!$E$9)</x:f>
        <x:v>0</x:v>
      </x:c>
      <x:c r="F308" s="27" t="n">
        <x:f>IF(C308+D308-E308&lt;=0,99,1+SUM(IF(AND(I308+J308-K308&gt;0,OR(I308+J308-K308&lt;C308+D308-E308,AND(I308+J308-K308=C308+D308-E308,1&lt;0))),1,0),IF(AND(O308+P308-Q308&gt;0,OR(O308+P308-Q308&lt;C308+D308-E308,AND(O308+P308-Q308=C308+D308-E308,2&lt;0))),1,0),IF(AND(U308+V308-W308&gt;0,OR(U308+V308-W308&lt;C308+D308-E308,AND(U308+V308-W308=C308+D308-E308,3&lt;0))),1,0),IF(AND(AA308+AB308-AC308&gt;0,OR(AA308+AB308-AC308&lt;C308+D308-E308,AND(AA308+AB308-AC308=C308+D308-E308,4&lt;0))),1,0)))</x:f>
        <x:v>99</x:v>
      </x:c>
      <x:c r="G308" s="6" t="n">
        <x:f>IF('Debt strategy'!$C$16&gt;0,0,MIN(C308+D308-E308,MAX(0,'Debt strategy'!$C$5-SUM(E308,K308,Q308,W308,AC308)-SUM(IF(L308&lt;F308,I308+J308-K308,0),IF(R308&lt;F308,O308+P308-Q308,0),IF(X308&lt;F308,U308+V308-W308,0),IF(AD308&lt;F308,AA308+AB308-AC308,0)))))</x:f>
        <x:v>0</x:v>
      </x:c>
      <x:c r="H308" s="6" t="n">
        <x:f>ROUND(MAX(0,C308+D308-E308-G308),2)</x:f>
        <x:v>0</x:v>
      </x:c>
      <x:c r="I308" s="6" t="n">
        <x:f>N307</x:f>
        <x:v>0</x:v>
      </x:c>
      <x:c r="J308" s="6" t="n">
        <x:f>ROUND(I308*'Debt strategy'!$D$10/12,2)</x:f>
        <x:v>0</x:v>
      </x:c>
      <x:c r="K308" s="6" t="n">
        <x:f>MIN(I308+J308,'Debt strategy'!$E$10)</x:f>
        <x:v>0</x:v>
      </x:c>
      <x:c r="L308" s="27" t="n">
        <x:f>IF(I308+J308-K308&lt;=0,99,1+SUM(IF(AND(C308+D308-E308&gt;0,OR(C308+D308-E308&lt;I308+J308-K308,AND(C308+D308-E308=I308+J308-K308,0&lt;1))),1,0),IF(AND(O308+P308-Q308&gt;0,OR(O308+P308-Q308&lt;I308+J308-K308,AND(O308+P308-Q308=I308+J308-K308,2&lt;1))),1,0),IF(AND(U308+V308-W308&gt;0,OR(U308+V308-W308&lt;I308+J308-K308,AND(U308+V308-W308=I308+J308-K308,3&lt;1))),1,0),IF(AND(AA308+AB308-AC308&gt;0,OR(AA308+AB308-AC308&lt;I308+J308-K308,AND(AA308+AB308-AC308=I308+J308-K308,4&lt;1))),1,0)))</x:f>
        <x:v>99</x:v>
      </x:c>
      <x:c r="M308" s="6" t="n">
        <x:f>IF('Debt strategy'!$C$16&gt;0,0,MIN(I308+J308-K308,MAX(0,'Debt strategy'!$C$5-SUM(E308,K308,Q308,W308,AC308)-SUM(IF(F308&lt;L308,C308+D308-E308,0),IF(R308&lt;L308,O308+P308-Q308,0),IF(X308&lt;L308,U308+V308-W308,0),IF(AD308&lt;L308,AA308+AB308-AC308,0)))))</x:f>
        <x:v>0</x:v>
      </x:c>
      <x:c r="N308" s="6" t="n">
        <x:f>ROUND(MAX(0,I308+J308-K308-M308),2)</x:f>
        <x:v>0</x:v>
      </x:c>
      <x:c r="O308" s="6" t="n">
        <x:f>T307</x:f>
        <x:v>0</x:v>
      </x:c>
      <x:c r="P308" s="6" t="n">
        <x:f>ROUND(O308*'Debt strategy'!$D$11/12,2)</x:f>
        <x:v>0</x:v>
      </x:c>
      <x:c r="Q308" s="6" t="n">
        <x:f>MIN(O308+P308,'Debt strategy'!$E$11)</x:f>
        <x:v>0</x:v>
      </x:c>
      <x:c r="R308" s="27" t="n">
        <x:f>IF(O308+P308-Q308&lt;=0,99,1+SUM(IF(AND(C308+D308-E308&gt;0,OR(C308+D308-E308&lt;O308+P308-Q308,AND(C308+D308-E308=O308+P308-Q308,0&lt;2))),1,0),IF(AND(I308+J308-K308&gt;0,OR(I308+J308-K308&lt;O308+P308-Q308,AND(I308+J308-K308=O308+P308-Q308,1&lt;2))),1,0),IF(AND(U308+V308-W308&gt;0,OR(U308+V308-W308&lt;O308+P308-Q308,AND(U308+V308-W308=O308+P308-Q308,3&lt;2))),1,0),IF(AND(AA308+AB308-AC308&gt;0,OR(AA308+AB308-AC308&lt;O308+P308-Q308,AND(AA308+AB308-AC308=O308+P308-Q308,4&lt;2))),1,0)))</x:f>
        <x:v>99</x:v>
      </x:c>
      <x:c r="S308" s="6" t="n">
        <x:f>IF('Debt strategy'!$C$16&gt;0,0,MIN(O308+P308-Q308,MAX(0,'Debt strategy'!$C$5-SUM(E308,K308,Q308,W308,AC308)-SUM(IF(F308&lt;R308,C308+D308-E308,0),IF(L308&lt;R308,I308+J308-K308,0),IF(X308&lt;R308,U308+V308-W308,0),IF(AD308&lt;R308,AA308+AB308-AC308,0)))))</x:f>
        <x:v>0</x:v>
      </x:c>
      <x:c r="T308" s="6" t="n">
        <x:f>ROUND(MAX(0,O308+P308-Q308-S308),2)</x:f>
        <x:v>0</x:v>
      </x:c>
      <x:c r="U308" s="6" t="n">
        <x:f>Z307</x:f>
        <x:v>0</x:v>
      </x:c>
      <x:c r="V308" s="6" t="n">
        <x:f>ROUND(U308*'Debt strategy'!$D$12/12,2)</x:f>
        <x:v>0</x:v>
      </x:c>
      <x:c r="W308" s="6" t="n">
        <x:f>MIN(U308+V308,'Debt strategy'!$E$12)</x:f>
        <x:v>0</x:v>
      </x:c>
      <x:c r="X308" s="27" t="n">
        <x:f>IF(U308+V308-W308&lt;=0,99,1+SUM(IF(AND(C308+D308-E308&gt;0,OR(C308+D308-E308&lt;U308+V308-W308,AND(C308+D308-E308=U308+V308-W308,0&lt;3))),1,0),IF(AND(I308+J308-K308&gt;0,OR(I308+J308-K308&lt;U308+V308-W308,AND(I308+J308-K308=U308+V308-W308,1&lt;3))),1,0),IF(AND(O308+P308-Q308&gt;0,OR(O308+P308-Q308&lt;U308+V308-W308,AND(O308+P308-Q308=U308+V308-W308,2&lt;3))),1,0),IF(AND(AA308+AB308-AC308&gt;0,OR(AA308+AB308-AC308&lt;U308+V308-W308,AND(AA308+AB308-AC308=U308+V308-W308,4&lt;3))),1,0)))</x:f>
        <x:v>99</x:v>
      </x:c>
      <x:c r="Y308" s="6" t="n">
        <x:f>IF('Debt strategy'!$C$16&gt;0,0,MIN(U308+V308-W308,MAX(0,'Debt strategy'!$C$5-SUM(E308,K308,Q308,W308,AC308)-SUM(IF(F308&lt;X308,C308+D308-E308,0),IF(L308&lt;X308,I308+J308-K308,0),IF(R308&lt;X308,O308+P308-Q308,0),IF(AD308&lt;X308,AA308+AB308-AC308,0)))))</x:f>
        <x:v>0</x:v>
      </x:c>
      <x:c r="Z308" s="6" t="n">
        <x:f>ROUND(MAX(0,U308+V308-W308-Y308),2)</x:f>
        <x:v>0</x:v>
      </x:c>
      <x:c r="AA308" s="6" t="n">
        <x:f>AF307</x:f>
        <x:v>0</x:v>
      </x:c>
      <x:c r="AB308" s="6" t="n">
        <x:f>ROUND(AA308*'Debt strategy'!$D$13/12,2)</x:f>
        <x:v>0</x:v>
      </x:c>
      <x:c r="AC308" s="6" t="n">
        <x:f>MIN(AA308+AB308,'Debt strategy'!$E$13)</x:f>
        <x:v>0</x:v>
      </x:c>
      <x:c r="AD308" s="27" t="n">
        <x:f>IF(AA308+AB308-AC308&lt;=0,99,1+SUM(IF(AND(C308+D308-E308&gt;0,OR(C308+D308-E308&lt;AA308+AB308-AC308,AND(C308+D308-E308=AA308+AB308-AC308,0&lt;4))),1,0),IF(AND(I308+J308-K308&gt;0,OR(I308+J308-K308&lt;AA308+AB308-AC308,AND(I308+J308-K308=AA308+AB308-AC308,1&lt;4))),1,0),IF(AND(O308+P308-Q308&gt;0,OR(O308+P308-Q308&lt;AA308+AB308-AC308,AND(O308+P308-Q308=AA308+AB308-AC308,2&lt;4))),1,0),IF(AND(U308+V308-W308&gt;0,OR(U308+V308-W308&lt;AA308+AB308-AC308,AND(U308+V308-W308=AA308+AB308-AC308,3&lt;4))),1,0)))</x:f>
        <x:v>99</x:v>
      </x:c>
      <x:c r="AE308" s="6" t="n">
        <x:f>IF('Debt strategy'!$C$16&gt;0,0,MIN(AA308+AB308-AC308,MAX(0,'Debt strategy'!$C$5-SUM(E308,K308,Q308,W308,AC308)-SUM(IF(F308&lt;AD308,C308+D308-E308,0),IF(L308&lt;AD308,I308+J308-K308,0),IF(R308&lt;AD308,O308+P308-Q308,0),IF(X308&lt;AD308,U308+V308-W308,0)))))</x:f>
        <x:v>0</x:v>
      </x:c>
      <x:c r="AF308" s="6" t="n">
        <x:f>ROUND(MAX(0,AA308+AB308-AC308-AE308),2)</x:f>
        <x:v>0</x:v>
      </x:c>
      <x:c r="AG308" s="6" t="n">
        <x:f>SUM(H308,N308,T308,Z308,AF308)</x:f>
        <x:v>0</x:v>
      </x:c>
      <x:c r="AH308" s="6" t="n">
        <x:f>SUM(D308,J308,P308,V308,AB308)+AH307</x:f>
        <x:v>1353.9499999999996</x:v>
      </x:c>
      <x:c r="AI308" s="2"/>
    </x:row>
    <x:row r="309" ht="23" customHeight="1">
      <x:c r="B309" s="2" t="n">
        <x:f>301</x:f>
        <x:v>301</x:v>
      </x:c>
      <x:c r="C309" s="6" t="n">
        <x:f>H308</x:f>
        <x:v>0</x:v>
      </x:c>
      <x:c r="D309" s="6" t="n">
        <x:f>ROUND(C309*'Debt strategy'!$D$9/12,2)</x:f>
        <x:v>0</x:v>
      </x:c>
      <x:c r="E309" s="6" t="n">
        <x:f>MIN(C309+D309,'Debt strategy'!$E$9)</x:f>
        <x:v>0</x:v>
      </x:c>
      <x:c r="F309" s="27" t="n">
        <x:f>IF(C309+D309-E309&lt;=0,99,1+SUM(IF(AND(I309+J309-K309&gt;0,OR(I309+J309-K309&lt;C309+D309-E309,AND(I309+J309-K309=C309+D309-E309,1&lt;0))),1,0),IF(AND(O309+P309-Q309&gt;0,OR(O309+P309-Q309&lt;C309+D309-E309,AND(O309+P309-Q309=C309+D309-E309,2&lt;0))),1,0),IF(AND(U309+V309-W309&gt;0,OR(U309+V309-W309&lt;C309+D309-E309,AND(U309+V309-W309=C309+D309-E309,3&lt;0))),1,0),IF(AND(AA309+AB309-AC309&gt;0,OR(AA309+AB309-AC309&lt;C309+D309-E309,AND(AA309+AB309-AC309=C309+D309-E309,4&lt;0))),1,0)))</x:f>
        <x:v>99</x:v>
      </x:c>
      <x:c r="G309" s="6" t="n">
        <x:f>IF('Debt strategy'!$C$16&gt;0,0,MIN(C309+D309-E309,MAX(0,'Debt strategy'!$C$5-SUM(E309,K309,Q309,W309,AC309)-SUM(IF(L309&lt;F309,I309+J309-K309,0),IF(R309&lt;F309,O309+P309-Q309,0),IF(X309&lt;F309,U309+V309-W309,0),IF(AD309&lt;F309,AA309+AB309-AC309,0)))))</x:f>
        <x:v>0</x:v>
      </x:c>
      <x:c r="H309" s="6" t="n">
        <x:f>ROUND(MAX(0,C309+D309-E309-G309),2)</x:f>
        <x:v>0</x:v>
      </x:c>
      <x:c r="I309" s="6" t="n">
        <x:f>N308</x:f>
        <x:v>0</x:v>
      </x:c>
      <x:c r="J309" s="6" t="n">
        <x:f>ROUND(I309*'Debt strategy'!$D$10/12,2)</x:f>
        <x:v>0</x:v>
      </x:c>
      <x:c r="K309" s="6" t="n">
        <x:f>MIN(I309+J309,'Debt strategy'!$E$10)</x:f>
        <x:v>0</x:v>
      </x:c>
      <x:c r="L309" s="27" t="n">
        <x:f>IF(I309+J309-K309&lt;=0,99,1+SUM(IF(AND(C309+D309-E309&gt;0,OR(C309+D309-E309&lt;I309+J309-K309,AND(C309+D309-E309=I309+J309-K309,0&lt;1))),1,0),IF(AND(O309+P309-Q309&gt;0,OR(O309+P309-Q309&lt;I309+J309-K309,AND(O309+P309-Q309=I309+J309-K309,2&lt;1))),1,0),IF(AND(U309+V309-W309&gt;0,OR(U309+V309-W309&lt;I309+J309-K309,AND(U309+V309-W309=I309+J309-K309,3&lt;1))),1,0),IF(AND(AA309+AB309-AC309&gt;0,OR(AA309+AB309-AC309&lt;I309+J309-K309,AND(AA309+AB309-AC309=I309+J309-K309,4&lt;1))),1,0)))</x:f>
        <x:v>99</x:v>
      </x:c>
      <x:c r="M309" s="6" t="n">
        <x:f>IF('Debt strategy'!$C$16&gt;0,0,MIN(I309+J309-K309,MAX(0,'Debt strategy'!$C$5-SUM(E309,K309,Q309,W309,AC309)-SUM(IF(F309&lt;L309,C309+D309-E309,0),IF(R309&lt;L309,O309+P309-Q309,0),IF(X309&lt;L309,U309+V309-W309,0),IF(AD309&lt;L309,AA309+AB309-AC309,0)))))</x:f>
        <x:v>0</x:v>
      </x:c>
      <x:c r="N309" s="6" t="n">
        <x:f>ROUND(MAX(0,I309+J309-K309-M309),2)</x:f>
        <x:v>0</x:v>
      </x:c>
      <x:c r="O309" s="6" t="n">
        <x:f>T308</x:f>
        <x:v>0</x:v>
      </x:c>
      <x:c r="P309" s="6" t="n">
        <x:f>ROUND(O309*'Debt strategy'!$D$11/12,2)</x:f>
        <x:v>0</x:v>
      </x:c>
      <x:c r="Q309" s="6" t="n">
        <x:f>MIN(O309+P309,'Debt strategy'!$E$11)</x:f>
        <x:v>0</x:v>
      </x:c>
      <x:c r="R309" s="27" t="n">
        <x:f>IF(O309+P309-Q309&lt;=0,99,1+SUM(IF(AND(C309+D309-E309&gt;0,OR(C309+D309-E309&lt;O309+P309-Q309,AND(C309+D309-E309=O309+P309-Q309,0&lt;2))),1,0),IF(AND(I309+J309-K309&gt;0,OR(I309+J309-K309&lt;O309+P309-Q309,AND(I309+J309-K309=O309+P309-Q309,1&lt;2))),1,0),IF(AND(U309+V309-W309&gt;0,OR(U309+V309-W309&lt;O309+P309-Q309,AND(U309+V309-W309=O309+P309-Q309,3&lt;2))),1,0),IF(AND(AA309+AB309-AC309&gt;0,OR(AA309+AB309-AC309&lt;O309+P309-Q309,AND(AA309+AB309-AC309=O309+P309-Q309,4&lt;2))),1,0)))</x:f>
        <x:v>99</x:v>
      </x:c>
      <x:c r="S309" s="6" t="n">
        <x:f>IF('Debt strategy'!$C$16&gt;0,0,MIN(O309+P309-Q309,MAX(0,'Debt strategy'!$C$5-SUM(E309,K309,Q309,W309,AC309)-SUM(IF(F309&lt;R309,C309+D309-E309,0),IF(L309&lt;R309,I309+J309-K309,0),IF(X309&lt;R309,U309+V309-W309,0),IF(AD309&lt;R309,AA309+AB309-AC309,0)))))</x:f>
        <x:v>0</x:v>
      </x:c>
      <x:c r="T309" s="6" t="n">
        <x:f>ROUND(MAX(0,O309+P309-Q309-S309),2)</x:f>
        <x:v>0</x:v>
      </x:c>
      <x:c r="U309" s="6" t="n">
        <x:f>Z308</x:f>
        <x:v>0</x:v>
      </x:c>
      <x:c r="V309" s="6" t="n">
        <x:f>ROUND(U309*'Debt strategy'!$D$12/12,2)</x:f>
        <x:v>0</x:v>
      </x:c>
      <x:c r="W309" s="6" t="n">
        <x:f>MIN(U309+V309,'Debt strategy'!$E$12)</x:f>
        <x:v>0</x:v>
      </x:c>
      <x:c r="X309" s="27" t="n">
        <x:f>IF(U309+V309-W309&lt;=0,99,1+SUM(IF(AND(C309+D309-E309&gt;0,OR(C309+D309-E309&lt;U309+V309-W309,AND(C309+D309-E309=U309+V309-W309,0&lt;3))),1,0),IF(AND(I309+J309-K309&gt;0,OR(I309+J309-K309&lt;U309+V309-W309,AND(I309+J309-K309=U309+V309-W309,1&lt;3))),1,0),IF(AND(O309+P309-Q309&gt;0,OR(O309+P309-Q309&lt;U309+V309-W309,AND(O309+P309-Q309=U309+V309-W309,2&lt;3))),1,0),IF(AND(AA309+AB309-AC309&gt;0,OR(AA309+AB309-AC309&lt;U309+V309-W309,AND(AA309+AB309-AC309=U309+V309-W309,4&lt;3))),1,0)))</x:f>
        <x:v>99</x:v>
      </x:c>
      <x:c r="Y309" s="6" t="n">
        <x:f>IF('Debt strategy'!$C$16&gt;0,0,MIN(U309+V309-W309,MAX(0,'Debt strategy'!$C$5-SUM(E309,K309,Q309,W309,AC309)-SUM(IF(F309&lt;X309,C309+D309-E309,0),IF(L309&lt;X309,I309+J309-K309,0),IF(R309&lt;X309,O309+P309-Q309,0),IF(AD309&lt;X309,AA309+AB309-AC309,0)))))</x:f>
        <x:v>0</x:v>
      </x:c>
      <x:c r="Z309" s="6" t="n">
        <x:f>ROUND(MAX(0,U309+V309-W309-Y309),2)</x:f>
        <x:v>0</x:v>
      </x:c>
      <x:c r="AA309" s="6" t="n">
        <x:f>AF308</x:f>
        <x:v>0</x:v>
      </x:c>
      <x:c r="AB309" s="6" t="n">
        <x:f>ROUND(AA309*'Debt strategy'!$D$13/12,2)</x:f>
        <x:v>0</x:v>
      </x:c>
      <x:c r="AC309" s="6" t="n">
        <x:f>MIN(AA309+AB309,'Debt strategy'!$E$13)</x:f>
        <x:v>0</x:v>
      </x:c>
      <x:c r="AD309" s="27" t="n">
        <x:f>IF(AA309+AB309-AC309&lt;=0,99,1+SUM(IF(AND(C309+D309-E309&gt;0,OR(C309+D309-E309&lt;AA309+AB309-AC309,AND(C309+D309-E309=AA309+AB309-AC309,0&lt;4))),1,0),IF(AND(I309+J309-K309&gt;0,OR(I309+J309-K309&lt;AA309+AB309-AC309,AND(I309+J309-K309=AA309+AB309-AC309,1&lt;4))),1,0),IF(AND(O309+P309-Q309&gt;0,OR(O309+P309-Q309&lt;AA309+AB309-AC309,AND(O309+P309-Q309=AA309+AB309-AC309,2&lt;4))),1,0),IF(AND(U309+V309-W309&gt;0,OR(U309+V309-W309&lt;AA309+AB309-AC309,AND(U309+V309-W309=AA309+AB309-AC309,3&lt;4))),1,0)))</x:f>
        <x:v>99</x:v>
      </x:c>
      <x:c r="AE309" s="6" t="n">
        <x:f>IF('Debt strategy'!$C$16&gt;0,0,MIN(AA309+AB309-AC309,MAX(0,'Debt strategy'!$C$5-SUM(E309,K309,Q309,W309,AC309)-SUM(IF(F309&lt;AD309,C309+D309-E309,0),IF(L309&lt;AD309,I309+J309-K309,0),IF(R309&lt;AD309,O309+P309-Q309,0),IF(X309&lt;AD309,U309+V309-W309,0)))))</x:f>
        <x:v>0</x:v>
      </x:c>
      <x:c r="AF309" s="6" t="n">
        <x:f>ROUND(MAX(0,AA309+AB309-AC309-AE309),2)</x:f>
        <x:v>0</x:v>
      </x:c>
      <x:c r="AG309" s="6" t="n">
        <x:f>SUM(H309,N309,T309,Z309,AF309)</x:f>
        <x:v>0</x:v>
      </x:c>
      <x:c r="AH309" s="6" t="n">
        <x:f>SUM(D309,J309,P309,V309,AB309)+AH308</x:f>
        <x:v>1353.9499999999996</x:v>
      </x:c>
      <x:c r="AI309" s="2"/>
    </x:row>
    <x:row r="310" ht="23" customHeight="1">
      <x:c r="B310" s="2" t="n">
        <x:f>302</x:f>
        <x:v>302</x:v>
      </x:c>
      <x:c r="C310" s="6" t="n">
        <x:f>H309</x:f>
        <x:v>0</x:v>
      </x:c>
      <x:c r="D310" s="6" t="n">
        <x:f>ROUND(C310*'Debt strategy'!$D$9/12,2)</x:f>
        <x:v>0</x:v>
      </x:c>
      <x:c r="E310" s="6" t="n">
        <x:f>MIN(C310+D310,'Debt strategy'!$E$9)</x:f>
        <x:v>0</x:v>
      </x:c>
      <x:c r="F310" s="27" t="n">
        <x:f>IF(C310+D310-E310&lt;=0,99,1+SUM(IF(AND(I310+J310-K310&gt;0,OR(I310+J310-K310&lt;C310+D310-E310,AND(I310+J310-K310=C310+D310-E310,1&lt;0))),1,0),IF(AND(O310+P310-Q310&gt;0,OR(O310+P310-Q310&lt;C310+D310-E310,AND(O310+P310-Q310=C310+D310-E310,2&lt;0))),1,0),IF(AND(U310+V310-W310&gt;0,OR(U310+V310-W310&lt;C310+D310-E310,AND(U310+V310-W310=C310+D310-E310,3&lt;0))),1,0),IF(AND(AA310+AB310-AC310&gt;0,OR(AA310+AB310-AC310&lt;C310+D310-E310,AND(AA310+AB310-AC310=C310+D310-E310,4&lt;0))),1,0)))</x:f>
        <x:v>99</x:v>
      </x:c>
      <x:c r="G310" s="6" t="n">
        <x:f>IF('Debt strategy'!$C$16&gt;0,0,MIN(C310+D310-E310,MAX(0,'Debt strategy'!$C$5-SUM(E310,K310,Q310,W310,AC310)-SUM(IF(L310&lt;F310,I310+J310-K310,0),IF(R310&lt;F310,O310+P310-Q310,0),IF(X310&lt;F310,U310+V310-W310,0),IF(AD310&lt;F310,AA310+AB310-AC310,0)))))</x:f>
        <x:v>0</x:v>
      </x:c>
      <x:c r="H310" s="6" t="n">
        <x:f>ROUND(MAX(0,C310+D310-E310-G310),2)</x:f>
        <x:v>0</x:v>
      </x:c>
      <x:c r="I310" s="6" t="n">
        <x:f>N309</x:f>
        <x:v>0</x:v>
      </x:c>
      <x:c r="J310" s="6" t="n">
        <x:f>ROUND(I310*'Debt strategy'!$D$10/12,2)</x:f>
        <x:v>0</x:v>
      </x:c>
      <x:c r="K310" s="6" t="n">
        <x:f>MIN(I310+J310,'Debt strategy'!$E$10)</x:f>
        <x:v>0</x:v>
      </x:c>
      <x:c r="L310" s="27" t="n">
        <x:f>IF(I310+J310-K310&lt;=0,99,1+SUM(IF(AND(C310+D310-E310&gt;0,OR(C310+D310-E310&lt;I310+J310-K310,AND(C310+D310-E310=I310+J310-K310,0&lt;1))),1,0),IF(AND(O310+P310-Q310&gt;0,OR(O310+P310-Q310&lt;I310+J310-K310,AND(O310+P310-Q310=I310+J310-K310,2&lt;1))),1,0),IF(AND(U310+V310-W310&gt;0,OR(U310+V310-W310&lt;I310+J310-K310,AND(U310+V310-W310=I310+J310-K310,3&lt;1))),1,0),IF(AND(AA310+AB310-AC310&gt;0,OR(AA310+AB310-AC310&lt;I310+J310-K310,AND(AA310+AB310-AC310=I310+J310-K310,4&lt;1))),1,0)))</x:f>
        <x:v>99</x:v>
      </x:c>
      <x:c r="M310" s="6" t="n">
        <x:f>IF('Debt strategy'!$C$16&gt;0,0,MIN(I310+J310-K310,MAX(0,'Debt strategy'!$C$5-SUM(E310,K310,Q310,W310,AC310)-SUM(IF(F310&lt;L310,C310+D310-E310,0),IF(R310&lt;L310,O310+P310-Q310,0),IF(X310&lt;L310,U310+V310-W310,0),IF(AD310&lt;L310,AA310+AB310-AC310,0)))))</x:f>
        <x:v>0</x:v>
      </x:c>
      <x:c r="N310" s="6" t="n">
        <x:f>ROUND(MAX(0,I310+J310-K310-M310),2)</x:f>
        <x:v>0</x:v>
      </x:c>
      <x:c r="O310" s="6" t="n">
        <x:f>T309</x:f>
        <x:v>0</x:v>
      </x:c>
      <x:c r="P310" s="6" t="n">
        <x:f>ROUND(O310*'Debt strategy'!$D$11/12,2)</x:f>
        <x:v>0</x:v>
      </x:c>
      <x:c r="Q310" s="6" t="n">
        <x:f>MIN(O310+P310,'Debt strategy'!$E$11)</x:f>
        <x:v>0</x:v>
      </x:c>
      <x:c r="R310" s="27" t="n">
        <x:f>IF(O310+P310-Q310&lt;=0,99,1+SUM(IF(AND(C310+D310-E310&gt;0,OR(C310+D310-E310&lt;O310+P310-Q310,AND(C310+D310-E310=O310+P310-Q310,0&lt;2))),1,0),IF(AND(I310+J310-K310&gt;0,OR(I310+J310-K310&lt;O310+P310-Q310,AND(I310+J310-K310=O310+P310-Q310,1&lt;2))),1,0),IF(AND(U310+V310-W310&gt;0,OR(U310+V310-W310&lt;O310+P310-Q310,AND(U310+V310-W310=O310+P310-Q310,3&lt;2))),1,0),IF(AND(AA310+AB310-AC310&gt;0,OR(AA310+AB310-AC310&lt;O310+P310-Q310,AND(AA310+AB310-AC310=O310+P310-Q310,4&lt;2))),1,0)))</x:f>
        <x:v>99</x:v>
      </x:c>
      <x:c r="S310" s="6" t="n">
        <x:f>IF('Debt strategy'!$C$16&gt;0,0,MIN(O310+P310-Q310,MAX(0,'Debt strategy'!$C$5-SUM(E310,K310,Q310,W310,AC310)-SUM(IF(F310&lt;R310,C310+D310-E310,0),IF(L310&lt;R310,I310+J310-K310,0),IF(X310&lt;R310,U310+V310-W310,0),IF(AD310&lt;R310,AA310+AB310-AC310,0)))))</x:f>
        <x:v>0</x:v>
      </x:c>
      <x:c r="T310" s="6" t="n">
        <x:f>ROUND(MAX(0,O310+P310-Q310-S310),2)</x:f>
        <x:v>0</x:v>
      </x:c>
      <x:c r="U310" s="6" t="n">
        <x:f>Z309</x:f>
        <x:v>0</x:v>
      </x:c>
      <x:c r="V310" s="6" t="n">
        <x:f>ROUND(U310*'Debt strategy'!$D$12/12,2)</x:f>
        <x:v>0</x:v>
      </x:c>
      <x:c r="W310" s="6" t="n">
        <x:f>MIN(U310+V310,'Debt strategy'!$E$12)</x:f>
        <x:v>0</x:v>
      </x:c>
      <x:c r="X310" s="27" t="n">
        <x:f>IF(U310+V310-W310&lt;=0,99,1+SUM(IF(AND(C310+D310-E310&gt;0,OR(C310+D310-E310&lt;U310+V310-W310,AND(C310+D310-E310=U310+V310-W310,0&lt;3))),1,0),IF(AND(I310+J310-K310&gt;0,OR(I310+J310-K310&lt;U310+V310-W310,AND(I310+J310-K310=U310+V310-W310,1&lt;3))),1,0),IF(AND(O310+P310-Q310&gt;0,OR(O310+P310-Q310&lt;U310+V310-W310,AND(O310+P310-Q310=U310+V310-W310,2&lt;3))),1,0),IF(AND(AA310+AB310-AC310&gt;0,OR(AA310+AB310-AC310&lt;U310+V310-W310,AND(AA310+AB310-AC310=U310+V310-W310,4&lt;3))),1,0)))</x:f>
        <x:v>99</x:v>
      </x:c>
      <x:c r="Y310" s="6" t="n">
        <x:f>IF('Debt strategy'!$C$16&gt;0,0,MIN(U310+V310-W310,MAX(0,'Debt strategy'!$C$5-SUM(E310,K310,Q310,W310,AC310)-SUM(IF(F310&lt;X310,C310+D310-E310,0),IF(L310&lt;X310,I310+J310-K310,0),IF(R310&lt;X310,O310+P310-Q310,0),IF(AD310&lt;X310,AA310+AB310-AC310,0)))))</x:f>
        <x:v>0</x:v>
      </x:c>
      <x:c r="Z310" s="6" t="n">
        <x:f>ROUND(MAX(0,U310+V310-W310-Y310),2)</x:f>
        <x:v>0</x:v>
      </x:c>
      <x:c r="AA310" s="6" t="n">
        <x:f>AF309</x:f>
        <x:v>0</x:v>
      </x:c>
      <x:c r="AB310" s="6" t="n">
        <x:f>ROUND(AA310*'Debt strategy'!$D$13/12,2)</x:f>
        <x:v>0</x:v>
      </x:c>
      <x:c r="AC310" s="6" t="n">
        <x:f>MIN(AA310+AB310,'Debt strategy'!$E$13)</x:f>
        <x:v>0</x:v>
      </x:c>
      <x:c r="AD310" s="27" t="n">
        <x:f>IF(AA310+AB310-AC310&lt;=0,99,1+SUM(IF(AND(C310+D310-E310&gt;0,OR(C310+D310-E310&lt;AA310+AB310-AC310,AND(C310+D310-E310=AA310+AB310-AC310,0&lt;4))),1,0),IF(AND(I310+J310-K310&gt;0,OR(I310+J310-K310&lt;AA310+AB310-AC310,AND(I310+J310-K310=AA310+AB310-AC310,1&lt;4))),1,0),IF(AND(O310+P310-Q310&gt;0,OR(O310+P310-Q310&lt;AA310+AB310-AC310,AND(O310+P310-Q310=AA310+AB310-AC310,2&lt;4))),1,0),IF(AND(U310+V310-W310&gt;0,OR(U310+V310-W310&lt;AA310+AB310-AC310,AND(U310+V310-W310=AA310+AB310-AC310,3&lt;4))),1,0)))</x:f>
        <x:v>99</x:v>
      </x:c>
      <x:c r="AE310" s="6" t="n">
        <x:f>IF('Debt strategy'!$C$16&gt;0,0,MIN(AA310+AB310-AC310,MAX(0,'Debt strategy'!$C$5-SUM(E310,K310,Q310,W310,AC310)-SUM(IF(F310&lt;AD310,C310+D310-E310,0),IF(L310&lt;AD310,I310+J310-K310,0),IF(R310&lt;AD310,O310+P310-Q310,0),IF(X310&lt;AD310,U310+V310-W310,0)))))</x:f>
        <x:v>0</x:v>
      </x:c>
      <x:c r="AF310" s="6" t="n">
        <x:f>ROUND(MAX(0,AA310+AB310-AC310-AE310),2)</x:f>
        <x:v>0</x:v>
      </x:c>
      <x:c r="AG310" s="6" t="n">
        <x:f>SUM(H310,N310,T310,Z310,AF310)</x:f>
        <x:v>0</x:v>
      </x:c>
      <x:c r="AH310" s="6" t="n">
        <x:f>SUM(D310,J310,P310,V310,AB310)+AH309</x:f>
        <x:v>1353.9499999999996</x:v>
      </x:c>
      <x:c r="AI310" s="2"/>
    </x:row>
    <x:row r="311" ht="23" customHeight="1">
      <x:c r="B311" s="2" t="n">
        <x:f>303</x:f>
        <x:v>303</x:v>
      </x:c>
      <x:c r="C311" s="6" t="n">
        <x:f>H310</x:f>
        <x:v>0</x:v>
      </x:c>
      <x:c r="D311" s="6" t="n">
        <x:f>ROUND(C311*'Debt strategy'!$D$9/12,2)</x:f>
        <x:v>0</x:v>
      </x:c>
      <x:c r="E311" s="6" t="n">
        <x:f>MIN(C311+D311,'Debt strategy'!$E$9)</x:f>
        <x:v>0</x:v>
      </x:c>
      <x:c r="F311" s="27" t="n">
        <x:f>IF(C311+D311-E311&lt;=0,99,1+SUM(IF(AND(I311+J311-K311&gt;0,OR(I311+J311-K311&lt;C311+D311-E311,AND(I311+J311-K311=C311+D311-E311,1&lt;0))),1,0),IF(AND(O311+P311-Q311&gt;0,OR(O311+P311-Q311&lt;C311+D311-E311,AND(O311+P311-Q311=C311+D311-E311,2&lt;0))),1,0),IF(AND(U311+V311-W311&gt;0,OR(U311+V311-W311&lt;C311+D311-E311,AND(U311+V311-W311=C311+D311-E311,3&lt;0))),1,0),IF(AND(AA311+AB311-AC311&gt;0,OR(AA311+AB311-AC311&lt;C311+D311-E311,AND(AA311+AB311-AC311=C311+D311-E311,4&lt;0))),1,0)))</x:f>
        <x:v>99</x:v>
      </x:c>
      <x:c r="G311" s="6" t="n">
        <x:f>IF('Debt strategy'!$C$16&gt;0,0,MIN(C311+D311-E311,MAX(0,'Debt strategy'!$C$5-SUM(E311,K311,Q311,W311,AC311)-SUM(IF(L311&lt;F311,I311+J311-K311,0),IF(R311&lt;F311,O311+P311-Q311,0),IF(X311&lt;F311,U311+V311-W311,0),IF(AD311&lt;F311,AA311+AB311-AC311,0)))))</x:f>
        <x:v>0</x:v>
      </x:c>
      <x:c r="H311" s="6" t="n">
        <x:f>ROUND(MAX(0,C311+D311-E311-G311),2)</x:f>
        <x:v>0</x:v>
      </x:c>
      <x:c r="I311" s="6" t="n">
        <x:f>N310</x:f>
        <x:v>0</x:v>
      </x:c>
      <x:c r="J311" s="6" t="n">
        <x:f>ROUND(I311*'Debt strategy'!$D$10/12,2)</x:f>
        <x:v>0</x:v>
      </x:c>
      <x:c r="K311" s="6" t="n">
        <x:f>MIN(I311+J311,'Debt strategy'!$E$10)</x:f>
        <x:v>0</x:v>
      </x:c>
      <x:c r="L311" s="27" t="n">
        <x:f>IF(I311+J311-K311&lt;=0,99,1+SUM(IF(AND(C311+D311-E311&gt;0,OR(C311+D311-E311&lt;I311+J311-K311,AND(C311+D311-E311=I311+J311-K311,0&lt;1))),1,0),IF(AND(O311+P311-Q311&gt;0,OR(O311+P311-Q311&lt;I311+J311-K311,AND(O311+P311-Q311=I311+J311-K311,2&lt;1))),1,0),IF(AND(U311+V311-W311&gt;0,OR(U311+V311-W311&lt;I311+J311-K311,AND(U311+V311-W311=I311+J311-K311,3&lt;1))),1,0),IF(AND(AA311+AB311-AC311&gt;0,OR(AA311+AB311-AC311&lt;I311+J311-K311,AND(AA311+AB311-AC311=I311+J311-K311,4&lt;1))),1,0)))</x:f>
        <x:v>99</x:v>
      </x:c>
      <x:c r="M311" s="6" t="n">
        <x:f>IF('Debt strategy'!$C$16&gt;0,0,MIN(I311+J311-K311,MAX(0,'Debt strategy'!$C$5-SUM(E311,K311,Q311,W311,AC311)-SUM(IF(F311&lt;L311,C311+D311-E311,0),IF(R311&lt;L311,O311+P311-Q311,0),IF(X311&lt;L311,U311+V311-W311,0),IF(AD311&lt;L311,AA311+AB311-AC311,0)))))</x:f>
        <x:v>0</x:v>
      </x:c>
      <x:c r="N311" s="6" t="n">
        <x:f>ROUND(MAX(0,I311+J311-K311-M311),2)</x:f>
        <x:v>0</x:v>
      </x:c>
      <x:c r="O311" s="6" t="n">
        <x:f>T310</x:f>
        <x:v>0</x:v>
      </x:c>
      <x:c r="P311" s="6" t="n">
        <x:f>ROUND(O311*'Debt strategy'!$D$11/12,2)</x:f>
        <x:v>0</x:v>
      </x:c>
      <x:c r="Q311" s="6" t="n">
        <x:f>MIN(O311+P311,'Debt strategy'!$E$11)</x:f>
        <x:v>0</x:v>
      </x:c>
      <x:c r="R311" s="27" t="n">
        <x:f>IF(O311+P311-Q311&lt;=0,99,1+SUM(IF(AND(C311+D311-E311&gt;0,OR(C311+D311-E311&lt;O311+P311-Q311,AND(C311+D311-E311=O311+P311-Q311,0&lt;2))),1,0),IF(AND(I311+J311-K311&gt;0,OR(I311+J311-K311&lt;O311+P311-Q311,AND(I311+J311-K311=O311+P311-Q311,1&lt;2))),1,0),IF(AND(U311+V311-W311&gt;0,OR(U311+V311-W311&lt;O311+P311-Q311,AND(U311+V311-W311=O311+P311-Q311,3&lt;2))),1,0),IF(AND(AA311+AB311-AC311&gt;0,OR(AA311+AB311-AC311&lt;O311+P311-Q311,AND(AA311+AB311-AC311=O311+P311-Q311,4&lt;2))),1,0)))</x:f>
        <x:v>99</x:v>
      </x:c>
      <x:c r="S311" s="6" t="n">
        <x:f>IF('Debt strategy'!$C$16&gt;0,0,MIN(O311+P311-Q311,MAX(0,'Debt strategy'!$C$5-SUM(E311,K311,Q311,W311,AC311)-SUM(IF(F311&lt;R311,C311+D311-E311,0),IF(L311&lt;R311,I311+J311-K311,0),IF(X311&lt;R311,U311+V311-W311,0),IF(AD311&lt;R311,AA311+AB311-AC311,0)))))</x:f>
        <x:v>0</x:v>
      </x:c>
      <x:c r="T311" s="6" t="n">
        <x:f>ROUND(MAX(0,O311+P311-Q311-S311),2)</x:f>
        <x:v>0</x:v>
      </x:c>
      <x:c r="U311" s="6" t="n">
        <x:f>Z310</x:f>
        <x:v>0</x:v>
      </x:c>
      <x:c r="V311" s="6" t="n">
        <x:f>ROUND(U311*'Debt strategy'!$D$12/12,2)</x:f>
        <x:v>0</x:v>
      </x:c>
      <x:c r="W311" s="6" t="n">
        <x:f>MIN(U311+V311,'Debt strategy'!$E$12)</x:f>
        <x:v>0</x:v>
      </x:c>
      <x:c r="X311" s="27" t="n">
        <x:f>IF(U311+V311-W311&lt;=0,99,1+SUM(IF(AND(C311+D311-E311&gt;0,OR(C311+D311-E311&lt;U311+V311-W311,AND(C311+D311-E311=U311+V311-W311,0&lt;3))),1,0),IF(AND(I311+J311-K311&gt;0,OR(I311+J311-K311&lt;U311+V311-W311,AND(I311+J311-K311=U311+V311-W311,1&lt;3))),1,0),IF(AND(O311+P311-Q311&gt;0,OR(O311+P311-Q311&lt;U311+V311-W311,AND(O311+P311-Q311=U311+V311-W311,2&lt;3))),1,0),IF(AND(AA311+AB311-AC311&gt;0,OR(AA311+AB311-AC311&lt;U311+V311-W311,AND(AA311+AB311-AC311=U311+V311-W311,4&lt;3))),1,0)))</x:f>
        <x:v>99</x:v>
      </x:c>
      <x:c r="Y311" s="6" t="n">
        <x:f>IF('Debt strategy'!$C$16&gt;0,0,MIN(U311+V311-W311,MAX(0,'Debt strategy'!$C$5-SUM(E311,K311,Q311,W311,AC311)-SUM(IF(F311&lt;X311,C311+D311-E311,0),IF(L311&lt;X311,I311+J311-K311,0),IF(R311&lt;X311,O311+P311-Q311,0),IF(AD311&lt;X311,AA311+AB311-AC311,0)))))</x:f>
        <x:v>0</x:v>
      </x:c>
      <x:c r="Z311" s="6" t="n">
        <x:f>ROUND(MAX(0,U311+V311-W311-Y311),2)</x:f>
        <x:v>0</x:v>
      </x:c>
      <x:c r="AA311" s="6" t="n">
        <x:f>AF310</x:f>
        <x:v>0</x:v>
      </x:c>
      <x:c r="AB311" s="6" t="n">
        <x:f>ROUND(AA311*'Debt strategy'!$D$13/12,2)</x:f>
        <x:v>0</x:v>
      </x:c>
      <x:c r="AC311" s="6" t="n">
        <x:f>MIN(AA311+AB311,'Debt strategy'!$E$13)</x:f>
        <x:v>0</x:v>
      </x:c>
      <x:c r="AD311" s="27" t="n">
        <x:f>IF(AA311+AB311-AC311&lt;=0,99,1+SUM(IF(AND(C311+D311-E311&gt;0,OR(C311+D311-E311&lt;AA311+AB311-AC311,AND(C311+D311-E311=AA311+AB311-AC311,0&lt;4))),1,0),IF(AND(I311+J311-K311&gt;0,OR(I311+J311-K311&lt;AA311+AB311-AC311,AND(I311+J311-K311=AA311+AB311-AC311,1&lt;4))),1,0),IF(AND(O311+P311-Q311&gt;0,OR(O311+P311-Q311&lt;AA311+AB311-AC311,AND(O311+P311-Q311=AA311+AB311-AC311,2&lt;4))),1,0),IF(AND(U311+V311-W311&gt;0,OR(U311+V311-W311&lt;AA311+AB311-AC311,AND(U311+V311-W311=AA311+AB311-AC311,3&lt;4))),1,0)))</x:f>
        <x:v>99</x:v>
      </x:c>
      <x:c r="AE311" s="6" t="n">
        <x:f>IF('Debt strategy'!$C$16&gt;0,0,MIN(AA311+AB311-AC311,MAX(0,'Debt strategy'!$C$5-SUM(E311,K311,Q311,W311,AC311)-SUM(IF(F311&lt;AD311,C311+D311-E311,0),IF(L311&lt;AD311,I311+J311-K311,0),IF(R311&lt;AD311,O311+P311-Q311,0),IF(X311&lt;AD311,U311+V311-W311,0)))))</x:f>
        <x:v>0</x:v>
      </x:c>
      <x:c r="AF311" s="6" t="n">
        <x:f>ROUND(MAX(0,AA311+AB311-AC311-AE311),2)</x:f>
        <x:v>0</x:v>
      </x:c>
      <x:c r="AG311" s="6" t="n">
        <x:f>SUM(H311,N311,T311,Z311,AF311)</x:f>
        <x:v>0</x:v>
      </x:c>
      <x:c r="AH311" s="6" t="n">
        <x:f>SUM(D311,J311,P311,V311,AB311)+AH310</x:f>
        <x:v>1353.9499999999996</x:v>
      </x:c>
      <x:c r="AI311" s="2"/>
    </x:row>
    <x:row r="312" ht="23" customHeight="1">
      <x:c r="B312" s="2" t="n">
        <x:f>304</x:f>
        <x:v>304</x:v>
      </x:c>
      <x:c r="C312" s="6" t="n">
        <x:f>H311</x:f>
        <x:v>0</x:v>
      </x:c>
      <x:c r="D312" s="6" t="n">
        <x:f>ROUND(C312*'Debt strategy'!$D$9/12,2)</x:f>
        <x:v>0</x:v>
      </x:c>
      <x:c r="E312" s="6" t="n">
        <x:f>MIN(C312+D312,'Debt strategy'!$E$9)</x:f>
        <x:v>0</x:v>
      </x:c>
      <x:c r="F312" s="27" t="n">
        <x:f>IF(C312+D312-E312&lt;=0,99,1+SUM(IF(AND(I312+J312-K312&gt;0,OR(I312+J312-K312&lt;C312+D312-E312,AND(I312+J312-K312=C312+D312-E312,1&lt;0))),1,0),IF(AND(O312+P312-Q312&gt;0,OR(O312+P312-Q312&lt;C312+D312-E312,AND(O312+P312-Q312=C312+D312-E312,2&lt;0))),1,0),IF(AND(U312+V312-W312&gt;0,OR(U312+V312-W312&lt;C312+D312-E312,AND(U312+V312-W312=C312+D312-E312,3&lt;0))),1,0),IF(AND(AA312+AB312-AC312&gt;0,OR(AA312+AB312-AC312&lt;C312+D312-E312,AND(AA312+AB312-AC312=C312+D312-E312,4&lt;0))),1,0)))</x:f>
        <x:v>99</x:v>
      </x:c>
      <x:c r="G312" s="6" t="n">
        <x:f>IF('Debt strategy'!$C$16&gt;0,0,MIN(C312+D312-E312,MAX(0,'Debt strategy'!$C$5-SUM(E312,K312,Q312,W312,AC312)-SUM(IF(L312&lt;F312,I312+J312-K312,0),IF(R312&lt;F312,O312+P312-Q312,0),IF(X312&lt;F312,U312+V312-W312,0),IF(AD312&lt;F312,AA312+AB312-AC312,0)))))</x:f>
        <x:v>0</x:v>
      </x:c>
      <x:c r="H312" s="6" t="n">
        <x:f>ROUND(MAX(0,C312+D312-E312-G312),2)</x:f>
        <x:v>0</x:v>
      </x:c>
      <x:c r="I312" s="6" t="n">
        <x:f>N311</x:f>
        <x:v>0</x:v>
      </x:c>
      <x:c r="J312" s="6" t="n">
        <x:f>ROUND(I312*'Debt strategy'!$D$10/12,2)</x:f>
        <x:v>0</x:v>
      </x:c>
      <x:c r="K312" s="6" t="n">
        <x:f>MIN(I312+J312,'Debt strategy'!$E$10)</x:f>
        <x:v>0</x:v>
      </x:c>
      <x:c r="L312" s="27" t="n">
        <x:f>IF(I312+J312-K312&lt;=0,99,1+SUM(IF(AND(C312+D312-E312&gt;0,OR(C312+D312-E312&lt;I312+J312-K312,AND(C312+D312-E312=I312+J312-K312,0&lt;1))),1,0),IF(AND(O312+P312-Q312&gt;0,OR(O312+P312-Q312&lt;I312+J312-K312,AND(O312+P312-Q312=I312+J312-K312,2&lt;1))),1,0),IF(AND(U312+V312-W312&gt;0,OR(U312+V312-W312&lt;I312+J312-K312,AND(U312+V312-W312=I312+J312-K312,3&lt;1))),1,0),IF(AND(AA312+AB312-AC312&gt;0,OR(AA312+AB312-AC312&lt;I312+J312-K312,AND(AA312+AB312-AC312=I312+J312-K312,4&lt;1))),1,0)))</x:f>
        <x:v>99</x:v>
      </x:c>
      <x:c r="M312" s="6" t="n">
        <x:f>IF('Debt strategy'!$C$16&gt;0,0,MIN(I312+J312-K312,MAX(0,'Debt strategy'!$C$5-SUM(E312,K312,Q312,W312,AC312)-SUM(IF(F312&lt;L312,C312+D312-E312,0),IF(R312&lt;L312,O312+P312-Q312,0),IF(X312&lt;L312,U312+V312-W312,0),IF(AD312&lt;L312,AA312+AB312-AC312,0)))))</x:f>
        <x:v>0</x:v>
      </x:c>
      <x:c r="N312" s="6" t="n">
        <x:f>ROUND(MAX(0,I312+J312-K312-M312),2)</x:f>
        <x:v>0</x:v>
      </x:c>
      <x:c r="O312" s="6" t="n">
        <x:f>T311</x:f>
        <x:v>0</x:v>
      </x:c>
      <x:c r="P312" s="6" t="n">
        <x:f>ROUND(O312*'Debt strategy'!$D$11/12,2)</x:f>
        <x:v>0</x:v>
      </x:c>
      <x:c r="Q312" s="6" t="n">
        <x:f>MIN(O312+P312,'Debt strategy'!$E$11)</x:f>
        <x:v>0</x:v>
      </x:c>
      <x:c r="R312" s="27" t="n">
        <x:f>IF(O312+P312-Q312&lt;=0,99,1+SUM(IF(AND(C312+D312-E312&gt;0,OR(C312+D312-E312&lt;O312+P312-Q312,AND(C312+D312-E312=O312+P312-Q312,0&lt;2))),1,0),IF(AND(I312+J312-K312&gt;0,OR(I312+J312-K312&lt;O312+P312-Q312,AND(I312+J312-K312=O312+P312-Q312,1&lt;2))),1,0),IF(AND(U312+V312-W312&gt;0,OR(U312+V312-W312&lt;O312+P312-Q312,AND(U312+V312-W312=O312+P312-Q312,3&lt;2))),1,0),IF(AND(AA312+AB312-AC312&gt;0,OR(AA312+AB312-AC312&lt;O312+P312-Q312,AND(AA312+AB312-AC312=O312+P312-Q312,4&lt;2))),1,0)))</x:f>
        <x:v>99</x:v>
      </x:c>
      <x:c r="S312" s="6" t="n">
        <x:f>IF('Debt strategy'!$C$16&gt;0,0,MIN(O312+P312-Q312,MAX(0,'Debt strategy'!$C$5-SUM(E312,K312,Q312,W312,AC312)-SUM(IF(F312&lt;R312,C312+D312-E312,0),IF(L312&lt;R312,I312+J312-K312,0),IF(X312&lt;R312,U312+V312-W312,0),IF(AD312&lt;R312,AA312+AB312-AC312,0)))))</x:f>
        <x:v>0</x:v>
      </x:c>
      <x:c r="T312" s="6" t="n">
        <x:f>ROUND(MAX(0,O312+P312-Q312-S312),2)</x:f>
        <x:v>0</x:v>
      </x:c>
      <x:c r="U312" s="6" t="n">
        <x:f>Z311</x:f>
        <x:v>0</x:v>
      </x:c>
      <x:c r="V312" s="6" t="n">
        <x:f>ROUND(U312*'Debt strategy'!$D$12/12,2)</x:f>
        <x:v>0</x:v>
      </x:c>
      <x:c r="W312" s="6" t="n">
        <x:f>MIN(U312+V312,'Debt strategy'!$E$12)</x:f>
        <x:v>0</x:v>
      </x:c>
      <x:c r="X312" s="27" t="n">
        <x:f>IF(U312+V312-W312&lt;=0,99,1+SUM(IF(AND(C312+D312-E312&gt;0,OR(C312+D312-E312&lt;U312+V312-W312,AND(C312+D312-E312=U312+V312-W312,0&lt;3))),1,0),IF(AND(I312+J312-K312&gt;0,OR(I312+J312-K312&lt;U312+V312-W312,AND(I312+J312-K312=U312+V312-W312,1&lt;3))),1,0),IF(AND(O312+P312-Q312&gt;0,OR(O312+P312-Q312&lt;U312+V312-W312,AND(O312+P312-Q312=U312+V312-W312,2&lt;3))),1,0),IF(AND(AA312+AB312-AC312&gt;0,OR(AA312+AB312-AC312&lt;U312+V312-W312,AND(AA312+AB312-AC312=U312+V312-W312,4&lt;3))),1,0)))</x:f>
        <x:v>99</x:v>
      </x:c>
      <x:c r="Y312" s="6" t="n">
        <x:f>IF('Debt strategy'!$C$16&gt;0,0,MIN(U312+V312-W312,MAX(0,'Debt strategy'!$C$5-SUM(E312,K312,Q312,W312,AC312)-SUM(IF(F312&lt;X312,C312+D312-E312,0),IF(L312&lt;X312,I312+J312-K312,0),IF(R312&lt;X312,O312+P312-Q312,0),IF(AD312&lt;X312,AA312+AB312-AC312,0)))))</x:f>
        <x:v>0</x:v>
      </x:c>
      <x:c r="Z312" s="6" t="n">
        <x:f>ROUND(MAX(0,U312+V312-W312-Y312),2)</x:f>
        <x:v>0</x:v>
      </x:c>
      <x:c r="AA312" s="6" t="n">
        <x:f>AF311</x:f>
        <x:v>0</x:v>
      </x:c>
      <x:c r="AB312" s="6" t="n">
        <x:f>ROUND(AA312*'Debt strategy'!$D$13/12,2)</x:f>
        <x:v>0</x:v>
      </x:c>
      <x:c r="AC312" s="6" t="n">
        <x:f>MIN(AA312+AB312,'Debt strategy'!$E$13)</x:f>
        <x:v>0</x:v>
      </x:c>
      <x:c r="AD312" s="27" t="n">
        <x:f>IF(AA312+AB312-AC312&lt;=0,99,1+SUM(IF(AND(C312+D312-E312&gt;0,OR(C312+D312-E312&lt;AA312+AB312-AC312,AND(C312+D312-E312=AA312+AB312-AC312,0&lt;4))),1,0),IF(AND(I312+J312-K312&gt;0,OR(I312+J312-K312&lt;AA312+AB312-AC312,AND(I312+J312-K312=AA312+AB312-AC312,1&lt;4))),1,0),IF(AND(O312+P312-Q312&gt;0,OR(O312+P312-Q312&lt;AA312+AB312-AC312,AND(O312+P312-Q312=AA312+AB312-AC312,2&lt;4))),1,0),IF(AND(U312+V312-W312&gt;0,OR(U312+V312-W312&lt;AA312+AB312-AC312,AND(U312+V312-W312=AA312+AB312-AC312,3&lt;4))),1,0)))</x:f>
        <x:v>99</x:v>
      </x:c>
      <x:c r="AE312" s="6" t="n">
        <x:f>IF('Debt strategy'!$C$16&gt;0,0,MIN(AA312+AB312-AC312,MAX(0,'Debt strategy'!$C$5-SUM(E312,K312,Q312,W312,AC312)-SUM(IF(F312&lt;AD312,C312+D312-E312,0),IF(L312&lt;AD312,I312+J312-K312,0),IF(R312&lt;AD312,O312+P312-Q312,0),IF(X312&lt;AD312,U312+V312-W312,0)))))</x:f>
        <x:v>0</x:v>
      </x:c>
      <x:c r="AF312" s="6" t="n">
        <x:f>ROUND(MAX(0,AA312+AB312-AC312-AE312),2)</x:f>
        <x:v>0</x:v>
      </x:c>
      <x:c r="AG312" s="6" t="n">
        <x:f>SUM(H312,N312,T312,Z312,AF312)</x:f>
        <x:v>0</x:v>
      </x:c>
      <x:c r="AH312" s="6" t="n">
        <x:f>SUM(D312,J312,P312,V312,AB312)+AH311</x:f>
        <x:v>1353.9499999999996</x:v>
      </x:c>
      <x:c r="AI312" s="2"/>
    </x:row>
    <x:row r="313" ht="23" customHeight="1">
      <x:c r="B313" s="2" t="n">
        <x:f>305</x:f>
        <x:v>305</x:v>
      </x:c>
      <x:c r="C313" s="6" t="n">
        <x:f>H312</x:f>
        <x:v>0</x:v>
      </x:c>
      <x:c r="D313" s="6" t="n">
        <x:f>ROUND(C313*'Debt strategy'!$D$9/12,2)</x:f>
        <x:v>0</x:v>
      </x:c>
      <x:c r="E313" s="6" t="n">
        <x:f>MIN(C313+D313,'Debt strategy'!$E$9)</x:f>
        <x:v>0</x:v>
      </x:c>
      <x:c r="F313" s="27" t="n">
        <x:f>IF(C313+D313-E313&lt;=0,99,1+SUM(IF(AND(I313+J313-K313&gt;0,OR(I313+J313-K313&lt;C313+D313-E313,AND(I313+J313-K313=C313+D313-E313,1&lt;0))),1,0),IF(AND(O313+P313-Q313&gt;0,OR(O313+P313-Q313&lt;C313+D313-E313,AND(O313+P313-Q313=C313+D313-E313,2&lt;0))),1,0),IF(AND(U313+V313-W313&gt;0,OR(U313+V313-W313&lt;C313+D313-E313,AND(U313+V313-W313=C313+D313-E313,3&lt;0))),1,0),IF(AND(AA313+AB313-AC313&gt;0,OR(AA313+AB313-AC313&lt;C313+D313-E313,AND(AA313+AB313-AC313=C313+D313-E313,4&lt;0))),1,0)))</x:f>
        <x:v>99</x:v>
      </x:c>
      <x:c r="G313" s="6" t="n">
        <x:f>IF('Debt strategy'!$C$16&gt;0,0,MIN(C313+D313-E313,MAX(0,'Debt strategy'!$C$5-SUM(E313,K313,Q313,W313,AC313)-SUM(IF(L313&lt;F313,I313+J313-K313,0),IF(R313&lt;F313,O313+P313-Q313,0),IF(X313&lt;F313,U313+V313-W313,0),IF(AD313&lt;F313,AA313+AB313-AC313,0)))))</x:f>
        <x:v>0</x:v>
      </x:c>
      <x:c r="H313" s="6" t="n">
        <x:f>ROUND(MAX(0,C313+D313-E313-G313),2)</x:f>
        <x:v>0</x:v>
      </x:c>
      <x:c r="I313" s="6" t="n">
        <x:f>N312</x:f>
        <x:v>0</x:v>
      </x:c>
      <x:c r="J313" s="6" t="n">
        <x:f>ROUND(I313*'Debt strategy'!$D$10/12,2)</x:f>
        <x:v>0</x:v>
      </x:c>
      <x:c r="K313" s="6" t="n">
        <x:f>MIN(I313+J313,'Debt strategy'!$E$10)</x:f>
        <x:v>0</x:v>
      </x:c>
      <x:c r="L313" s="27" t="n">
        <x:f>IF(I313+J313-K313&lt;=0,99,1+SUM(IF(AND(C313+D313-E313&gt;0,OR(C313+D313-E313&lt;I313+J313-K313,AND(C313+D313-E313=I313+J313-K313,0&lt;1))),1,0),IF(AND(O313+P313-Q313&gt;0,OR(O313+P313-Q313&lt;I313+J313-K313,AND(O313+P313-Q313=I313+J313-K313,2&lt;1))),1,0),IF(AND(U313+V313-W313&gt;0,OR(U313+V313-W313&lt;I313+J313-K313,AND(U313+V313-W313=I313+J313-K313,3&lt;1))),1,0),IF(AND(AA313+AB313-AC313&gt;0,OR(AA313+AB313-AC313&lt;I313+J313-K313,AND(AA313+AB313-AC313=I313+J313-K313,4&lt;1))),1,0)))</x:f>
        <x:v>99</x:v>
      </x:c>
      <x:c r="M313" s="6" t="n">
        <x:f>IF('Debt strategy'!$C$16&gt;0,0,MIN(I313+J313-K313,MAX(0,'Debt strategy'!$C$5-SUM(E313,K313,Q313,W313,AC313)-SUM(IF(F313&lt;L313,C313+D313-E313,0),IF(R313&lt;L313,O313+P313-Q313,0),IF(X313&lt;L313,U313+V313-W313,0),IF(AD313&lt;L313,AA313+AB313-AC313,0)))))</x:f>
        <x:v>0</x:v>
      </x:c>
      <x:c r="N313" s="6" t="n">
        <x:f>ROUND(MAX(0,I313+J313-K313-M313),2)</x:f>
        <x:v>0</x:v>
      </x:c>
      <x:c r="O313" s="6" t="n">
        <x:f>T312</x:f>
        <x:v>0</x:v>
      </x:c>
      <x:c r="P313" s="6" t="n">
        <x:f>ROUND(O313*'Debt strategy'!$D$11/12,2)</x:f>
        <x:v>0</x:v>
      </x:c>
      <x:c r="Q313" s="6" t="n">
        <x:f>MIN(O313+P313,'Debt strategy'!$E$11)</x:f>
        <x:v>0</x:v>
      </x:c>
      <x:c r="R313" s="27" t="n">
        <x:f>IF(O313+P313-Q313&lt;=0,99,1+SUM(IF(AND(C313+D313-E313&gt;0,OR(C313+D313-E313&lt;O313+P313-Q313,AND(C313+D313-E313=O313+P313-Q313,0&lt;2))),1,0),IF(AND(I313+J313-K313&gt;0,OR(I313+J313-K313&lt;O313+P313-Q313,AND(I313+J313-K313=O313+P313-Q313,1&lt;2))),1,0),IF(AND(U313+V313-W313&gt;0,OR(U313+V313-W313&lt;O313+P313-Q313,AND(U313+V313-W313=O313+P313-Q313,3&lt;2))),1,0),IF(AND(AA313+AB313-AC313&gt;0,OR(AA313+AB313-AC313&lt;O313+P313-Q313,AND(AA313+AB313-AC313=O313+P313-Q313,4&lt;2))),1,0)))</x:f>
        <x:v>99</x:v>
      </x:c>
      <x:c r="S313" s="6" t="n">
        <x:f>IF('Debt strategy'!$C$16&gt;0,0,MIN(O313+P313-Q313,MAX(0,'Debt strategy'!$C$5-SUM(E313,K313,Q313,W313,AC313)-SUM(IF(F313&lt;R313,C313+D313-E313,0),IF(L313&lt;R313,I313+J313-K313,0),IF(X313&lt;R313,U313+V313-W313,0),IF(AD313&lt;R313,AA313+AB313-AC313,0)))))</x:f>
        <x:v>0</x:v>
      </x:c>
      <x:c r="T313" s="6" t="n">
        <x:f>ROUND(MAX(0,O313+P313-Q313-S313),2)</x:f>
        <x:v>0</x:v>
      </x:c>
      <x:c r="U313" s="6" t="n">
        <x:f>Z312</x:f>
        <x:v>0</x:v>
      </x:c>
      <x:c r="V313" s="6" t="n">
        <x:f>ROUND(U313*'Debt strategy'!$D$12/12,2)</x:f>
        <x:v>0</x:v>
      </x:c>
      <x:c r="W313" s="6" t="n">
        <x:f>MIN(U313+V313,'Debt strategy'!$E$12)</x:f>
        <x:v>0</x:v>
      </x:c>
      <x:c r="X313" s="27" t="n">
        <x:f>IF(U313+V313-W313&lt;=0,99,1+SUM(IF(AND(C313+D313-E313&gt;0,OR(C313+D313-E313&lt;U313+V313-W313,AND(C313+D313-E313=U313+V313-W313,0&lt;3))),1,0),IF(AND(I313+J313-K313&gt;0,OR(I313+J313-K313&lt;U313+V313-W313,AND(I313+J313-K313=U313+V313-W313,1&lt;3))),1,0),IF(AND(O313+P313-Q313&gt;0,OR(O313+P313-Q313&lt;U313+V313-W313,AND(O313+P313-Q313=U313+V313-W313,2&lt;3))),1,0),IF(AND(AA313+AB313-AC313&gt;0,OR(AA313+AB313-AC313&lt;U313+V313-W313,AND(AA313+AB313-AC313=U313+V313-W313,4&lt;3))),1,0)))</x:f>
        <x:v>99</x:v>
      </x:c>
      <x:c r="Y313" s="6" t="n">
        <x:f>IF('Debt strategy'!$C$16&gt;0,0,MIN(U313+V313-W313,MAX(0,'Debt strategy'!$C$5-SUM(E313,K313,Q313,W313,AC313)-SUM(IF(F313&lt;X313,C313+D313-E313,0),IF(L313&lt;X313,I313+J313-K313,0),IF(R313&lt;X313,O313+P313-Q313,0),IF(AD313&lt;X313,AA313+AB313-AC313,0)))))</x:f>
        <x:v>0</x:v>
      </x:c>
      <x:c r="Z313" s="6" t="n">
        <x:f>ROUND(MAX(0,U313+V313-W313-Y313),2)</x:f>
        <x:v>0</x:v>
      </x:c>
      <x:c r="AA313" s="6" t="n">
        <x:f>AF312</x:f>
        <x:v>0</x:v>
      </x:c>
      <x:c r="AB313" s="6" t="n">
        <x:f>ROUND(AA313*'Debt strategy'!$D$13/12,2)</x:f>
        <x:v>0</x:v>
      </x:c>
      <x:c r="AC313" s="6" t="n">
        <x:f>MIN(AA313+AB313,'Debt strategy'!$E$13)</x:f>
        <x:v>0</x:v>
      </x:c>
      <x:c r="AD313" s="27" t="n">
        <x:f>IF(AA313+AB313-AC313&lt;=0,99,1+SUM(IF(AND(C313+D313-E313&gt;0,OR(C313+D313-E313&lt;AA313+AB313-AC313,AND(C313+D313-E313=AA313+AB313-AC313,0&lt;4))),1,0),IF(AND(I313+J313-K313&gt;0,OR(I313+J313-K313&lt;AA313+AB313-AC313,AND(I313+J313-K313=AA313+AB313-AC313,1&lt;4))),1,0),IF(AND(O313+P313-Q313&gt;0,OR(O313+P313-Q313&lt;AA313+AB313-AC313,AND(O313+P313-Q313=AA313+AB313-AC313,2&lt;4))),1,0),IF(AND(U313+V313-W313&gt;0,OR(U313+V313-W313&lt;AA313+AB313-AC313,AND(U313+V313-W313=AA313+AB313-AC313,3&lt;4))),1,0)))</x:f>
        <x:v>99</x:v>
      </x:c>
      <x:c r="AE313" s="6" t="n">
        <x:f>IF('Debt strategy'!$C$16&gt;0,0,MIN(AA313+AB313-AC313,MAX(0,'Debt strategy'!$C$5-SUM(E313,K313,Q313,W313,AC313)-SUM(IF(F313&lt;AD313,C313+D313-E313,0),IF(L313&lt;AD313,I313+J313-K313,0),IF(R313&lt;AD313,O313+P313-Q313,0),IF(X313&lt;AD313,U313+V313-W313,0)))))</x:f>
        <x:v>0</x:v>
      </x:c>
      <x:c r="AF313" s="6" t="n">
        <x:f>ROUND(MAX(0,AA313+AB313-AC313-AE313),2)</x:f>
        <x:v>0</x:v>
      </x:c>
      <x:c r="AG313" s="6" t="n">
        <x:f>SUM(H313,N313,T313,Z313,AF313)</x:f>
        <x:v>0</x:v>
      </x:c>
      <x:c r="AH313" s="6" t="n">
        <x:f>SUM(D313,J313,P313,V313,AB313)+AH312</x:f>
        <x:v>1353.9499999999996</x:v>
      </x:c>
      <x:c r="AI313" s="2"/>
    </x:row>
    <x:row r="314" ht="23" customHeight="1">
      <x:c r="B314" s="2" t="n">
        <x:f>306</x:f>
        <x:v>306</x:v>
      </x:c>
      <x:c r="C314" s="6" t="n">
        <x:f>H313</x:f>
        <x:v>0</x:v>
      </x:c>
      <x:c r="D314" s="6" t="n">
        <x:f>ROUND(C314*'Debt strategy'!$D$9/12,2)</x:f>
        <x:v>0</x:v>
      </x:c>
      <x:c r="E314" s="6" t="n">
        <x:f>MIN(C314+D314,'Debt strategy'!$E$9)</x:f>
        <x:v>0</x:v>
      </x:c>
      <x:c r="F314" s="27" t="n">
        <x:f>IF(C314+D314-E314&lt;=0,99,1+SUM(IF(AND(I314+J314-K314&gt;0,OR(I314+J314-K314&lt;C314+D314-E314,AND(I314+J314-K314=C314+D314-E314,1&lt;0))),1,0),IF(AND(O314+P314-Q314&gt;0,OR(O314+P314-Q314&lt;C314+D314-E314,AND(O314+P314-Q314=C314+D314-E314,2&lt;0))),1,0),IF(AND(U314+V314-W314&gt;0,OR(U314+V314-W314&lt;C314+D314-E314,AND(U314+V314-W314=C314+D314-E314,3&lt;0))),1,0),IF(AND(AA314+AB314-AC314&gt;0,OR(AA314+AB314-AC314&lt;C314+D314-E314,AND(AA314+AB314-AC314=C314+D314-E314,4&lt;0))),1,0)))</x:f>
        <x:v>99</x:v>
      </x:c>
      <x:c r="G314" s="6" t="n">
        <x:f>IF('Debt strategy'!$C$16&gt;0,0,MIN(C314+D314-E314,MAX(0,'Debt strategy'!$C$5-SUM(E314,K314,Q314,W314,AC314)-SUM(IF(L314&lt;F314,I314+J314-K314,0),IF(R314&lt;F314,O314+P314-Q314,0),IF(X314&lt;F314,U314+V314-W314,0),IF(AD314&lt;F314,AA314+AB314-AC314,0)))))</x:f>
        <x:v>0</x:v>
      </x:c>
      <x:c r="H314" s="6" t="n">
        <x:f>ROUND(MAX(0,C314+D314-E314-G314),2)</x:f>
        <x:v>0</x:v>
      </x:c>
      <x:c r="I314" s="6" t="n">
        <x:f>N313</x:f>
        <x:v>0</x:v>
      </x:c>
      <x:c r="J314" s="6" t="n">
        <x:f>ROUND(I314*'Debt strategy'!$D$10/12,2)</x:f>
        <x:v>0</x:v>
      </x:c>
      <x:c r="K314" s="6" t="n">
        <x:f>MIN(I314+J314,'Debt strategy'!$E$10)</x:f>
        <x:v>0</x:v>
      </x:c>
      <x:c r="L314" s="27" t="n">
        <x:f>IF(I314+J314-K314&lt;=0,99,1+SUM(IF(AND(C314+D314-E314&gt;0,OR(C314+D314-E314&lt;I314+J314-K314,AND(C314+D314-E314=I314+J314-K314,0&lt;1))),1,0),IF(AND(O314+P314-Q314&gt;0,OR(O314+P314-Q314&lt;I314+J314-K314,AND(O314+P314-Q314=I314+J314-K314,2&lt;1))),1,0),IF(AND(U314+V314-W314&gt;0,OR(U314+V314-W314&lt;I314+J314-K314,AND(U314+V314-W314=I314+J314-K314,3&lt;1))),1,0),IF(AND(AA314+AB314-AC314&gt;0,OR(AA314+AB314-AC314&lt;I314+J314-K314,AND(AA314+AB314-AC314=I314+J314-K314,4&lt;1))),1,0)))</x:f>
        <x:v>99</x:v>
      </x:c>
      <x:c r="M314" s="6" t="n">
        <x:f>IF('Debt strategy'!$C$16&gt;0,0,MIN(I314+J314-K314,MAX(0,'Debt strategy'!$C$5-SUM(E314,K314,Q314,W314,AC314)-SUM(IF(F314&lt;L314,C314+D314-E314,0),IF(R314&lt;L314,O314+P314-Q314,0),IF(X314&lt;L314,U314+V314-W314,0),IF(AD314&lt;L314,AA314+AB314-AC314,0)))))</x:f>
        <x:v>0</x:v>
      </x:c>
      <x:c r="N314" s="6" t="n">
        <x:f>ROUND(MAX(0,I314+J314-K314-M314),2)</x:f>
        <x:v>0</x:v>
      </x:c>
      <x:c r="O314" s="6" t="n">
        <x:f>T313</x:f>
        <x:v>0</x:v>
      </x:c>
      <x:c r="P314" s="6" t="n">
        <x:f>ROUND(O314*'Debt strategy'!$D$11/12,2)</x:f>
        <x:v>0</x:v>
      </x:c>
      <x:c r="Q314" s="6" t="n">
        <x:f>MIN(O314+P314,'Debt strategy'!$E$11)</x:f>
        <x:v>0</x:v>
      </x:c>
      <x:c r="R314" s="27" t="n">
        <x:f>IF(O314+P314-Q314&lt;=0,99,1+SUM(IF(AND(C314+D314-E314&gt;0,OR(C314+D314-E314&lt;O314+P314-Q314,AND(C314+D314-E314=O314+P314-Q314,0&lt;2))),1,0),IF(AND(I314+J314-K314&gt;0,OR(I314+J314-K314&lt;O314+P314-Q314,AND(I314+J314-K314=O314+P314-Q314,1&lt;2))),1,0),IF(AND(U314+V314-W314&gt;0,OR(U314+V314-W314&lt;O314+P314-Q314,AND(U314+V314-W314=O314+P314-Q314,3&lt;2))),1,0),IF(AND(AA314+AB314-AC314&gt;0,OR(AA314+AB314-AC314&lt;O314+P314-Q314,AND(AA314+AB314-AC314=O314+P314-Q314,4&lt;2))),1,0)))</x:f>
        <x:v>99</x:v>
      </x:c>
      <x:c r="S314" s="6" t="n">
        <x:f>IF('Debt strategy'!$C$16&gt;0,0,MIN(O314+P314-Q314,MAX(0,'Debt strategy'!$C$5-SUM(E314,K314,Q314,W314,AC314)-SUM(IF(F314&lt;R314,C314+D314-E314,0),IF(L314&lt;R314,I314+J314-K314,0),IF(X314&lt;R314,U314+V314-W314,0),IF(AD314&lt;R314,AA314+AB314-AC314,0)))))</x:f>
        <x:v>0</x:v>
      </x:c>
      <x:c r="T314" s="6" t="n">
        <x:f>ROUND(MAX(0,O314+P314-Q314-S314),2)</x:f>
        <x:v>0</x:v>
      </x:c>
      <x:c r="U314" s="6" t="n">
        <x:f>Z313</x:f>
        <x:v>0</x:v>
      </x:c>
      <x:c r="V314" s="6" t="n">
        <x:f>ROUND(U314*'Debt strategy'!$D$12/12,2)</x:f>
        <x:v>0</x:v>
      </x:c>
      <x:c r="W314" s="6" t="n">
        <x:f>MIN(U314+V314,'Debt strategy'!$E$12)</x:f>
        <x:v>0</x:v>
      </x:c>
      <x:c r="X314" s="27" t="n">
        <x:f>IF(U314+V314-W314&lt;=0,99,1+SUM(IF(AND(C314+D314-E314&gt;0,OR(C314+D314-E314&lt;U314+V314-W314,AND(C314+D314-E314=U314+V314-W314,0&lt;3))),1,0),IF(AND(I314+J314-K314&gt;0,OR(I314+J314-K314&lt;U314+V314-W314,AND(I314+J314-K314=U314+V314-W314,1&lt;3))),1,0),IF(AND(O314+P314-Q314&gt;0,OR(O314+P314-Q314&lt;U314+V314-W314,AND(O314+P314-Q314=U314+V314-W314,2&lt;3))),1,0),IF(AND(AA314+AB314-AC314&gt;0,OR(AA314+AB314-AC314&lt;U314+V314-W314,AND(AA314+AB314-AC314=U314+V314-W314,4&lt;3))),1,0)))</x:f>
        <x:v>99</x:v>
      </x:c>
      <x:c r="Y314" s="6" t="n">
        <x:f>IF('Debt strategy'!$C$16&gt;0,0,MIN(U314+V314-W314,MAX(0,'Debt strategy'!$C$5-SUM(E314,K314,Q314,W314,AC314)-SUM(IF(F314&lt;X314,C314+D314-E314,0),IF(L314&lt;X314,I314+J314-K314,0),IF(R314&lt;X314,O314+P314-Q314,0),IF(AD314&lt;X314,AA314+AB314-AC314,0)))))</x:f>
        <x:v>0</x:v>
      </x:c>
      <x:c r="Z314" s="6" t="n">
        <x:f>ROUND(MAX(0,U314+V314-W314-Y314),2)</x:f>
        <x:v>0</x:v>
      </x:c>
      <x:c r="AA314" s="6" t="n">
        <x:f>AF313</x:f>
        <x:v>0</x:v>
      </x:c>
      <x:c r="AB314" s="6" t="n">
        <x:f>ROUND(AA314*'Debt strategy'!$D$13/12,2)</x:f>
        <x:v>0</x:v>
      </x:c>
      <x:c r="AC314" s="6" t="n">
        <x:f>MIN(AA314+AB314,'Debt strategy'!$E$13)</x:f>
        <x:v>0</x:v>
      </x:c>
      <x:c r="AD314" s="27" t="n">
        <x:f>IF(AA314+AB314-AC314&lt;=0,99,1+SUM(IF(AND(C314+D314-E314&gt;0,OR(C314+D314-E314&lt;AA314+AB314-AC314,AND(C314+D314-E314=AA314+AB314-AC314,0&lt;4))),1,0),IF(AND(I314+J314-K314&gt;0,OR(I314+J314-K314&lt;AA314+AB314-AC314,AND(I314+J314-K314=AA314+AB314-AC314,1&lt;4))),1,0),IF(AND(O314+P314-Q314&gt;0,OR(O314+P314-Q314&lt;AA314+AB314-AC314,AND(O314+P314-Q314=AA314+AB314-AC314,2&lt;4))),1,0),IF(AND(U314+V314-W314&gt;0,OR(U314+V314-W314&lt;AA314+AB314-AC314,AND(U314+V314-W314=AA314+AB314-AC314,3&lt;4))),1,0)))</x:f>
        <x:v>99</x:v>
      </x:c>
      <x:c r="AE314" s="6" t="n">
        <x:f>IF('Debt strategy'!$C$16&gt;0,0,MIN(AA314+AB314-AC314,MAX(0,'Debt strategy'!$C$5-SUM(E314,K314,Q314,W314,AC314)-SUM(IF(F314&lt;AD314,C314+D314-E314,0),IF(L314&lt;AD314,I314+J314-K314,0),IF(R314&lt;AD314,O314+P314-Q314,0),IF(X314&lt;AD314,U314+V314-W314,0)))))</x:f>
        <x:v>0</x:v>
      </x:c>
      <x:c r="AF314" s="6" t="n">
        <x:f>ROUND(MAX(0,AA314+AB314-AC314-AE314),2)</x:f>
        <x:v>0</x:v>
      </x:c>
      <x:c r="AG314" s="6" t="n">
        <x:f>SUM(H314,N314,T314,Z314,AF314)</x:f>
        <x:v>0</x:v>
      </x:c>
      <x:c r="AH314" s="6" t="n">
        <x:f>SUM(D314,J314,P314,V314,AB314)+AH313</x:f>
        <x:v>1353.9499999999996</x:v>
      </x:c>
      <x:c r="AI314" s="2"/>
    </x:row>
    <x:row r="315" ht="23" customHeight="1">
      <x:c r="B315" s="2" t="n">
        <x:f>307</x:f>
        <x:v>307</x:v>
      </x:c>
      <x:c r="C315" s="6" t="n">
        <x:f>H314</x:f>
        <x:v>0</x:v>
      </x:c>
      <x:c r="D315" s="6" t="n">
        <x:f>ROUND(C315*'Debt strategy'!$D$9/12,2)</x:f>
        <x:v>0</x:v>
      </x:c>
      <x:c r="E315" s="6" t="n">
        <x:f>MIN(C315+D315,'Debt strategy'!$E$9)</x:f>
        <x:v>0</x:v>
      </x:c>
      <x:c r="F315" s="27" t="n">
        <x:f>IF(C315+D315-E315&lt;=0,99,1+SUM(IF(AND(I315+J315-K315&gt;0,OR(I315+J315-K315&lt;C315+D315-E315,AND(I315+J315-K315=C315+D315-E315,1&lt;0))),1,0),IF(AND(O315+P315-Q315&gt;0,OR(O315+P315-Q315&lt;C315+D315-E315,AND(O315+P315-Q315=C315+D315-E315,2&lt;0))),1,0),IF(AND(U315+V315-W315&gt;0,OR(U315+V315-W315&lt;C315+D315-E315,AND(U315+V315-W315=C315+D315-E315,3&lt;0))),1,0),IF(AND(AA315+AB315-AC315&gt;0,OR(AA315+AB315-AC315&lt;C315+D315-E315,AND(AA315+AB315-AC315=C315+D315-E315,4&lt;0))),1,0)))</x:f>
        <x:v>99</x:v>
      </x:c>
      <x:c r="G315" s="6" t="n">
        <x:f>IF('Debt strategy'!$C$16&gt;0,0,MIN(C315+D315-E315,MAX(0,'Debt strategy'!$C$5-SUM(E315,K315,Q315,W315,AC315)-SUM(IF(L315&lt;F315,I315+J315-K315,0),IF(R315&lt;F315,O315+P315-Q315,0),IF(X315&lt;F315,U315+V315-W315,0),IF(AD315&lt;F315,AA315+AB315-AC315,0)))))</x:f>
        <x:v>0</x:v>
      </x:c>
      <x:c r="H315" s="6" t="n">
        <x:f>ROUND(MAX(0,C315+D315-E315-G315),2)</x:f>
        <x:v>0</x:v>
      </x:c>
      <x:c r="I315" s="6" t="n">
        <x:f>N314</x:f>
        <x:v>0</x:v>
      </x:c>
      <x:c r="J315" s="6" t="n">
        <x:f>ROUND(I315*'Debt strategy'!$D$10/12,2)</x:f>
        <x:v>0</x:v>
      </x:c>
      <x:c r="K315" s="6" t="n">
        <x:f>MIN(I315+J315,'Debt strategy'!$E$10)</x:f>
        <x:v>0</x:v>
      </x:c>
      <x:c r="L315" s="27" t="n">
        <x:f>IF(I315+J315-K315&lt;=0,99,1+SUM(IF(AND(C315+D315-E315&gt;0,OR(C315+D315-E315&lt;I315+J315-K315,AND(C315+D315-E315=I315+J315-K315,0&lt;1))),1,0),IF(AND(O315+P315-Q315&gt;0,OR(O315+P315-Q315&lt;I315+J315-K315,AND(O315+P315-Q315=I315+J315-K315,2&lt;1))),1,0),IF(AND(U315+V315-W315&gt;0,OR(U315+V315-W315&lt;I315+J315-K315,AND(U315+V315-W315=I315+J315-K315,3&lt;1))),1,0),IF(AND(AA315+AB315-AC315&gt;0,OR(AA315+AB315-AC315&lt;I315+J315-K315,AND(AA315+AB315-AC315=I315+J315-K315,4&lt;1))),1,0)))</x:f>
        <x:v>99</x:v>
      </x:c>
      <x:c r="M315" s="6" t="n">
        <x:f>IF('Debt strategy'!$C$16&gt;0,0,MIN(I315+J315-K315,MAX(0,'Debt strategy'!$C$5-SUM(E315,K315,Q315,W315,AC315)-SUM(IF(F315&lt;L315,C315+D315-E315,0),IF(R315&lt;L315,O315+P315-Q315,0),IF(X315&lt;L315,U315+V315-W315,0),IF(AD315&lt;L315,AA315+AB315-AC315,0)))))</x:f>
        <x:v>0</x:v>
      </x:c>
      <x:c r="N315" s="6" t="n">
        <x:f>ROUND(MAX(0,I315+J315-K315-M315),2)</x:f>
        <x:v>0</x:v>
      </x:c>
      <x:c r="O315" s="6" t="n">
        <x:f>T314</x:f>
        <x:v>0</x:v>
      </x:c>
      <x:c r="P315" s="6" t="n">
        <x:f>ROUND(O315*'Debt strategy'!$D$11/12,2)</x:f>
        <x:v>0</x:v>
      </x:c>
      <x:c r="Q315" s="6" t="n">
        <x:f>MIN(O315+P315,'Debt strategy'!$E$11)</x:f>
        <x:v>0</x:v>
      </x:c>
      <x:c r="R315" s="27" t="n">
        <x:f>IF(O315+P315-Q315&lt;=0,99,1+SUM(IF(AND(C315+D315-E315&gt;0,OR(C315+D315-E315&lt;O315+P315-Q315,AND(C315+D315-E315=O315+P315-Q315,0&lt;2))),1,0),IF(AND(I315+J315-K315&gt;0,OR(I315+J315-K315&lt;O315+P315-Q315,AND(I315+J315-K315=O315+P315-Q315,1&lt;2))),1,0),IF(AND(U315+V315-W315&gt;0,OR(U315+V315-W315&lt;O315+P315-Q315,AND(U315+V315-W315=O315+P315-Q315,3&lt;2))),1,0),IF(AND(AA315+AB315-AC315&gt;0,OR(AA315+AB315-AC315&lt;O315+P315-Q315,AND(AA315+AB315-AC315=O315+P315-Q315,4&lt;2))),1,0)))</x:f>
        <x:v>99</x:v>
      </x:c>
      <x:c r="S315" s="6" t="n">
        <x:f>IF('Debt strategy'!$C$16&gt;0,0,MIN(O315+P315-Q315,MAX(0,'Debt strategy'!$C$5-SUM(E315,K315,Q315,W315,AC315)-SUM(IF(F315&lt;R315,C315+D315-E315,0),IF(L315&lt;R315,I315+J315-K315,0),IF(X315&lt;R315,U315+V315-W315,0),IF(AD315&lt;R315,AA315+AB315-AC315,0)))))</x:f>
        <x:v>0</x:v>
      </x:c>
      <x:c r="T315" s="6" t="n">
        <x:f>ROUND(MAX(0,O315+P315-Q315-S315),2)</x:f>
        <x:v>0</x:v>
      </x:c>
      <x:c r="U315" s="6" t="n">
        <x:f>Z314</x:f>
        <x:v>0</x:v>
      </x:c>
      <x:c r="V315" s="6" t="n">
        <x:f>ROUND(U315*'Debt strategy'!$D$12/12,2)</x:f>
        <x:v>0</x:v>
      </x:c>
      <x:c r="W315" s="6" t="n">
        <x:f>MIN(U315+V315,'Debt strategy'!$E$12)</x:f>
        <x:v>0</x:v>
      </x:c>
      <x:c r="X315" s="27" t="n">
        <x:f>IF(U315+V315-W315&lt;=0,99,1+SUM(IF(AND(C315+D315-E315&gt;0,OR(C315+D315-E315&lt;U315+V315-W315,AND(C315+D315-E315=U315+V315-W315,0&lt;3))),1,0),IF(AND(I315+J315-K315&gt;0,OR(I315+J315-K315&lt;U315+V315-W315,AND(I315+J315-K315=U315+V315-W315,1&lt;3))),1,0),IF(AND(O315+P315-Q315&gt;0,OR(O315+P315-Q315&lt;U315+V315-W315,AND(O315+P315-Q315=U315+V315-W315,2&lt;3))),1,0),IF(AND(AA315+AB315-AC315&gt;0,OR(AA315+AB315-AC315&lt;U315+V315-W315,AND(AA315+AB315-AC315=U315+V315-W315,4&lt;3))),1,0)))</x:f>
        <x:v>99</x:v>
      </x:c>
      <x:c r="Y315" s="6" t="n">
        <x:f>IF('Debt strategy'!$C$16&gt;0,0,MIN(U315+V315-W315,MAX(0,'Debt strategy'!$C$5-SUM(E315,K315,Q315,W315,AC315)-SUM(IF(F315&lt;X315,C315+D315-E315,0),IF(L315&lt;X315,I315+J315-K315,0),IF(R315&lt;X315,O315+P315-Q315,0),IF(AD315&lt;X315,AA315+AB315-AC315,0)))))</x:f>
        <x:v>0</x:v>
      </x:c>
      <x:c r="Z315" s="6" t="n">
        <x:f>ROUND(MAX(0,U315+V315-W315-Y315),2)</x:f>
        <x:v>0</x:v>
      </x:c>
      <x:c r="AA315" s="6" t="n">
        <x:f>AF314</x:f>
        <x:v>0</x:v>
      </x:c>
      <x:c r="AB315" s="6" t="n">
        <x:f>ROUND(AA315*'Debt strategy'!$D$13/12,2)</x:f>
        <x:v>0</x:v>
      </x:c>
      <x:c r="AC315" s="6" t="n">
        <x:f>MIN(AA315+AB315,'Debt strategy'!$E$13)</x:f>
        <x:v>0</x:v>
      </x:c>
      <x:c r="AD315" s="27" t="n">
        <x:f>IF(AA315+AB315-AC315&lt;=0,99,1+SUM(IF(AND(C315+D315-E315&gt;0,OR(C315+D315-E315&lt;AA315+AB315-AC315,AND(C315+D315-E315=AA315+AB315-AC315,0&lt;4))),1,0),IF(AND(I315+J315-K315&gt;0,OR(I315+J315-K315&lt;AA315+AB315-AC315,AND(I315+J315-K315=AA315+AB315-AC315,1&lt;4))),1,0),IF(AND(O315+P315-Q315&gt;0,OR(O315+P315-Q315&lt;AA315+AB315-AC315,AND(O315+P315-Q315=AA315+AB315-AC315,2&lt;4))),1,0),IF(AND(U315+V315-W315&gt;0,OR(U315+V315-W315&lt;AA315+AB315-AC315,AND(U315+V315-W315=AA315+AB315-AC315,3&lt;4))),1,0)))</x:f>
        <x:v>99</x:v>
      </x:c>
      <x:c r="AE315" s="6" t="n">
        <x:f>IF('Debt strategy'!$C$16&gt;0,0,MIN(AA315+AB315-AC315,MAX(0,'Debt strategy'!$C$5-SUM(E315,K315,Q315,W315,AC315)-SUM(IF(F315&lt;AD315,C315+D315-E315,0),IF(L315&lt;AD315,I315+J315-K315,0),IF(R315&lt;AD315,O315+P315-Q315,0),IF(X315&lt;AD315,U315+V315-W315,0)))))</x:f>
        <x:v>0</x:v>
      </x:c>
      <x:c r="AF315" s="6" t="n">
        <x:f>ROUND(MAX(0,AA315+AB315-AC315-AE315),2)</x:f>
        <x:v>0</x:v>
      </x:c>
      <x:c r="AG315" s="6" t="n">
        <x:f>SUM(H315,N315,T315,Z315,AF315)</x:f>
        <x:v>0</x:v>
      </x:c>
      <x:c r="AH315" s="6" t="n">
        <x:f>SUM(D315,J315,P315,V315,AB315)+AH314</x:f>
        <x:v>1353.9499999999996</x:v>
      </x:c>
      <x:c r="AI315" s="2"/>
    </x:row>
    <x:row r="316" ht="23" customHeight="1">
      <x:c r="B316" s="2" t="n">
        <x:f>308</x:f>
        <x:v>308</x:v>
      </x:c>
      <x:c r="C316" s="6" t="n">
        <x:f>H315</x:f>
        <x:v>0</x:v>
      </x:c>
      <x:c r="D316" s="6" t="n">
        <x:f>ROUND(C316*'Debt strategy'!$D$9/12,2)</x:f>
        <x:v>0</x:v>
      </x:c>
      <x:c r="E316" s="6" t="n">
        <x:f>MIN(C316+D316,'Debt strategy'!$E$9)</x:f>
        <x:v>0</x:v>
      </x:c>
      <x:c r="F316" s="27" t="n">
        <x:f>IF(C316+D316-E316&lt;=0,99,1+SUM(IF(AND(I316+J316-K316&gt;0,OR(I316+J316-K316&lt;C316+D316-E316,AND(I316+J316-K316=C316+D316-E316,1&lt;0))),1,0),IF(AND(O316+P316-Q316&gt;0,OR(O316+P316-Q316&lt;C316+D316-E316,AND(O316+P316-Q316=C316+D316-E316,2&lt;0))),1,0),IF(AND(U316+V316-W316&gt;0,OR(U316+V316-W316&lt;C316+D316-E316,AND(U316+V316-W316=C316+D316-E316,3&lt;0))),1,0),IF(AND(AA316+AB316-AC316&gt;0,OR(AA316+AB316-AC316&lt;C316+D316-E316,AND(AA316+AB316-AC316=C316+D316-E316,4&lt;0))),1,0)))</x:f>
        <x:v>99</x:v>
      </x:c>
      <x:c r="G316" s="6" t="n">
        <x:f>IF('Debt strategy'!$C$16&gt;0,0,MIN(C316+D316-E316,MAX(0,'Debt strategy'!$C$5-SUM(E316,K316,Q316,W316,AC316)-SUM(IF(L316&lt;F316,I316+J316-K316,0),IF(R316&lt;F316,O316+P316-Q316,0),IF(X316&lt;F316,U316+V316-W316,0),IF(AD316&lt;F316,AA316+AB316-AC316,0)))))</x:f>
        <x:v>0</x:v>
      </x:c>
      <x:c r="H316" s="6" t="n">
        <x:f>ROUND(MAX(0,C316+D316-E316-G316),2)</x:f>
        <x:v>0</x:v>
      </x:c>
      <x:c r="I316" s="6" t="n">
        <x:f>N315</x:f>
        <x:v>0</x:v>
      </x:c>
      <x:c r="J316" s="6" t="n">
        <x:f>ROUND(I316*'Debt strategy'!$D$10/12,2)</x:f>
        <x:v>0</x:v>
      </x:c>
      <x:c r="K316" s="6" t="n">
        <x:f>MIN(I316+J316,'Debt strategy'!$E$10)</x:f>
        <x:v>0</x:v>
      </x:c>
      <x:c r="L316" s="27" t="n">
        <x:f>IF(I316+J316-K316&lt;=0,99,1+SUM(IF(AND(C316+D316-E316&gt;0,OR(C316+D316-E316&lt;I316+J316-K316,AND(C316+D316-E316=I316+J316-K316,0&lt;1))),1,0),IF(AND(O316+P316-Q316&gt;0,OR(O316+P316-Q316&lt;I316+J316-K316,AND(O316+P316-Q316=I316+J316-K316,2&lt;1))),1,0),IF(AND(U316+V316-W316&gt;0,OR(U316+V316-W316&lt;I316+J316-K316,AND(U316+V316-W316=I316+J316-K316,3&lt;1))),1,0),IF(AND(AA316+AB316-AC316&gt;0,OR(AA316+AB316-AC316&lt;I316+J316-K316,AND(AA316+AB316-AC316=I316+J316-K316,4&lt;1))),1,0)))</x:f>
        <x:v>99</x:v>
      </x:c>
      <x:c r="M316" s="6" t="n">
        <x:f>IF('Debt strategy'!$C$16&gt;0,0,MIN(I316+J316-K316,MAX(0,'Debt strategy'!$C$5-SUM(E316,K316,Q316,W316,AC316)-SUM(IF(F316&lt;L316,C316+D316-E316,0),IF(R316&lt;L316,O316+P316-Q316,0),IF(X316&lt;L316,U316+V316-W316,0),IF(AD316&lt;L316,AA316+AB316-AC316,0)))))</x:f>
        <x:v>0</x:v>
      </x:c>
      <x:c r="N316" s="6" t="n">
        <x:f>ROUND(MAX(0,I316+J316-K316-M316),2)</x:f>
        <x:v>0</x:v>
      </x:c>
      <x:c r="O316" s="6" t="n">
        <x:f>T315</x:f>
        <x:v>0</x:v>
      </x:c>
      <x:c r="P316" s="6" t="n">
        <x:f>ROUND(O316*'Debt strategy'!$D$11/12,2)</x:f>
        <x:v>0</x:v>
      </x:c>
      <x:c r="Q316" s="6" t="n">
        <x:f>MIN(O316+P316,'Debt strategy'!$E$11)</x:f>
        <x:v>0</x:v>
      </x:c>
      <x:c r="R316" s="27" t="n">
        <x:f>IF(O316+P316-Q316&lt;=0,99,1+SUM(IF(AND(C316+D316-E316&gt;0,OR(C316+D316-E316&lt;O316+P316-Q316,AND(C316+D316-E316=O316+P316-Q316,0&lt;2))),1,0),IF(AND(I316+J316-K316&gt;0,OR(I316+J316-K316&lt;O316+P316-Q316,AND(I316+J316-K316=O316+P316-Q316,1&lt;2))),1,0),IF(AND(U316+V316-W316&gt;0,OR(U316+V316-W316&lt;O316+P316-Q316,AND(U316+V316-W316=O316+P316-Q316,3&lt;2))),1,0),IF(AND(AA316+AB316-AC316&gt;0,OR(AA316+AB316-AC316&lt;O316+P316-Q316,AND(AA316+AB316-AC316=O316+P316-Q316,4&lt;2))),1,0)))</x:f>
        <x:v>99</x:v>
      </x:c>
      <x:c r="S316" s="6" t="n">
        <x:f>IF('Debt strategy'!$C$16&gt;0,0,MIN(O316+P316-Q316,MAX(0,'Debt strategy'!$C$5-SUM(E316,K316,Q316,W316,AC316)-SUM(IF(F316&lt;R316,C316+D316-E316,0),IF(L316&lt;R316,I316+J316-K316,0),IF(X316&lt;R316,U316+V316-W316,0),IF(AD316&lt;R316,AA316+AB316-AC316,0)))))</x:f>
        <x:v>0</x:v>
      </x:c>
      <x:c r="T316" s="6" t="n">
        <x:f>ROUND(MAX(0,O316+P316-Q316-S316),2)</x:f>
        <x:v>0</x:v>
      </x:c>
      <x:c r="U316" s="6" t="n">
        <x:f>Z315</x:f>
        <x:v>0</x:v>
      </x:c>
      <x:c r="V316" s="6" t="n">
        <x:f>ROUND(U316*'Debt strategy'!$D$12/12,2)</x:f>
        <x:v>0</x:v>
      </x:c>
      <x:c r="W316" s="6" t="n">
        <x:f>MIN(U316+V316,'Debt strategy'!$E$12)</x:f>
        <x:v>0</x:v>
      </x:c>
      <x:c r="X316" s="27" t="n">
        <x:f>IF(U316+V316-W316&lt;=0,99,1+SUM(IF(AND(C316+D316-E316&gt;0,OR(C316+D316-E316&lt;U316+V316-W316,AND(C316+D316-E316=U316+V316-W316,0&lt;3))),1,0),IF(AND(I316+J316-K316&gt;0,OR(I316+J316-K316&lt;U316+V316-W316,AND(I316+J316-K316=U316+V316-W316,1&lt;3))),1,0),IF(AND(O316+P316-Q316&gt;0,OR(O316+P316-Q316&lt;U316+V316-W316,AND(O316+P316-Q316=U316+V316-W316,2&lt;3))),1,0),IF(AND(AA316+AB316-AC316&gt;0,OR(AA316+AB316-AC316&lt;U316+V316-W316,AND(AA316+AB316-AC316=U316+V316-W316,4&lt;3))),1,0)))</x:f>
        <x:v>99</x:v>
      </x:c>
      <x:c r="Y316" s="6" t="n">
        <x:f>IF('Debt strategy'!$C$16&gt;0,0,MIN(U316+V316-W316,MAX(0,'Debt strategy'!$C$5-SUM(E316,K316,Q316,W316,AC316)-SUM(IF(F316&lt;X316,C316+D316-E316,0),IF(L316&lt;X316,I316+J316-K316,0),IF(R316&lt;X316,O316+P316-Q316,0),IF(AD316&lt;X316,AA316+AB316-AC316,0)))))</x:f>
        <x:v>0</x:v>
      </x:c>
      <x:c r="Z316" s="6" t="n">
        <x:f>ROUND(MAX(0,U316+V316-W316-Y316),2)</x:f>
        <x:v>0</x:v>
      </x:c>
      <x:c r="AA316" s="6" t="n">
        <x:f>AF315</x:f>
        <x:v>0</x:v>
      </x:c>
      <x:c r="AB316" s="6" t="n">
        <x:f>ROUND(AA316*'Debt strategy'!$D$13/12,2)</x:f>
        <x:v>0</x:v>
      </x:c>
      <x:c r="AC316" s="6" t="n">
        <x:f>MIN(AA316+AB316,'Debt strategy'!$E$13)</x:f>
        <x:v>0</x:v>
      </x:c>
      <x:c r="AD316" s="27" t="n">
        <x:f>IF(AA316+AB316-AC316&lt;=0,99,1+SUM(IF(AND(C316+D316-E316&gt;0,OR(C316+D316-E316&lt;AA316+AB316-AC316,AND(C316+D316-E316=AA316+AB316-AC316,0&lt;4))),1,0),IF(AND(I316+J316-K316&gt;0,OR(I316+J316-K316&lt;AA316+AB316-AC316,AND(I316+J316-K316=AA316+AB316-AC316,1&lt;4))),1,0),IF(AND(O316+P316-Q316&gt;0,OR(O316+P316-Q316&lt;AA316+AB316-AC316,AND(O316+P316-Q316=AA316+AB316-AC316,2&lt;4))),1,0),IF(AND(U316+V316-W316&gt;0,OR(U316+V316-W316&lt;AA316+AB316-AC316,AND(U316+V316-W316=AA316+AB316-AC316,3&lt;4))),1,0)))</x:f>
        <x:v>99</x:v>
      </x:c>
      <x:c r="AE316" s="6" t="n">
        <x:f>IF('Debt strategy'!$C$16&gt;0,0,MIN(AA316+AB316-AC316,MAX(0,'Debt strategy'!$C$5-SUM(E316,K316,Q316,W316,AC316)-SUM(IF(F316&lt;AD316,C316+D316-E316,0),IF(L316&lt;AD316,I316+J316-K316,0),IF(R316&lt;AD316,O316+P316-Q316,0),IF(X316&lt;AD316,U316+V316-W316,0)))))</x:f>
        <x:v>0</x:v>
      </x:c>
      <x:c r="AF316" s="6" t="n">
        <x:f>ROUND(MAX(0,AA316+AB316-AC316-AE316),2)</x:f>
        <x:v>0</x:v>
      </x:c>
      <x:c r="AG316" s="6" t="n">
        <x:f>SUM(H316,N316,T316,Z316,AF316)</x:f>
        <x:v>0</x:v>
      </x:c>
      <x:c r="AH316" s="6" t="n">
        <x:f>SUM(D316,J316,P316,V316,AB316)+AH315</x:f>
        <x:v>1353.9499999999996</x:v>
      </x:c>
      <x:c r="AI316" s="2"/>
    </x:row>
    <x:row r="317" ht="23" customHeight="1">
      <x:c r="B317" s="2" t="n">
        <x:f>309</x:f>
        <x:v>309</x:v>
      </x:c>
      <x:c r="C317" s="6" t="n">
        <x:f>H316</x:f>
        <x:v>0</x:v>
      </x:c>
      <x:c r="D317" s="6" t="n">
        <x:f>ROUND(C317*'Debt strategy'!$D$9/12,2)</x:f>
        <x:v>0</x:v>
      </x:c>
      <x:c r="E317" s="6" t="n">
        <x:f>MIN(C317+D317,'Debt strategy'!$E$9)</x:f>
        <x:v>0</x:v>
      </x:c>
      <x:c r="F317" s="27" t="n">
        <x:f>IF(C317+D317-E317&lt;=0,99,1+SUM(IF(AND(I317+J317-K317&gt;0,OR(I317+J317-K317&lt;C317+D317-E317,AND(I317+J317-K317=C317+D317-E317,1&lt;0))),1,0),IF(AND(O317+P317-Q317&gt;0,OR(O317+P317-Q317&lt;C317+D317-E317,AND(O317+P317-Q317=C317+D317-E317,2&lt;0))),1,0),IF(AND(U317+V317-W317&gt;0,OR(U317+V317-W317&lt;C317+D317-E317,AND(U317+V317-W317=C317+D317-E317,3&lt;0))),1,0),IF(AND(AA317+AB317-AC317&gt;0,OR(AA317+AB317-AC317&lt;C317+D317-E317,AND(AA317+AB317-AC317=C317+D317-E317,4&lt;0))),1,0)))</x:f>
        <x:v>99</x:v>
      </x:c>
      <x:c r="G317" s="6" t="n">
        <x:f>IF('Debt strategy'!$C$16&gt;0,0,MIN(C317+D317-E317,MAX(0,'Debt strategy'!$C$5-SUM(E317,K317,Q317,W317,AC317)-SUM(IF(L317&lt;F317,I317+J317-K317,0),IF(R317&lt;F317,O317+P317-Q317,0),IF(X317&lt;F317,U317+V317-W317,0),IF(AD317&lt;F317,AA317+AB317-AC317,0)))))</x:f>
        <x:v>0</x:v>
      </x:c>
      <x:c r="H317" s="6" t="n">
        <x:f>ROUND(MAX(0,C317+D317-E317-G317),2)</x:f>
        <x:v>0</x:v>
      </x:c>
      <x:c r="I317" s="6" t="n">
        <x:f>N316</x:f>
        <x:v>0</x:v>
      </x:c>
      <x:c r="J317" s="6" t="n">
        <x:f>ROUND(I317*'Debt strategy'!$D$10/12,2)</x:f>
        <x:v>0</x:v>
      </x:c>
      <x:c r="K317" s="6" t="n">
        <x:f>MIN(I317+J317,'Debt strategy'!$E$10)</x:f>
        <x:v>0</x:v>
      </x:c>
      <x:c r="L317" s="27" t="n">
        <x:f>IF(I317+J317-K317&lt;=0,99,1+SUM(IF(AND(C317+D317-E317&gt;0,OR(C317+D317-E317&lt;I317+J317-K317,AND(C317+D317-E317=I317+J317-K317,0&lt;1))),1,0),IF(AND(O317+P317-Q317&gt;0,OR(O317+P317-Q317&lt;I317+J317-K317,AND(O317+P317-Q317=I317+J317-K317,2&lt;1))),1,0),IF(AND(U317+V317-W317&gt;0,OR(U317+V317-W317&lt;I317+J317-K317,AND(U317+V317-W317=I317+J317-K317,3&lt;1))),1,0),IF(AND(AA317+AB317-AC317&gt;0,OR(AA317+AB317-AC317&lt;I317+J317-K317,AND(AA317+AB317-AC317=I317+J317-K317,4&lt;1))),1,0)))</x:f>
        <x:v>99</x:v>
      </x:c>
      <x:c r="M317" s="6" t="n">
        <x:f>IF('Debt strategy'!$C$16&gt;0,0,MIN(I317+J317-K317,MAX(0,'Debt strategy'!$C$5-SUM(E317,K317,Q317,W317,AC317)-SUM(IF(F317&lt;L317,C317+D317-E317,0),IF(R317&lt;L317,O317+P317-Q317,0),IF(X317&lt;L317,U317+V317-W317,0),IF(AD317&lt;L317,AA317+AB317-AC317,0)))))</x:f>
        <x:v>0</x:v>
      </x:c>
      <x:c r="N317" s="6" t="n">
        <x:f>ROUND(MAX(0,I317+J317-K317-M317),2)</x:f>
        <x:v>0</x:v>
      </x:c>
      <x:c r="O317" s="6" t="n">
        <x:f>T316</x:f>
        <x:v>0</x:v>
      </x:c>
      <x:c r="P317" s="6" t="n">
        <x:f>ROUND(O317*'Debt strategy'!$D$11/12,2)</x:f>
        <x:v>0</x:v>
      </x:c>
      <x:c r="Q317" s="6" t="n">
        <x:f>MIN(O317+P317,'Debt strategy'!$E$11)</x:f>
        <x:v>0</x:v>
      </x:c>
      <x:c r="R317" s="27" t="n">
        <x:f>IF(O317+P317-Q317&lt;=0,99,1+SUM(IF(AND(C317+D317-E317&gt;0,OR(C317+D317-E317&lt;O317+P317-Q317,AND(C317+D317-E317=O317+P317-Q317,0&lt;2))),1,0),IF(AND(I317+J317-K317&gt;0,OR(I317+J317-K317&lt;O317+P317-Q317,AND(I317+J317-K317=O317+P317-Q317,1&lt;2))),1,0),IF(AND(U317+V317-W317&gt;0,OR(U317+V317-W317&lt;O317+P317-Q317,AND(U317+V317-W317=O317+P317-Q317,3&lt;2))),1,0),IF(AND(AA317+AB317-AC317&gt;0,OR(AA317+AB317-AC317&lt;O317+P317-Q317,AND(AA317+AB317-AC317=O317+P317-Q317,4&lt;2))),1,0)))</x:f>
        <x:v>99</x:v>
      </x:c>
      <x:c r="S317" s="6" t="n">
        <x:f>IF('Debt strategy'!$C$16&gt;0,0,MIN(O317+P317-Q317,MAX(0,'Debt strategy'!$C$5-SUM(E317,K317,Q317,W317,AC317)-SUM(IF(F317&lt;R317,C317+D317-E317,0),IF(L317&lt;R317,I317+J317-K317,0),IF(X317&lt;R317,U317+V317-W317,0),IF(AD317&lt;R317,AA317+AB317-AC317,0)))))</x:f>
        <x:v>0</x:v>
      </x:c>
      <x:c r="T317" s="6" t="n">
        <x:f>ROUND(MAX(0,O317+P317-Q317-S317),2)</x:f>
        <x:v>0</x:v>
      </x:c>
      <x:c r="U317" s="6" t="n">
        <x:f>Z316</x:f>
        <x:v>0</x:v>
      </x:c>
      <x:c r="V317" s="6" t="n">
        <x:f>ROUND(U317*'Debt strategy'!$D$12/12,2)</x:f>
        <x:v>0</x:v>
      </x:c>
      <x:c r="W317" s="6" t="n">
        <x:f>MIN(U317+V317,'Debt strategy'!$E$12)</x:f>
        <x:v>0</x:v>
      </x:c>
      <x:c r="X317" s="27" t="n">
        <x:f>IF(U317+V317-W317&lt;=0,99,1+SUM(IF(AND(C317+D317-E317&gt;0,OR(C317+D317-E317&lt;U317+V317-W317,AND(C317+D317-E317=U317+V317-W317,0&lt;3))),1,0),IF(AND(I317+J317-K317&gt;0,OR(I317+J317-K317&lt;U317+V317-W317,AND(I317+J317-K317=U317+V317-W317,1&lt;3))),1,0),IF(AND(O317+P317-Q317&gt;0,OR(O317+P317-Q317&lt;U317+V317-W317,AND(O317+P317-Q317=U317+V317-W317,2&lt;3))),1,0),IF(AND(AA317+AB317-AC317&gt;0,OR(AA317+AB317-AC317&lt;U317+V317-W317,AND(AA317+AB317-AC317=U317+V317-W317,4&lt;3))),1,0)))</x:f>
        <x:v>99</x:v>
      </x:c>
      <x:c r="Y317" s="6" t="n">
        <x:f>IF('Debt strategy'!$C$16&gt;0,0,MIN(U317+V317-W317,MAX(0,'Debt strategy'!$C$5-SUM(E317,K317,Q317,W317,AC317)-SUM(IF(F317&lt;X317,C317+D317-E317,0),IF(L317&lt;X317,I317+J317-K317,0),IF(R317&lt;X317,O317+P317-Q317,0),IF(AD317&lt;X317,AA317+AB317-AC317,0)))))</x:f>
        <x:v>0</x:v>
      </x:c>
      <x:c r="Z317" s="6" t="n">
        <x:f>ROUND(MAX(0,U317+V317-W317-Y317),2)</x:f>
        <x:v>0</x:v>
      </x:c>
      <x:c r="AA317" s="6" t="n">
        <x:f>AF316</x:f>
        <x:v>0</x:v>
      </x:c>
      <x:c r="AB317" s="6" t="n">
        <x:f>ROUND(AA317*'Debt strategy'!$D$13/12,2)</x:f>
        <x:v>0</x:v>
      </x:c>
      <x:c r="AC317" s="6" t="n">
        <x:f>MIN(AA317+AB317,'Debt strategy'!$E$13)</x:f>
        <x:v>0</x:v>
      </x:c>
      <x:c r="AD317" s="27" t="n">
        <x:f>IF(AA317+AB317-AC317&lt;=0,99,1+SUM(IF(AND(C317+D317-E317&gt;0,OR(C317+D317-E317&lt;AA317+AB317-AC317,AND(C317+D317-E317=AA317+AB317-AC317,0&lt;4))),1,0),IF(AND(I317+J317-K317&gt;0,OR(I317+J317-K317&lt;AA317+AB317-AC317,AND(I317+J317-K317=AA317+AB317-AC317,1&lt;4))),1,0),IF(AND(O317+P317-Q317&gt;0,OR(O317+P317-Q317&lt;AA317+AB317-AC317,AND(O317+P317-Q317=AA317+AB317-AC317,2&lt;4))),1,0),IF(AND(U317+V317-W317&gt;0,OR(U317+V317-W317&lt;AA317+AB317-AC317,AND(U317+V317-W317=AA317+AB317-AC317,3&lt;4))),1,0)))</x:f>
        <x:v>99</x:v>
      </x:c>
      <x:c r="AE317" s="6" t="n">
        <x:f>IF('Debt strategy'!$C$16&gt;0,0,MIN(AA317+AB317-AC317,MAX(0,'Debt strategy'!$C$5-SUM(E317,K317,Q317,W317,AC317)-SUM(IF(F317&lt;AD317,C317+D317-E317,0),IF(L317&lt;AD317,I317+J317-K317,0),IF(R317&lt;AD317,O317+P317-Q317,0),IF(X317&lt;AD317,U317+V317-W317,0)))))</x:f>
        <x:v>0</x:v>
      </x:c>
      <x:c r="AF317" s="6" t="n">
        <x:f>ROUND(MAX(0,AA317+AB317-AC317-AE317),2)</x:f>
        <x:v>0</x:v>
      </x:c>
      <x:c r="AG317" s="6" t="n">
        <x:f>SUM(H317,N317,T317,Z317,AF317)</x:f>
        <x:v>0</x:v>
      </x:c>
      <x:c r="AH317" s="6" t="n">
        <x:f>SUM(D317,J317,P317,V317,AB317)+AH316</x:f>
        <x:v>1353.9499999999996</x:v>
      </x:c>
      <x:c r="AI317" s="2"/>
    </x:row>
    <x:row r="318" ht="23" customHeight="1">
      <x:c r="B318" s="2" t="n">
        <x:f>310</x:f>
        <x:v>310</x:v>
      </x:c>
      <x:c r="C318" s="6" t="n">
        <x:f>H317</x:f>
        <x:v>0</x:v>
      </x:c>
      <x:c r="D318" s="6" t="n">
        <x:f>ROUND(C318*'Debt strategy'!$D$9/12,2)</x:f>
        <x:v>0</x:v>
      </x:c>
      <x:c r="E318" s="6" t="n">
        <x:f>MIN(C318+D318,'Debt strategy'!$E$9)</x:f>
        <x:v>0</x:v>
      </x:c>
      <x:c r="F318" s="27" t="n">
        <x:f>IF(C318+D318-E318&lt;=0,99,1+SUM(IF(AND(I318+J318-K318&gt;0,OR(I318+J318-K318&lt;C318+D318-E318,AND(I318+J318-K318=C318+D318-E318,1&lt;0))),1,0),IF(AND(O318+P318-Q318&gt;0,OR(O318+P318-Q318&lt;C318+D318-E318,AND(O318+P318-Q318=C318+D318-E318,2&lt;0))),1,0),IF(AND(U318+V318-W318&gt;0,OR(U318+V318-W318&lt;C318+D318-E318,AND(U318+V318-W318=C318+D318-E318,3&lt;0))),1,0),IF(AND(AA318+AB318-AC318&gt;0,OR(AA318+AB318-AC318&lt;C318+D318-E318,AND(AA318+AB318-AC318=C318+D318-E318,4&lt;0))),1,0)))</x:f>
        <x:v>99</x:v>
      </x:c>
      <x:c r="G318" s="6" t="n">
        <x:f>IF('Debt strategy'!$C$16&gt;0,0,MIN(C318+D318-E318,MAX(0,'Debt strategy'!$C$5-SUM(E318,K318,Q318,W318,AC318)-SUM(IF(L318&lt;F318,I318+J318-K318,0),IF(R318&lt;F318,O318+P318-Q318,0),IF(X318&lt;F318,U318+V318-W318,0),IF(AD318&lt;F318,AA318+AB318-AC318,0)))))</x:f>
        <x:v>0</x:v>
      </x:c>
      <x:c r="H318" s="6" t="n">
        <x:f>ROUND(MAX(0,C318+D318-E318-G318),2)</x:f>
        <x:v>0</x:v>
      </x:c>
      <x:c r="I318" s="6" t="n">
        <x:f>N317</x:f>
        <x:v>0</x:v>
      </x:c>
      <x:c r="J318" s="6" t="n">
        <x:f>ROUND(I318*'Debt strategy'!$D$10/12,2)</x:f>
        <x:v>0</x:v>
      </x:c>
      <x:c r="K318" s="6" t="n">
        <x:f>MIN(I318+J318,'Debt strategy'!$E$10)</x:f>
        <x:v>0</x:v>
      </x:c>
      <x:c r="L318" s="27" t="n">
        <x:f>IF(I318+J318-K318&lt;=0,99,1+SUM(IF(AND(C318+D318-E318&gt;0,OR(C318+D318-E318&lt;I318+J318-K318,AND(C318+D318-E318=I318+J318-K318,0&lt;1))),1,0),IF(AND(O318+P318-Q318&gt;0,OR(O318+P318-Q318&lt;I318+J318-K318,AND(O318+P318-Q318=I318+J318-K318,2&lt;1))),1,0),IF(AND(U318+V318-W318&gt;0,OR(U318+V318-W318&lt;I318+J318-K318,AND(U318+V318-W318=I318+J318-K318,3&lt;1))),1,0),IF(AND(AA318+AB318-AC318&gt;0,OR(AA318+AB318-AC318&lt;I318+J318-K318,AND(AA318+AB318-AC318=I318+J318-K318,4&lt;1))),1,0)))</x:f>
        <x:v>99</x:v>
      </x:c>
      <x:c r="M318" s="6" t="n">
        <x:f>IF('Debt strategy'!$C$16&gt;0,0,MIN(I318+J318-K318,MAX(0,'Debt strategy'!$C$5-SUM(E318,K318,Q318,W318,AC318)-SUM(IF(F318&lt;L318,C318+D318-E318,0),IF(R318&lt;L318,O318+P318-Q318,0),IF(X318&lt;L318,U318+V318-W318,0),IF(AD318&lt;L318,AA318+AB318-AC318,0)))))</x:f>
        <x:v>0</x:v>
      </x:c>
      <x:c r="N318" s="6" t="n">
        <x:f>ROUND(MAX(0,I318+J318-K318-M318),2)</x:f>
        <x:v>0</x:v>
      </x:c>
      <x:c r="O318" s="6" t="n">
        <x:f>T317</x:f>
        <x:v>0</x:v>
      </x:c>
      <x:c r="P318" s="6" t="n">
        <x:f>ROUND(O318*'Debt strategy'!$D$11/12,2)</x:f>
        <x:v>0</x:v>
      </x:c>
      <x:c r="Q318" s="6" t="n">
        <x:f>MIN(O318+P318,'Debt strategy'!$E$11)</x:f>
        <x:v>0</x:v>
      </x:c>
      <x:c r="R318" s="27" t="n">
        <x:f>IF(O318+P318-Q318&lt;=0,99,1+SUM(IF(AND(C318+D318-E318&gt;0,OR(C318+D318-E318&lt;O318+P318-Q318,AND(C318+D318-E318=O318+P318-Q318,0&lt;2))),1,0),IF(AND(I318+J318-K318&gt;0,OR(I318+J318-K318&lt;O318+P318-Q318,AND(I318+J318-K318=O318+P318-Q318,1&lt;2))),1,0),IF(AND(U318+V318-W318&gt;0,OR(U318+V318-W318&lt;O318+P318-Q318,AND(U318+V318-W318=O318+P318-Q318,3&lt;2))),1,0),IF(AND(AA318+AB318-AC318&gt;0,OR(AA318+AB318-AC318&lt;O318+P318-Q318,AND(AA318+AB318-AC318=O318+P318-Q318,4&lt;2))),1,0)))</x:f>
        <x:v>99</x:v>
      </x:c>
      <x:c r="S318" s="6" t="n">
        <x:f>IF('Debt strategy'!$C$16&gt;0,0,MIN(O318+P318-Q318,MAX(0,'Debt strategy'!$C$5-SUM(E318,K318,Q318,W318,AC318)-SUM(IF(F318&lt;R318,C318+D318-E318,0),IF(L318&lt;R318,I318+J318-K318,0),IF(X318&lt;R318,U318+V318-W318,0),IF(AD318&lt;R318,AA318+AB318-AC318,0)))))</x:f>
        <x:v>0</x:v>
      </x:c>
      <x:c r="T318" s="6" t="n">
        <x:f>ROUND(MAX(0,O318+P318-Q318-S318),2)</x:f>
        <x:v>0</x:v>
      </x:c>
      <x:c r="U318" s="6" t="n">
        <x:f>Z317</x:f>
        <x:v>0</x:v>
      </x:c>
      <x:c r="V318" s="6" t="n">
        <x:f>ROUND(U318*'Debt strategy'!$D$12/12,2)</x:f>
        <x:v>0</x:v>
      </x:c>
      <x:c r="W318" s="6" t="n">
        <x:f>MIN(U318+V318,'Debt strategy'!$E$12)</x:f>
        <x:v>0</x:v>
      </x:c>
      <x:c r="X318" s="27" t="n">
        <x:f>IF(U318+V318-W318&lt;=0,99,1+SUM(IF(AND(C318+D318-E318&gt;0,OR(C318+D318-E318&lt;U318+V318-W318,AND(C318+D318-E318=U318+V318-W318,0&lt;3))),1,0),IF(AND(I318+J318-K318&gt;0,OR(I318+J318-K318&lt;U318+V318-W318,AND(I318+J318-K318=U318+V318-W318,1&lt;3))),1,0),IF(AND(O318+P318-Q318&gt;0,OR(O318+P318-Q318&lt;U318+V318-W318,AND(O318+P318-Q318=U318+V318-W318,2&lt;3))),1,0),IF(AND(AA318+AB318-AC318&gt;0,OR(AA318+AB318-AC318&lt;U318+V318-W318,AND(AA318+AB318-AC318=U318+V318-W318,4&lt;3))),1,0)))</x:f>
        <x:v>99</x:v>
      </x:c>
      <x:c r="Y318" s="6" t="n">
        <x:f>IF('Debt strategy'!$C$16&gt;0,0,MIN(U318+V318-W318,MAX(0,'Debt strategy'!$C$5-SUM(E318,K318,Q318,W318,AC318)-SUM(IF(F318&lt;X318,C318+D318-E318,0),IF(L318&lt;X318,I318+J318-K318,0),IF(R318&lt;X318,O318+P318-Q318,0),IF(AD318&lt;X318,AA318+AB318-AC318,0)))))</x:f>
        <x:v>0</x:v>
      </x:c>
      <x:c r="Z318" s="6" t="n">
        <x:f>ROUND(MAX(0,U318+V318-W318-Y318),2)</x:f>
        <x:v>0</x:v>
      </x:c>
      <x:c r="AA318" s="6" t="n">
        <x:f>AF317</x:f>
        <x:v>0</x:v>
      </x:c>
      <x:c r="AB318" s="6" t="n">
        <x:f>ROUND(AA318*'Debt strategy'!$D$13/12,2)</x:f>
        <x:v>0</x:v>
      </x:c>
      <x:c r="AC318" s="6" t="n">
        <x:f>MIN(AA318+AB318,'Debt strategy'!$E$13)</x:f>
        <x:v>0</x:v>
      </x:c>
      <x:c r="AD318" s="27" t="n">
        <x:f>IF(AA318+AB318-AC318&lt;=0,99,1+SUM(IF(AND(C318+D318-E318&gt;0,OR(C318+D318-E318&lt;AA318+AB318-AC318,AND(C318+D318-E318=AA318+AB318-AC318,0&lt;4))),1,0),IF(AND(I318+J318-K318&gt;0,OR(I318+J318-K318&lt;AA318+AB318-AC318,AND(I318+J318-K318=AA318+AB318-AC318,1&lt;4))),1,0),IF(AND(O318+P318-Q318&gt;0,OR(O318+P318-Q318&lt;AA318+AB318-AC318,AND(O318+P318-Q318=AA318+AB318-AC318,2&lt;4))),1,0),IF(AND(U318+V318-W318&gt;0,OR(U318+V318-W318&lt;AA318+AB318-AC318,AND(U318+V318-W318=AA318+AB318-AC318,3&lt;4))),1,0)))</x:f>
        <x:v>99</x:v>
      </x:c>
      <x:c r="AE318" s="6" t="n">
        <x:f>IF('Debt strategy'!$C$16&gt;0,0,MIN(AA318+AB318-AC318,MAX(0,'Debt strategy'!$C$5-SUM(E318,K318,Q318,W318,AC318)-SUM(IF(F318&lt;AD318,C318+D318-E318,0),IF(L318&lt;AD318,I318+J318-K318,0),IF(R318&lt;AD318,O318+P318-Q318,0),IF(X318&lt;AD318,U318+V318-W318,0)))))</x:f>
        <x:v>0</x:v>
      </x:c>
      <x:c r="AF318" s="6" t="n">
        <x:f>ROUND(MAX(0,AA318+AB318-AC318-AE318),2)</x:f>
        <x:v>0</x:v>
      </x:c>
      <x:c r="AG318" s="6" t="n">
        <x:f>SUM(H318,N318,T318,Z318,AF318)</x:f>
        <x:v>0</x:v>
      </x:c>
      <x:c r="AH318" s="6" t="n">
        <x:f>SUM(D318,J318,P318,V318,AB318)+AH317</x:f>
        <x:v>1353.9499999999996</x:v>
      </x:c>
      <x:c r="AI318" s="2"/>
    </x:row>
    <x:row r="319" ht="23" customHeight="1">
      <x:c r="B319" s="2" t="n">
        <x:f>311</x:f>
        <x:v>311</x:v>
      </x:c>
      <x:c r="C319" s="6" t="n">
        <x:f>H318</x:f>
        <x:v>0</x:v>
      </x:c>
      <x:c r="D319" s="6" t="n">
        <x:f>ROUND(C319*'Debt strategy'!$D$9/12,2)</x:f>
        <x:v>0</x:v>
      </x:c>
      <x:c r="E319" s="6" t="n">
        <x:f>MIN(C319+D319,'Debt strategy'!$E$9)</x:f>
        <x:v>0</x:v>
      </x:c>
      <x:c r="F319" s="27" t="n">
        <x:f>IF(C319+D319-E319&lt;=0,99,1+SUM(IF(AND(I319+J319-K319&gt;0,OR(I319+J319-K319&lt;C319+D319-E319,AND(I319+J319-K319=C319+D319-E319,1&lt;0))),1,0),IF(AND(O319+P319-Q319&gt;0,OR(O319+P319-Q319&lt;C319+D319-E319,AND(O319+P319-Q319=C319+D319-E319,2&lt;0))),1,0),IF(AND(U319+V319-W319&gt;0,OR(U319+V319-W319&lt;C319+D319-E319,AND(U319+V319-W319=C319+D319-E319,3&lt;0))),1,0),IF(AND(AA319+AB319-AC319&gt;0,OR(AA319+AB319-AC319&lt;C319+D319-E319,AND(AA319+AB319-AC319=C319+D319-E319,4&lt;0))),1,0)))</x:f>
        <x:v>99</x:v>
      </x:c>
      <x:c r="G319" s="6" t="n">
        <x:f>IF('Debt strategy'!$C$16&gt;0,0,MIN(C319+D319-E319,MAX(0,'Debt strategy'!$C$5-SUM(E319,K319,Q319,W319,AC319)-SUM(IF(L319&lt;F319,I319+J319-K319,0),IF(R319&lt;F319,O319+P319-Q319,0),IF(X319&lt;F319,U319+V319-W319,0),IF(AD319&lt;F319,AA319+AB319-AC319,0)))))</x:f>
        <x:v>0</x:v>
      </x:c>
      <x:c r="H319" s="6" t="n">
        <x:f>ROUND(MAX(0,C319+D319-E319-G319),2)</x:f>
        <x:v>0</x:v>
      </x:c>
      <x:c r="I319" s="6" t="n">
        <x:f>N318</x:f>
        <x:v>0</x:v>
      </x:c>
      <x:c r="J319" s="6" t="n">
        <x:f>ROUND(I319*'Debt strategy'!$D$10/12,2)</x:f>
        <x:v>0</x:v>
      </x:c>
      <x:c r="K319" s="6" t="n">
        <x:f>MIN(I319+J319,'Debt strategy'!$E$10)</x:f>
        <x:v>0</x:v>
      </x:c>
      <x:c r="L319" s="27" t="n">
        <x:f>IF(I319+J319-K319&lt;=0,99,1+SUM(IF(AND(C319+D319-E319&gt;0,OR(C319+D319-E319&lt;I319+J319-K319,AND(C319+D319-E319=I319+J319-K319,0&lt;1))),1,0),IF(AND(O319+P319-Q319&gt;0,OR(O319+P319-Q319&lt;I319+J319-K319,AND(O319+P319-Q319=I319+J319-K319,2&lt;1))),1,0),IF(AND(U319+V319-W319&gt;0,OR(U319+V319-W319&lt;I319+J319-K319,AND(U319+V319-W319=I319+J319-K319,3&lt;1))),1,0),IF(AND(AA319+AB319-AC319&gt;0,OR(AA319+AB319-AC319&lt;I319+J319-K319,AND(AA319+AB319-AC319=I319+J319-K319,4&lt;1))),1,0)))</x:f>
        <x:v>99</x:v>
      </x:c>
      <x:c r="M319" s="6" t="n">
        <x:f>IF('Debt strategy'!$C$16&gt;0,0,MIN(I319+J319-K319,MAX(0,'Debt strategy'!$C$5-SUM(E319,K319,Q319,W319,AC319)-SUM(IF(F319&lt;L319,C319+D319-E319,0),IF(R319&lt;L319,O319+P319-Q319,0),IF(X319&lt;L319,U319+V319-W319,0),IF(AD319&lt;L319,AA319+AB319-AC319,0)))))</x:f>
        <x:v>0</x:v>
      </x:c>
      <x:c r="N319" s="6" t="n">
        <x:f>ROUND(MAX(0,I319+J319-K319-M319),2)</x:f>
        <x:v>0</x:v>
      </x:c>
      <x:c r="O319" s="6" t="n">
        <x:f>T318</x:f>
        <x:v>0</x:v>
      </x:c>
      <x:c r="P319" s="6" t="n">
        <x:f>ROUND(O319*'Debt strategy'!$D$11/12,2)</x:f>
        <x:v>0</x:v>
      </x:c>
      <x:c r="Q319" s="6" t="n">
        <x:f>MIN(O319+P319,'Debt strategy'!$E$11)</x:f>
        <x:v>0</x:v>
      </x:c>
      <x:c r="R319" s="27" t="n">
        <x:f>IF(O319+P319-Q319&lt;=0,99,1+SUM(IF(AND(C319+D319-E319&gt;0,OR(C319+D319-E319&lt;O319+P319-Q319,AND(C319+D319-E319=O319+P319-Q319,0&lt;2))),1,0),IF(AND(I319+J319-K319&gt;0,OR(I319+J319-K319&lt;O319+P319-Q319,AND(I319+J319-K319=O319+P319-Q319,1&lt;2))),1,0),IF(AND(U319+V319-W319&gt;0,OR(U319+V319-W319&lt;O319+P319-Q319,AND(U319+V319-W319=O319+P319-Q319,3&lt;2))),1,0),IF(AND(AA319+AB319-AC319&gt;0,OR(AA319+AB319-AC319&lt;O319+P319-Q319,AND(AA319+AB319-AC319=O319+P319-Q319,4&lt;2))),1,0)))</x:f>
        <x:v>99</x:v>
      </x:c>
      <x:c r="S319" s="6" t="n">
        <x:f>IF('Debt strategy'!$C$16&gt;0,0,MIN(O319+P319-Q319,MAX(0,'Debt strategy'!$C$5-SUM(E319,K319,Q319,W319,AC319)-SUM(IF(F319&lt;R319,C319+D319-E319,0),IF(L319&lt;R319,I319+J319-K319,0),IF(X319&lt;R319,U319+V319-W319,0),IF(AD319&lt;R319,AA319+AB319-AC319,0)))))</x:f>
        <x:v>0</x:v>
      </x:c>
      <x:c r="T319" s="6" t="n">
        <x:f>ROUND(MAX(0,O319+P319-Q319-S319),2)</x:f>
        <x:v>0</x:v>
      </x:c>
      <x:c r="U319" s="6" t="n">
        <x:f>Z318</x:f>
        <x:v>0</x:v>
      </x:c>
      <x:c r="V319" s="6" t="n">
        <x:f>ROUND(U319*'Debt strategy'!$D$12/12,2)</x:f>
        <x:v>0</x:v>
      </x:c>
      <x:c r="W319" s="6" t="n">
        <x:f>MIN(U319+V319,'Debt strategy'!$E$12)</x:f>
        <x:v>0</x:v>
      </x:c>
      <x:c r="X319" s="27" t="n">
        <x:f>IF(U319+V319-W319&lt;=0,99,1+SUM(IF(AND(C319+D319-E319&gt;0,OR(C319+D319-E319&lt;U319+V319-W319,AND(C319+D319-E319=U319+V319-W319,0&lt;3))),1,0),IF(AND(I319+J319-K319&gt;0,OR(I319+J319-K319&lt;U319+V319-W319,AND(I319+J319-K319=U319+V319-W319,1&lt;3))),1,0),IF(AND(O319+P319-Q319&gt;0,OR(O319+P319-Q319&lt;U319+V319-W319,AND(O319+P319-Q319=U319+V319-W319,2&lt;3))),1,0),IF(AND(AA319+AB319-AC319&gt;0,OR(AA319+AB319-AC319&lt;U319+V319-W319,AND(AA319+AB319-AC319=U319+V319-W319,4&lt;3))),1,0)))</x:f>
        <x:v>99</x:v>
      </x:c>
      <x:c r="Y319" s="6" t="n">
        <x:f>IF('Debt strategy'!$C$16&gt;0,0,MIN(U319+V319-W319,MAX(0,'Debt strategy'!$C$5-SUM(E319,K319,Q319,W319,AC319)-SUM(IF(F319&lt;X319,C319+D319-E319,0),IF(L319&lt;X319,I319+J319-K319,0),IF(R319&lt;X319,O319+P319-Q319,0),IF(AD319&lt;X319,AA319+AB319-AC319,0)))))</x:f>
        <x:v>0</x:v>
      </x:c>
      <x:c r="Z319" s="6" t="n">
        <x:f>ROUND(MAX(0,U319+V319-W319-Y319),2)</x:f>
        <x:v>0</x:v>
      </x:c>
      <x:c r="AA319" s="6" t="n">
        <x:f>AF318</x:f>
        <x:v>0</x:v>
      </x:c>
      <x:c r="AB319" s="6" t="n">
        <x:f>ROUND(AA319*'Debt strategy'!$D$13/12,2)</x:f>
        <x:v>0</x:v>
      </x:c>
      <x:c r="AC319" s="6" t="n">
        <x:f>MIN(AA319+AB319,'Debt strategy'!$E$13)</x:f>
        <x:v>0</x:v>
      </x:c>
      <x:c r="AD319" s="27" t="n">
        <x:f>IF(AA319+AB319-AC319&lt;=0,99,1+SUM(IF(AND(C319+D319-E319&gt;0,OR(C319+D319-E319&lt;AA319+AB319-AC319,AND(C319+D319-E319=AA319+AB319-AC319,0&lt;4))),1,0),IF(AND(I319+J319-K319&gt;0,OR(I319+J319-K319&lt;AA319+AB319-AC319,AND(I319+J319-K319=AA319+AB319-AC319,1&lt;4))),1,0),IF(AND(O319+P319-Q319&gt;0,OR(O319+P319-Q319&lt;AA319+AB319-AC319,AND(O319+P319-Q319=AA319+AB319-AC319,2&lt;4))),1,0),IF(AND(U319+V319-W319&gt;0,OR(U319+V319-W319&lt;AA319+AB319-AC319,AND(U319+V319-W319=AA319+AB319-AC319,3&lt;4))),1,0)))</x:f>
        <x:v>99</x:v>
      </x:c>
      <x:c r="AE319" s="6" t="n">
        <x:f>IF('Debt strategy'!$C$16&gt;0,0,MIN(AA319+AB319-AC319,MAX(0,'Debt strategy'!$C$5-SUM(E319,K319,Q319,W319,AC319)-SUM(IF(F319&lt;AD319,C319+D319-E319,0),IF(L319&lt;AD319,I319+J319-K319,0),IF(R319&lt;AD319,O319+P319-Q319,0),IF(X319&lt;AD319,U319+V319-W319,0)))))</x:f>
        <x:v>0</x:v>
      </x:c>
      <x:c r="AF319" s="6" t="n">
        <x:f>ROUND(MAX(0,AA319+AB319-AC319-AE319),2)</x:f>
        <x:v>0</x:v>
      </x:c>
      <x:c r="AG319" s="6" t="n">
        <x:f>SUM(H319,N319,T319,Z319,AF319)</x:f>
        <x:v>0</x:v>
      </x:c>
      <x:c r="AH319" s="6" t="n">
        <x:f>SUM(D319,J319,P319,V319,AB319)+AH318</x:f>
        <x:v>1353.9499999999996</x:v>
      </x:c>
      <x:c r="AI319" s="2"/>
    </x:row>
    <x:row r="320" ht="23" customHeight="1">
      <x:c r="B320" s="2" t="n">
        <x:f>312</x:f>
        <x:v>312</x:v>
      </x:c>
      <x:c r="C320" s="6" t="n">
        <x:f>H319</x:f>
        <x:v>0</x:v>
      </x:c>
      <x:c r="D320" s="6" t="n">
        <x:f>ROUND(C320*'Debt strategy'!$D$9/12,2)</x:f>
        <x:v>0</x:v>
      </x:c>
      <x:c r="E320" s="6" t="n">
        <x:f>MIN(C320+D320,'Debt strategy'!$E$9)</x:f>
        <x:v>0</x:v>
      </x:c>
      <x:c r="F320" s="27" t="n">
        <x:f>IF(C320+D320-E320&lt;=0,99,1+SUM(IF(AND(I320+J320-K320&gt;0,OR(I320+J320-K320&lt;C320+D320-E320,AND(I320+J320-K320=C320+D320-E320,1&lt;0))),1,0),IF(AND(O320+P320-Q320&gt;0,OR(O320+P320-Q320&lt;C320+D320-E320,AND(O320+P320-Q320=C320+D320-E320,2&lt;0))),1,0),IF(AND(U320+V320-W320&gt;0,OR(U320+V320-W320&lt;C320+D320-E320,AND(U320+V320-W320=C320+D320-E320,3&lt;0))),1,0),IF(AND(AA320+AB320-AC320&gt;0,OR(AA320+AB320-AC320&lt;C320+D320-E320,AND(AA320+AB320-AC320=C320+D320-E320,4&lt;0))),1,0)))</x:f>
        <x:v>99</x:v>
      </x:c>
      <x:c r="G320" s="6" t="n">
        <x:f>IF('Debt strategy'!$C$16&gt;0,0,MIN(C320+D320-E320,MAX(0,'Debt strategy'!$C$5-SUM(E320,K320,Q320,W320,AC320)-SUM(IF(L320&lt;F320,I320+J320-K320,0),IF(R320&lt;F320,O320+P320-Q320,0),IF(X320&lt;F320,U320+V320-W320,0),IF(AD320&lt;F320,AA320+AB320-AC320,0)))))</x:f>
        <x:v>0</x:v>
      </x:c>
      <x:c r="H320" s="6" t="n">
        <x:f>ROUND(MAX(0,C320+D320-E320-G320),2)</x:f>
        <x:v>0</x:v>
      </x:c>
      <x:c r="I320" s="6" t="n">
        <x:f>N319</x:f>
        <x:v>0</x:v>
      </x:c>
      <x:c r="J320" s="6" t="n">
        <x:f>ROUND(I320*'Debt strategy'!$D$10/12,2)</x:f>
        <x:v>0</x:v>
      </x:c>
      <x:c r="K320" s="6" t="n">
        <x:f>MIN(I320+J320,'Debt strategy'!$E$10)</x:f>
        <x:v>0</x:v>
      </x:c>
      <x:c r="L320" s="27" t="n">
        <x:f>IF(I320+J320-K320&lt;=0,99,1+SUM(IF(AND(C320+D320-E320&gt;0,OR(C320+D320-E320&lt;I320+J320-K320,AND(C320+D320-E320=I320+J320-K320,0&lt;1))),1,0),IF(AND(O320+P320-Q320&gt;0,OR(O320+P320-Q320&lt;I320+J320-K320,AND(O320+P320-Q320=I320+J320-K320,2&lt;1))),1,0),IF(AND(U320+V320-W320&gt;0,OR(U320+V320-W320&lt;I320+J320-K320,AND(U320+V320-W320=I320+J320-K320,3&lt;1))),1,0),IF(AND(AA320+AB320-AC320&gt;0,OR(AA320+AB320-AC320&lt;I320+J320-K320,AND(AA320+AB320-AC320=I320+J320-K320,4&lt;1))),1,0)))</x:f>
        <x:v>99</x:v>
      </x:c>
      <x:c r="M320" s="6" t="n">
        <x:f>IF('Debt strategy'!$C$16&gt;0,0,MIN(I320+J320-K320,MAX(0,'Debt strategy'!$C$5-SUM(E320,K320,Q320,W320,AC320)-SUM(IF(F320&lt;L320,C320+D320-E320,0),IF(R320&lt;L320,O320+P320-Q320,0),IF(X320&lt;L320,U320+V320-W320,0),IF(AD320&lt;L320,AA320+AB320-AC320,0)))))</x:f>
        <x:v>0</x:v>
      </x:c>
      <x:c r="N320" s="6" t="n">
        <x:f>ROUND(MAX(0,I320+J320-K320-M320),2)</x:f>
        <x:v>0</x:v>
      </x:c>
      <x:c r="O320" s="6" t="n">
        <x:f>T319</x:f>
        <x:v>0</x:v>
      </x:c>
      <x:c r="P320" s="6" t="n">
        <x:f>ROUND(O320*'Debt strategy'!$D$11/12,2)</x:f>
        <x:v>0</x:v>
      </x:c>
      <x:c r="Q320" s="6" t="n">
        <x:f>MIN(O320+P320,'Debt strategy'!$E$11)</x:f>
        <x:v>0</x:v>
      </x:c>
      <x:c r="R320" s="27" t="n">
        <x:f>IF(O320+P320-Q320&lt;=0,99,1+SUM(IF(AND(C320+D320-E320&gt;0,OR(C320+D320-E320&lt;O320+P320-Q320,AND(C320+D320-E320=O320+P320-Q320,0&lt;2))),1,0),IF(AND(I320+J320-K320&gt;0,OR(I320+J320-K320&lt;O320+P320-Q320,AND(I320+J320-K320=O320+P320-Q320,1&lt;2))),1,0),IF(AND(U320+V320-W320&gt;0,OR(U320+V320-W320&lt;O320+P320-Q320,AND(U320+V320-W320=O320+P320-Q320,3&lt;2))),1,0),IF(AND(AA320+AB320-AC320&gt;0,OR(AA320+AB320-AC320&lt;O320+P320-Q320,AND(AA320+AB320-AC320=O320+P320-Q320,4&lt;2))),1,0)))</x:f>
        <x:v>99</x:v>
      </x:c>
      <x:c r="S320" s="6" t="n">
        <x:f>IF('Debt strategy'!$C$16&gt;0,0,MIN(O320+P320-Q320,MAX(0,'Debt strategy'!$C$5-SUM(E320,K320,Q320,W320,AC320)-SUM(IF(F320&lt;R320,C320+D320-E320,0),IF(L320&lt;R320,I320+J320-K320,0),IF(X320&lt;R320,U320+V320-W320,0),IF(AD320&lt;R320,AA320+AB320-AC320,0)))))</x:f>
        <x:v>0</x:v>
      </x:c>
      <x:c r="T320" s="6" t="n">
        <x:f>ROUND(MAX(0,O320+P320-Q320-S320),2)</x:f>
        <x:v>0</x:v>
      </x:c>
      <x:c r="U320" s="6" t="n">
        <x:f>Z319</x:f>
        <x:v>0</x:v>
      </x:c>
      <x:c r="V320" s="6" t="n">
        <x:f>ROUND(U320*'Debt strategy'!$D$12/12,2)</x:f>
        <x:v>0</x:v>
      </x:c>
      <x:c r="W320" s="6" t="n">
        <x:f>MIN(U320+V320,'Debt strategy'!$E$12)</x:f>
        <x:v>0</x:v>
      </x:c>
      <x:c r="X320" s="27" t="n">
        <x:f>IF(U320+V320-W320&lt;=0,99,1+SUM(IF(AND(C320+D320-E320&gt;0,OR(C320+D320-E320&lt;U320+V320-W320,AND(C320+D320-E320=U320+V320-W320,0&lt;3))),1,0),IF(AND(I320+J320-K320&gt;0,OR(I320+J320-K320&lt;U320+V320-W320,AND(I320+J320-K320=U320+V320-W320,1&lt;3))),1,0),IF(AND(O320+P320-Q320&gt;0,OR(O320+P320-Q320&lt;U320+V320-W320,AND(O320+P320-Q320=U320+V320-W320,2&lt;3))),1,0),IF(AND(AA320+AB320-AC320&gt;0,OR(AA320+AB320-AC320&lt;U320+V320-W320,AND(AA320+AB320-AC320=U320+V320-W320,4&lt;3))),1,0)))</x:f>
        <x:v>99</x:v>
      </x:c>
      <x:c r="Y320" s="6" t="n">
        <x:f>IF('Debt strategy'!$C$16&gt;0,0,MIN(U320+V320-W320,MAX(0,'Debt strategy'!$C$5-SUM(E320,K320,Q320,W320,AC320)-SUM(IF(F320&lt;X320,C320+D320-E320,0),IF(L320&lt;X320,I320+J320-K320,0),IF(R320&lt;X320,O320+P320-Q320,0),IF(AD320&lt;X320,AA320+AB320-AC320,0)))))</x:f>
        <x:v>0</x:v>
      </x:c>
      <x:c r="Z320" s="6" t="n">
        <x:f>ROUND(MAX(0,U320+V320-W320-Y320),2)</x:f>
        <x:v>0</x:v>
      </x:c>
      <x:c r="AA320" s="6" t="n">
        <x:f>AF319</x:f>
        <x:v>0</x:v>
      </x:c>
      <x:c r="AB320" s="6" t="n">
        <x:f>ROUND(AA320*'Debt strategy'!$D$13/12,2)</x:f>
        <x:v>0</x:v>
      </x:c>
      <x:c r="AC320" s="6" t="n">
        <x:f>MIN(AA320+AB320,'Debt strategy'!$E$13)</x:f>
        <x:v>0</x:v>
      </x:c>
      <x:c r="AD320" s="27" t="n">
        <x:f>IF(AA320+AB320-AC320&lt;=0,99,1+SUM(IF(AND(C320+D320-E320&gt;0,OR(C320+D320-E320&lt;AA320+AB320-AC320,AND(C320+D320-E320=AA320+AB320-AC320,0&lt;4))),1,0),IF(AND(I320+J320-K320&gt;0,OR(I320+J320-K320&lt;AA320+AB320-AC320,AND(I320+J320-K320=AA320+AB320-AC320,1&lt;4))),1,0),IF(AND(O320+P320-Q320&gt;0,OR(O320+P320-Q320&lt;AA320+AB320-AC320,AND(O320+P320-Q320=AA320+AB320-AC320,2&lt;4))),1,0),IF(AND(U320+V320-W320&gt;0,OR(U320+V320-W320&lt;AA320+AB320-AC320,AND(U320+V320-W320=AA320+AB320-AC320,3&lt;4))),1,0)))</x:f>
        <x:v>99</x:v>
      </x:c>
      <x:c r="AE320" s="6" t="n">
        <x:f>IF('Debt strategy'!$C$16&gt;0,0,MIN(AA320+AB320-AC320,MAX(0,'Debt strategy'!$C$5-SUM(E320,K320,Q320,W320,AC320)-SUM(IF(F320&lt;AD320,C320+D320-E320,0),IF(L320&lt;AD320,I320+J320-K320,0),IF(R320&lt;AD320,O320+P320-Q320,0),IF(X320&lt;AD320,U320+V320-W320,0)))))</x:f>
        <x:v>0</x:v>
      </x:c>
      <x:c r="AF320" s="6" t="n">
        <x:f>ROUND(MAX(0,AA320+AB320-AC320-AE320),2)</x:f>
        <x:v>0</x:v>
      </x:c>
      <x:c r="AG320" s="6" t="n">
        <x:f>SUM(H320,N320,T320,Z320,AF320)</x:f>
        <x:v>0</x:v>
      </x:c>
      <x:c r="AH320" s="6" t="n">
        <x:f>SUM(D320,J320,P320,V320,AB320)+AH319</x:f>
        <x:v>1353.9499999999996</x:v>
      </x:c>
      <x:c r="AI320" s="2"/>
    </x:row>
    <x:row r="321" ht="23" customHeight="1">
      <x:c r="B321" s="2" t="n">
        <x:f>313</x:f>
        <x:v>313</x:v>
      </x:c>
      <x:c r="C321" s="6" t="n">
        <x:f>H320</x:f>
        <x:v>0</x:v>
      </x:c>
      <x:c r="D321" s="6" t="n">
        <x:f>ROUND(C321*'Debt strategy'!$D$9/12,2)</x:f>
        <x:v>0</x:v>
      </x:c>
      <x:c r="E321" s="6" t="n">
        <x:f>MIN(C321+D321,'Debt strategy'!$E$9)</x:f>
        <x:v>0</x:v>
      </x:c>
      <x:c r="F321" s="27" t="n">
        <x:f>IF(C321+D321-E321&lt;=0,99,1+SUM(IF(AND(I321+J321-K321&gt;0,OR(I321+J321-K321&lt;C321+D321-E321,AND(I321+J321-K321=C321+D321-E321,1&lt;0))),1,0),IF(AND(O321+P321-Q321&gt;0,OR(O321+P321-Q321&lt;C321+D321-E321,AND(O321+P321-Q321=C321+D321-E321,2&lt;0))),1,0),IF(AND(U321+V321-W321&gt;0,OR(U321+V321-W321&lt;C321+D321-E321,AND(U321+V321-W321=C321+D321-E321,3&lt;0))),1,0),IF(AND(AA321+AB321-AC321&gt;0,OR(AA321+AB321-AC321&lt;C321+D321-E321,AND(AA321+AB321-AC321=C321+D321-E321,4&lt;0))),1,0)))</x:f>
        <x:v>99</x:v>
      </x:c>
      <x:c r="G321" s="6" t="n">
        <x:f>IF('Debt strategy'!$C$16&gt;0,0,MIN(C321+D321-E321,MAX(0,'Debt strategy'!$C$5-SUM(E321,K321,Q321,W321,AC321)-SUM(IF(L321&lt;F321,I321+J321-K321,0),IF(R321&lt;F321,O321+P321-Q321,0),IF(X321&lt;F321,U321+V321-W321,0),IF(AD321&lt;F321,AA321+AB321-AC321,0)))))</x:f>
        <x:v>0</x:v>
      </x:c>
      <x:c r="H321" s="6" t="n">
        <x:f>ROUND(MAX(0,C321+D321-E321-G321),2)</x:f>
        <x:v>0</x:v>
      </x:c>
      <x:c r="I321" s="6" t="n">
        <x:f>N320</x:f>
        <x:v>0</x:v>
      </x:c>
      <x:c r="J321" s="6" t="n">
        <x:f>ROUND(I321*'Debt strategy'!$D$10/12,2)</x:f>
        <x:v>0</x:v>
      </x:c>
      <x:c r="K321" s="6" t="n">
        <x:f>MIN(I321+J321,'Debt strategy'!$E$10)</x:f>
        <x:v>0</x:v>
      </x:c>
      <x:c r="L321" s="27" t="n">
        <x:f>IF(I321+J321-K321&lt;=0,99,1+SUM(IF(AND(C321+D321-E321&gt;0,OR(C321+D321-E321&lt;I321+J321-K321,AND(C321+D321-E321=I321+J321-K321,0&lt;1))),1,0),IF(AND(O321+P321-Q321&gt;0,OR(O321+P321-Q321&lt;I321+J321-K321,AND(O321+P321-Q321=I321+J321-K321,2&lt;1))),1,0),IF(AND(U321+V321-W321&gt;0,OR(U321+V321-W321&lt;I321+J321-K321,AND(U321+V321-W321=I321+J321-K321,3&lt;1))),1,0),IF(AND(AA321+AB321-AC321&gt;0,OR(AA321+AB321-AC321&lt;I321+J321-K321,AND(AA321+AB321-AC321=I321+J321-K321,4&lt;1))),1,0)))</x:f>
        <x:v>99</x:v>
      </x:c>
      <x:c r="M321" s="6" t="n">
        <x:f>IF('Debt strategy'!$C$16&gt;0,0,MIN(I321+J321-K321,MAX(0,'Debt strategy'!$C$5-SUM(E321,K321,Q321,W321,AC321)-SUM(IF(F321&lt;L321,C321+D321-E321,0),IF(R321&lt;L321,O321+P321-Q321,0),IF(X321&lt;L321,U321+V321-W321,0),IF(AD321&lt;L321,AA321+AB321-AC321,0)))))</x:f>
        <x:v>0</x:v>
      </x:c>
      <x:c r="N321" s="6" t="n">
        <x:f>ROUND(MAX(0,I321+J321-K321-M321),2)</x:f>
        <x:v>0</x:v>
      </x:c>
      <x:c r="O321" s="6" t="n">
        <x:f>T320</x:f>
        <x:v>0</x:v>
      </x:c>
      <x:c r="P321" s="6" t="n">
        <x:f>ROUND(O321*'Debt strategy'!$D$11/12,2)</x:f>
        <x:v>0</x:v>
      </x:c>
      <x:c r="Q321" s="6" t="n">
        <x:f>MIN(O321+P321,'Debt strategy'!$E$11)</x:f>
        <x:v>0</x:v>
      </x:c>
      <x:c r="R321" s="27" t="n">
        <x:f>IF(O321+P321-Q321&lt;=0,99,1+SUM(IF(AND(C321+D321-E321&gt;0,OR(C321+D321-E321&lt;O321+P321-Q321,AND(C321+D321-E321=O321+P321-Q321,0&lt;2))),1,0),IF(AND(I321+J321-K321&gt;0,OR(I321+J321-K321&lt;O321+P321-Q321,AND(I321+J321-K321=O321+P321-Q321,1&lt;2))),1,0),IF(AND(U321+V321-W321&gt;0,OR(U321+V321-W321&lt;O321+P321-Q321,AND(U321+V321-W321=O321+P321-Q321,3&lt;2))),1,0),IF(AND(AA321+AB321-AC321&gt;0,OR(AA321+AB321-AC321&lt;O321+P321-Q321,AND(AA321+AB321-AC321=O321+P321-Q321,4&lt;2))),1,0)))</x:f>
        <x:v>99</x:v>
      </x:c>
      <x:c r="S321" s="6" t="n">
        <x:f>IF('Debt strategy'!$C$16&gt;0,0,MIN(O321+P321-Q321,MAX(0,'Debt strategy'!$C$5-SUM(E321,K321,Q321,W321,AC321)-SUM(IF(F321&lt;R321,C321+D321-E321,0),IF(L321&lt;R321,I321+J321-K321,0),IF(X321&lt;R321,U321+V321-W321,0),IF(AD321&lt;R321,AA321+AB321-AC321,0)))))</x:f>
        <x:v>0</x:v>
      </x:c>
      <x:c r="T321" s="6" t="n">
        <x:f>ROUND(MAX(0,O321+P321-Q321-S321),2)</x:f>
        <x:v>0</x:v>
      </x:c>
      <x:c r="U321" s="6" t="n">
        <x:f>Z320</x:f>
        <x:v>0</x:v>
      </x:c>
      <x:c r="V321" s="6" t="n">
        <x:f>ROUND(U321*'Debt strategy'!$D$12/12,2)</x:f>
        <x:v>0</x:v>
      </x:c>
      <x:c r="W321" s="6" t="n">
        <x:f>MIN(U321+V321,'Debt strategy'!$E$12)</x:f>
        <x:v>0</x:v>
      </x:c>
      <x:c r="X321" s="27" t="n">
        <x:f>IF(U321+V321-W321&lt;=0,99,1+SUM(IF(AND(C321+D321-E321&gt;0,OR(C321+D321-E321&lt;U321+V321-W321,AND(C321+D321-E321=U321+V321-W321,0&lt;3))),1,0),IF(AND(I321+J321-K321&gt;0,OR(I321+J321-K321&lt;U321+V321-W321,AND(I321+J321-K321=U321+V321-W321,1&lt;3))),1,0),IF(AND(O321+P321-Q321&gt;0,OR(O321+P321-Q321&lt;U321+V321-W321,AND(O321+P321-Q321=U321+V321-W321,2&lt;3))),1,0),IF(AND(AA321+AB321-AC321&gt;0,OR(AA321+AB321-AC321&lt;U321+V321-W321,AND(AA321+AB321-AC321=U321+V321-W321,4&lt;3))),1,0)))</x:f>
        <x:v>99</x:v>
      </x:c>
      <x:c r="Y321" s="6" t="n">
        <x:f>IF('Debt strategy'!$C$16&gt;0,0,MIN(U321+V321-W321,MAX(0,'Debt strategy'!$C$5-SUM(E321,K321,Q321,W321,AC321)-SUM(IF(F321&lt;X321,C321+D321-E321,0),IF(L321&lt;X321,I321+J321-K321,0),IF(R321&lt;X321,O321+P321-Q321,0),IF(AD321&lt;X321,AA321+AB321-AC321,0)))))</x:f>
        <x:v>0</x:v>
      </x:c>
      <x:c r="Z321" s="6" t="n">
        <x:f>ROUND(MAX(0,U321+V321-W321-Y321),2)</x:f>
        <x:v>0</x:v>
      </x:c>
      <x:c r="AA321" s="6" t="n">
        <x:f>AF320</x:f>
        <x:v>0</x:v>
      </x:c>
      <x:c r="AB321" s="6" t="n">
        <x:f>ROUND(AA321*'Debt strategy'!$D$13/12,2)</x:f>
        <x:v>0</x:v>
      </x:c>
      <x:c r="AC321" s="6" t="n">
        <x:f>MIN(AA321+AB321,'Debt strategy'!$E$13)</x:f>
        <x:v>0</x:v>
      </x:c>
      <x:c r="AD321" s="27" t="n">
        <x:f>IF(AA321+AB321-AC321&lt;=0,99,1+SUM(IF(AND(C321+D321-E321&gt;0,OR(C321+D321-E321&lt;AA321+AB321-AC321,AND(C321+D321-E321=AA321+AB321-AC321,0&lt;4))),1,0),IF(AND(I321+J321-K321&gt;0,OR(I321+J321-K321&lt;AA321+AB321-AC321,AND(I321+J321-K321=AA321+AB321-AC321,1&lt;4))),1,0),IF(AND(O321+P321-Q321&gt;0,OR(O321+P321-Q321&lt;AA321+AB321-AC321,AND(O321+P321-Q321=AA321+AB321-AC321,2&lt;4))),1,0),IF(AND(U321+V321-W321&gt;0,OR(U321+V321-W321&lt;AA321+AB321-AC321,AND(U321+V321-W321=AA321+AB321-AC321,3&lt;4))),1,0)))</x:f>
        <x:v>99</x:v>
      </x:c>
      <x:c r="AE321" s="6" t="n">
        <x:f>IF('Debt strategy'!$C$16&gt;0,0,MIN(AA321+AB321-AC321,MAX(0,'Debt strategy'!$C$5-SUM(E321,K321,Q321,W321,AC321)-SUM(IF(F321&lt;AD321,C321+D321-E321,0),IF(L321&lt;AD321,I321+J321-K321,0),IF(R321&lt;AD321,O321+P321-Q321,0),IF(X321&lt;AD321,U321+V321-W321,0)))))</x:f>
        <x:v>0</x:v>
      </x:c>
      <x:c r="AF321" s="6" t="n">
        <x:f>ROUND(MAX(0,AA321+AB321-AC321-AE321),2)</x:f>
        <x:v>0</x:v>
      </x:c>
      <x:c r="AG321" s="6" t="n">
        <x:f>SUM(H321,N321,T321,Z321,AF321)</x:f>
        <x:v>0</x:v>
      </x:c>
      <x:c r="AH321" s="6" t="n">
        <x:f>SUM(D321,J321,P321,V321,AB321)+AH320</x:f>
        <x:v>1353.9499999999996</x:v>
      </x:c>
      <x:c r="AI321" s="2"/>
    </x:row>
    <x:row r="322" ht="23" customHeight="1">
      <x:c r="B322" s="2" t="n">
        <x:f>314</x:f>
        <x:v>314</x:v>
      </x:c>
      <x:c r="C322" s="6" t="n">
        <x:f>H321</x:f>
        <x:v>0</x:v>
      </x:c>
      <x:c r="D322" s="6" t="n">
        <x:f>ROUND(C322*'Debt strategy'!$D$9/12,2)</x:f>
        <x:v>0</x:v>
      </x:c>
      <x:c r="E322" s="6" t="n">
        <x:f>MIN(C322+D322,'Debt strategy'!$E$9)</x:f>
        <x:v>0</x:v>
      </x:c>
      <x:c r="F322" s="27" t="n">
        <x:f>IF(C322+D322-E322&lt;=0,99,1+SUM(IF(AND(I322+J322-K322&gt;0,OR(I322+J322-K322&lt;C322+D322-E322,AND(I322+J322-K322=C322+D322-E322,1&lt;0))),1,0),IF(AND(O322+P322-Q322&gt;0,OR(O322+P322-Q322&lt;C322+D322-E322,AND(O322+P322-Q322=C322+D322-E322,2&lt;0))),1,0),IF(AND(U322+V322-W322&gt;0,OR(U322+V322-W322&lt;C322+D322-E322,AND(U322+V322-W322=C322+D322-E322,3&lt;0))),1,0),IF(AND(AA322+AB322-AC322&gt;0,OR(AA322+AB322-AC322&lt;C322+D322-E322,AND(AA322+AB322-AC322=C322+D322-E322,4&lt;0))),1,0)))</x:f>
        <x:v>99</x:v>
      </x:c>
      <x:c r="G322" s="6" t="n">
        <x:f>IF('Debt strategy'!$C$16&gt;0,0,MIN(C322+D322-E322,MAX(0,'Debt strategy'!$C$5-SUM(E322,K322,Q322,W322,AC322)-SUM(IF(L322&lt;F322,I322+J322-K322,0),IF(R322&lt;F322,O322+P322-Q322,0),IF(X322&lt;F322,U322+V322-W322,0),IF(AD322&lt;F322,AA322+AB322-AC322,0)))))</x:f>
        <x:v>0</x:v>
      </x:c>
      <x:c r="H322" s="6" t="n">
        <x:f>ROUND(MAX(0,C322+D322-E322-G322),2)</x:f>
        <x:v>0</x:v>
      </x:c>
      <x:c r="I322" s="6" t="n">
        <x:f>N321</x:f>
        <x:v>0</x:v>
      </x:c>
      <x:c r="J322" s="6" t="n">
        <x:f>ROUND(I322*'Debt strategy'!$D$10/12,2)</x:f>
        <x:v>0</x:v>
      </x:c>
      <x:c r="K322" s="6" t="n">
        <x:f>MIN(I322+J322,'Debt strategy'!$E$10)</x:f>
        <x:v>0</x:v>
      </x:c>
      <x:c r="L322" s="27" t="n">
        <x:f>IF(I322+J322-K322&lt;=0,99,1+SUM(IF(AND(C322+D322-E322&gt;0,OR(C322+D322-E322&lt;I322+J322-K322,AND(C322+D322-E322=I322+J322-K322,0&lt;1))),1,0),IF(AND(O322+P322-Q322&gt;0,OR(O322+P322-Q322&lt;I322+J322-K322,AND(O322+P322-Q322=I322+J322-K322,2&lt;1))),1,0),IF(AND(U322+V322-W322&gt;0,OR(U322+V322-W322&lt;I322+J322-K322,AND(U322+V322-W322=I322+J322-K322,3&lt;1))),1,0),IF(AND(AA322+AB322-AC322&gt;0,OR(AA322+AB322-AC322&lt;I322+J322-K322,AND(AA322+AB322-AC322=I322+J322-K322,4&lt;1))),1,0)))</x:f>
        <x:v>99</x:v>
      </x:c>
      <x:c r="M322" s="6" t="n">
        <x:f>IF('Debt strategy'!$C$16&gt;0,0,MIN(I322+J322-K322,MAX(0,'Debt strategy'!$C$5-SUM(E322,K322,Q322,W322,AC322)-SUM(IF(F322&lt;L322,C322+D322-E322,0),IF(R322&lt;L322,O322+P322-Q322,0),IF(X322&lt;L322,U322+V322-W322,0),IF(AD322&lt;L322,AA322+AB322-AC322,0)))))</x:f>
        <x:v>0</x:v>
      </x:c>
      <x:c r="N322" s="6" t="n">
        <x:f>ROUND(MAX(0,I322+J322-K322-M322),2)</x:f>
        <x:v>0</x:v>
      </x:c>
      <x:c r="O322" s="6" t="n">
        <x:f>T321</x:f>
        <x:v>0</x:v>
      </x:c>
      <x:c r="P322" s="6" t="n">
        <x:f>ROUND(O322*'Debt strategy'!$D$11/12,2)</x:f>
        <x:v>0</x:v>
      </x:c>
      <x:c r="Q322" s="6" t="n">
        <x:f>MIN(O322+P322,'Debt strategy'!$E$11)</x:f>
        <x:v>0</x:v>
      </x:c>
      <x:c r="R322" s="27" t="n">
        <x:f>IF(O322+P322-Q322&lt;=0,99,1+SUM(IF(AND(C322+D322-E322&gt;0,OR(C322+D322-E322&lt;O322+P322-Q322,AND(C322+D322-E322=O322+P322-Q322,0&lt;2))),1,0),IF(AND(I322+J322-K322&gt;0,OR(I322+J322-K322&lt;O322+P322-Q322,AND(I322+J322-K322=O322+P322-Q322,1&lt;2))),1,0),IF(AND(U322+V322-W322&gt;0,OR(U322+V322-W322&lt;O322+P322-Q322,AND(U322+V322-W322=O322+P322-Q322,3&lt;2))),1,0),IF(AND(AA322+AB322-AC322&gt;0,OR(AA322+AB322-AC322&lt;O322+P322-Q322,AND(AA322+AB322-AC322=O322+P322-Q322,4&lt;2))),1,0)))</x:f>
        <x:v>99</x:v>
      </x:c>
      <x:c r="S322" s="6" t="n">
        <x:f>IF('Debt strategy'!$C$16&gt;0,0,MIN(O322+P322-Q322,MAX(0,'Debt strategy'!$C$5-SUM(E322,K322,Q322,W322,AC322)-SUM(IF(F322&lt;R322,C322+D322-E322,0),IF(L322&lt;R322,I322+J322-K322,0),IF(X322&lt;R322,U322+V322-W322,0),IF(AD322&lt;R322,AA322+AB322-AC322,0)))))</x:f>
        <x:v>0</x:v>
      </x:c>
      <x:c r="T322" s="6" t="n">
        <x:f>ROUND(MAX(0,O322+P322-Q322-S322),2)</x:f>
        <x:v>0</x:v>
      </x:c>
      <x:c r="U322" s="6" t="n">
        <x:f>Z321</x:f>
        <x:v>0</x:v>
      </x:c>
      <x:c r="V322" s="6" t="n">
        <x:f>ROUND(U322*'Debt strategy'!$D$12/12,2)</x:f>
        <x:v>0</x:v>
      </x:c>
      <x:c r="W322" s="6" t="n">
        <x:f>MIN(U322+V322,'Debt strategy'!$E$12)</x:f>
        <x:v>0</x:v>
      </x:c>
      <x:c r="X322" s="27" t="n">
        <x:f>IF(U322+V322-W322&lt;=0,99,1+SUM(IF(AND(C322+D322-E322&gt;0,OR(C322+D322-E322&lt;U322+V322-W322,AND(C322+D322-E322=U322+V322-W322,0&lt;3))),1,0),IF(AND(I322+J322-K322&gt;0,OR(I322+J322-K322&lt;U322+V322-W322,AND(I322+J322-K322=U322+V322-W322,1&lt;3))),1,0),IF(AND(O322+P322-Q322&gt;0,OR(O322+P322-Q322&lt;U322+V322-W322,AND(O322+P322-Q322=U322+V322-W322,2&lt;3))),1,0),IF(AND(AA322+AB322-AC322&gt;0,OR(AA322+AB322-AC322&lt;U322+V322-W322,AND(AA322+AB322-AC322=U322+V322-W322,4&lt;3))),1,0)))</x:f>
        <x:v>99</x:v>
      </x:c>
      <x:c r="Y322" s="6" t="n">
        <x:f>IF('Debt strategy'!$C$16&gt;0,0,MIN(U322+V322-W322,MAX(0,'Debt strategy'!$C$5-SUM(E322,K322,Q322,W322,AC322)-SUM(IF(F322&lt;X322,C322+D322-E322,0),IF(L322&lt;X322,I322+J322-K322,0),IF(R322&lt;X322,O322+P322-Q322,0),IF(AD322&lt;X322,AA322+AB322-AC322,0)))))</x:f>
        <x:v>0</x:v>
      </x:c>
      <x:c r="Z322" s="6" t="n">
        <x:f>ROUND(MAX(0,U322+V322-W322-Y322),2)</x:f>
        <x:v>0</x:v>
      </x:c>
      <x:c r="AA322" s="6" t="n">
        <x:f>AF321</x:f>
        <x:v>0</x:v>
      </x:c>
      <x:c r="AB322" s="6" t="n">
        <x:f>ROUND(AA322*'Debt strategy'!$D$13/12,2)</x:f>
        <x:v>0</x:v>
      </x:c>
      <x:c r="AC322" s="6" t="n">
        <x:f>MIN(AA322+AB322,'Debt strategy'!$E$13)</x:f>
        <x:v>0</x:v>
      </x:c>
      <x:c r="AD322" s="27" t="n">
        <x:f>IF(AA322+AB322-AC322&lt;=0,99,1+SUM(IF(AND(C322+D322-E322&gt;0,OR(C322+D322-E322&lt;AA322+AB322-AC322,AND(C322+D322-E322=AA322+AB322-AC322,0&lt;4))),1,0),IF(AND(I322+J322-K322&gt;0,OR(I322+J322-K322&lt;AA322+AB322-AC322,AND(I322+J322-K322=AA322+AB322-AC322,1&lt;4))),1,0),IF(AND(O322+P322-Q322&gt;0,OR(O322+P322-Q322&lt;AA322+AB322-AC322,AND(O322+P322-Q322=AA322+AB322-AC322,2&lt;4))),1,0),IF(AND(U322+V322-W322&gt;0,OR(U322+V322-W322&lt;AA322+AB322-AC322,AND(U322+V322-W322=AA322+AB322-AC322,3&lt;4))),1,0)))</x:f>
        <x:v>99</x:v>
      </x:c>
      <x:c r="AE322" s="6" t="n">
        <x:f>IF('Debt strategy'!$C$16&gt;0,0,MIN(AA322+AB322-AC322,MAX(0,'Debt strategy'!$C$5-SUM(E322,K322,Q322,W322,AC322)-SUM(IF(F322&lt;AD322,C322+D322-E322,0),IF(L322&lt;AD322,I322+J322-K322,0),IF(R322&lt;AD322,O322+P322-Q322,0),IF(X322&lt;AD322,U322+V322-W322,0)))))</x:f>
        <x:v>0</x:v>
      </x:c>
      <x:c r="AF322" s="6" t="n">
        <x:f>ROUND(MAX(0,AA322+AB322-AC322-AE322),2)</x:f>
        <x:v>0</x:v>
      </x:c>
      <x:c r="AG322" s="6" t="n">
        <x:f>SUM(H322,N322,T322,Z322,AF322)</x:f>
        <x:v>0</x:v>
      </x:c>
      <x:c r="AH322" s="6" t="n">
        <x:f>SUM(D322,J322,P322,V322,AB322)+AH321</x:f>
        <x:v>1353.9499999999996</x:v>
      </x:c>
      <x:c r="AI322" s="2"/>
    </x:row>
    <x:row r="323" ht="23" customHeight="1">
      <x:c r="B323" s="2" t="n">
        <x:f>315</x:f>
        <x:v>315</x:v>
      </x:c>
      <x:c r="C323" s="6" t="n">
        <x:f>H322</x:f>
        <x:v>0</x:v>
      </x:c>
      <x:c r="D323" s="6" t="n">
        <x:f>ROUND(C323*'Debt strategy'!$D$9/12,2)</x:f>
        <x:v>0</x:v>
      </x:c>
      <x:c r="E323" s="6" t="n">
        <x:f>MIN(C323+D323,'Debt strategy'!$E$9)</x:f>
        <x:v>0</x:v>
      </x:c>
      <x:c r="F323" s="27" t="n">
        <x:f>IF(C323+D323-E323&lt;=0,99,1+SUM(IF(AND(I323+J323-K323&gt;0,OR(I323+J323-K323&lt;C323+D323-E323,AND(I323+J323-K323=C323+D323-E323,1&lt;0))),1,0),IF(AND(O323+P323-Q323&gt;0,OR(O323+P323-Q323&lt;C323+D323-E323,AND(O323+P323-Q323=C323+D323-E323,2&lt;0))),1,0),IF(AND(U323+V323-W323&gt;0,OR(U323+V323-W323&lt;C323+D323-E323,AND(U323+V323-W323=C323+D323-E323,3&lt;0))),1,0),IF(AND(AA323+AB323-AC323&gt;0,OR(AA323+AB323-AC323&lt;C323+D323-E323,AND(AA323+AB323-AC323=C323+D323-E323,4&lt;0))),1,0)))</x:f>
        <x:v>99</x:v>
      </x:c>
      <x:c r="G323" s="6" t="n">
        <x:f>IF('Debt strategy'!$C$16&gt;0,0,MIN(C323+D323-E323,MAX(0,'Debt strategy'!$C$5-SUM(E323,K323,Q323,W323,AC323)-SUM(IF(L323&lt;F323,I323+J323-K323,0),IF(R323&lt;F323,O323+P323-Q323,0),IF(X323&lt;F323,U323+V323-W323,0),IF(AD323&lt;F323,AA323+AB323-AC323,0)))))</x:f>
        <x:v>0</x:v>
      </x:c>
      <x:c r="H323" s="6" t="n">
        <x:f>ROUND(MAX(0,C323+D323-E323-G323),2)</x:f>
        <x:v>0</x:v>
      </x:c>
      <x:c r="I323" s="6" t="n">
        <x:f>N322</x:f>
        <x:v>0</x:v>
      </x:c>
      <x:c r="J323" s="6" t="n">
        <x:f>ROUND(I323*'Debt strategy'!$D$10/12,2)</x:f>
        <x:v>0</x:v>
      </x:c>
      <x:c r="K323" s="6" t="n">
        <x:f>MIN(I323+J323,'Debt strategy'!$E$10)</x:f>
        <x:v>0</x:v>
      </x:c>
      <x:c r="L323" s="27" t="n">
        <x:f>IF(I323+J323-K323&lt;=0,99,1+SUM(IF(AND(C323+D323-E323&gt;0,OR(C323+D323-E323&lt;I323+J323-K323,AND(C323+D323-E323=I323+J323-K323,0&lt;1))),1,0),IF(AND(O323+P323-Q323&gt;0,OR(O323+P323-Q323&lt;I323+J323-K323,AND(O323+P323-Q323=I323+J323-K323,2&lt;1))),1,0),IF(AND(U323+V323-W323&gt;0,OR(U323+V323-W323&lt;I323+J323-K323,AND(U323+V323-W323=I323+J323-K323,3&lt;1))),1,0),IF(AND(AA323+AB323-AC323&gt;0,OR(AA323+AB323-AC323&lt;I323+J323-K323,AND(AA323+AB323-AC323=I323+J323-K323,4&lt;1))),1,0)))</x:f>
        <x:v>99</x:v>
      </x:c>
      <x:c r="M323" s="6" t="n">
        <x:f>IF('Debt strategy'!$C$16&gt;0,0,MIN(I323+J323-K323,MAX(0,'Debt strategy'!$C$5-SUM(E323,K323,Q323,W323,AC323)-SUM(IF(F323&lt;L323,C323+D323-E323,0),IF(R323&lt;L323,O323+P323-Q323,0),IF(X323&lt;L323,U323+V323-W323,0),IF(AD323&lt;L323,AA323+AB323-AC323,0)))))</x:f>
        <x:v>0</x:v>
      </x:c>
      <x:c r="N323" s="6" t="n">
        <x:f>ROUND(MAX(0,I323+J323-K323-M323),2)</x:f>
        <x:v>0</x:v>
      </x:c>
      <x:c r="O323" s="6" t="n">
        <x:f>T322</x:f>
        <x:v>0</x:v>
      </x:c>
      <x:c r="P323" s="6" t="n">
        <x:f>ROUND(O323*'Debt strategy'!$D$11/12,2)</x:f>
        <x:v>0</x:v>
      </x:c>
      <x:c r="Q323" s="6" t="n">
        <x:f>MIN(O323+P323,'Debt strategy'!$E$11)</x:f>
        <x:v>0</x:v>
      </x:c>
      <x:c r="R323" s="27" t="n">
        <x:f>IF(O323+P323-Q323&lt;=0,99,1+SUM(IF(AND(C323+D323-E323&gt;0,OR(C323+D323-E323&lt;O323+P323-Q323,AND(C323+D323-E323=O323+P323-Q323,0&lt;2))),1,0),IF(AND(I323+J323-K323&gt;0,OR(I323+J323-K323&lt;O323+P323-Q323,AND(I323+J323-K323=O323+P323-Q323,1&lt;2))),1,0),IF(AND(U323+V323-W323&gt;0,OR(U323+V323-W323&lt;O323+P323-Q323,AND(U323+V323-W323=O323+P323-Q323,3&lt;2))),1,0),IF(AND(AA323+AB323-AC323&gt;0,OR(AA323+AB323-AC323&lt;O323+P323-Q323,AND(AA323+AB323-AC323=O323+P323-Q323,4&lt;2))),1,0)))</x:f>
        <x:v>99</x:v>
      </x:c>
      <x:c r="S323" s="6" t="n">
        <x:f>IF('Debt strategy'!$C$16&gt;0,0,MIN(O323+P323-Q323,MAX(0,'Debt strategy'!$C$5-SUM(E323,K323,Q323,W323,AC323)-SUM(IF(F323&lt;R323,C323+D323-E323,0),IF(L323&lt;R323,I323+J323-K323,0),IF(X323&lt;R323,U323+V323-W323,0),IF(AD323&lt;R323,AA323+AB323-AC323,0)))))</x:f>
        <x:v>0</x:v>
      </x:c>
      <x:c r="T323" s="6" t="n">
        <x:f>ROUND(MAX(0,O323+P323-Q323-S323),2)</x:f>
        <x:v>0</x:v>
      </x:c>
      <x:c r="U323" s="6" t="n">
        <x:f>Z322</x:f>
        <x:v>0</x:v>
      </x:c>
      <x:c r="V323" s="6" t="n">
        <x:f>ROUND(U323*'Debt strategy'!$D$12/12,2)</x:f>
        <x:v>0</x:v>
      </x:c>
      <x:c r="W323" s="6" t="n">
        <x:f>MIN(U323+V323,'Debt strategy'!$E$12)</x:f>
        <x:v>0</x:v>
      </x:c>
      <x:c r="X323" s="27" t="n">
        <x:f>IF(U323+V323-W323&lt;=0,99,1+SUM(IF(AND(C323+D323-E323&gt;0,OR(C323+D323-E323&lt;U323+V323-W323,AND(C323+D323-E323=U323+V323-W323,0&lt;3))),1,0),IF(AND(I323+J323-K323&gt;0,OR(I323+J323-K323&lt;U323+V323-W323,AND(I323+J323-K323=U323+V323-W323,1&lt;3))),1,0),IF(AND(O323+P323-Q323&gt;0,OR(O323+P323-Q323&lt;U323+V323-W323,AND(O323+P323-Q323=U323+V323-W323,2&lt;3))),1,0),IF(AND(AA323+AB323-AC323&gt;0,OR(AA323+AB323-AC323&lt;U323+V323-W323,AND(AA323+AB323-AC323=U323+V323-W323,4&lt;3))),1,0)))</x:f>
        <x:v>99</x:v>
      </x:c>
      <x:c r="Y323" s="6" t="n">
        <x:f>IF('Debt strategy'!$C$16&gt;0,0,MIN(U323+V323-W323,MAX(0,'Debt strategy'!$C$5-SUM(E323,K323,Q323,W323,AC323)-SUM(IF(F323&lt;X323,C323+D323-E323,0),IF(L323&lt;X323,I323+J323-K323,0),IF(R323&lt;X323,O323+P323-Q323,0),IF(AD323&lt;X323,AA323+AB323-AC323,0)))))</x:f>
        <x:v>0</x:v>
      </x:c>
      <x:c r="Z323" s="6" t="n">
        <x:f>ROUND(MAX(0,U323+V323-W323-Y323),2)</x:f>
        <x:v>0</x:v>
      </x:c>
      <x:c r="AA323" s="6" t="n">
        <x:f>AF322</x:f>
        <x:v>0</x:v>
      </x:c>
      <x:c r="AB323" s="6" t="n">
        <x:f>ROUND(AA323*'Debt strategy'!$D$13/12,2)</x:f>
        <x:v>0</x:v>
      </x:c>
      <x:c r="AC323" s="6" t="n">
        <x:f>MIN(AA323+AB323,'Debt strategy'!$E$13)</x:f>
        <x:v>0</x:v>
      </x:c>
      <x:c r="AD323" s="27" t="n">
        <x:f>IF(AA323+AB323-AC323&lt;=0,99,1+SUM(IF(AND(C323+D323-E323&gt;0,OR(C323+D323-E323&lt;AA323+AB323-AC323,AND(C323+D323-E323=AA323+AB323-AC323,0&lt;4))),1,0),IF(AND(I323+J323-K323&gt;0,OR(I323+J323-K323&lt;AA323+AB323-AC323,AND(I323+J323-K323=AA323+AB323-AC323,1&lt;4))),1,0),IF(AND(O323+P323-Q323&gt;0,OR(O323+P323-Q323&lt;AA323+AB323-AC323,AND(O323+P323-Q323=AA323+AB323-AC323,2&lt;4))),1,0),IF(AND(U323+V323-W323&gt;0,OR(U323+V323-W323&lt;AA323+AB323-AC323,AND(U323+V323-W323=AA323+AB323-AC323,3&lt;4))),1,0)))</x:f>
        <x:v>99</x:v>
      </x:c>
      <x:c r="AE323" s="6" t="n">
        <x:f>IF('Debt strategy'!$C$16&gt;0,0,MIN(AA323+AB323-AC323,MAX(0,'Debt strategy'!$C$5-SUM(E323,K323,Q323,W323,AC323)-SUM(IF(F323&lt;AD323,C323+D323-E323,0),IF(L323&lt;AD323,I323+J323-K323,0),IF(R323&lt;AD323,O323+P323-Q323,0),IF(X323&lt;AD323,U323+V323-W323,0)))))</x:f>
        <x:v>0</x:v>
      </x:c>
      <x:c r="AF323" s="6" t="n">
        <x:f>ROUND(MAX(0,AA323+AB323-AC323-AE323),2)</x:f>
        <x:v>0</x:v>
      </x:c>
      <x:c r="AG323" s="6" t="n">
        <x:f>SUM(H323,N323,T323,Z323,AF323)</x:f>
        <x:v>0</x:v>
      </x:c>
      <x:c r="AH323" s="6" t="n">
        <x:f>SUM(D323,J323,P323,V323,AB323)+AH322</x:f>
        <x:v>1353.9499999999996</x:v>
      </x:c>
      <x:c r="AI323" s="2"/>
    </x:row>
    <x:row r="324" ht="23" customHeight="1">
      <x:c r="B324" s="2" t="n">
        <x:f>316</x:f>
        <x:v>316</x:v>
      </x:c>
      <x:c r="C324" s="6" t="n">
        <x:f>H323</x:f>
        <x:v>0</x:v>
      </x:c>
      <x:c r="D324" s="6" t="n">
        <x:f>ROUND(C324*'Debt strategy'!$D$9/12,2)</x:f>
        <x:v>0</x:v>
      </x:c>
      <x:c r="E324" s="6" t="n">
        <x:f>MIN(C324+D324,'Debt strategy'!$E$9)</x:f>
        <x:v>0</x:v>
      </x:c>
      <x:c r="F324" s="27" t="n">
        <x:f>IF(C324+D324-E324&lt;=0,99,1+SUM(IF(AND(I324+J324-K324&gt;0,OR(I324+J324-K324&lt;C324+D324-E324,AND(I324+J324-K324=C324+D324-E324,1&lt;0))),1,0),IF(AND(O324+P324-Q324&gt;0,OR(O324+P324-Q324&lt;C324+D324-E324,AND(O324+P324-Q324=C324+D324-E324,2&lt;0))),1,0),IF(AND(U324+V324-W324&gt;0,OR(U324+V324-W324&lt;C324+D324-E324,AND(U324+V324-W324=C324+D324-E324,3&lt;0))),1,0),IF(AND(AA324+AB324-AC324&gt;0,OR(AA324+AB324-AC324&lt;C324+D324-E324,AND(AA324+AB324-AC324=C324+D324-E324,4&lt;0))),1,0)))</x:f>
        <x:v>99</x:v>
      </x:c>
      <x:c r="G324" s="6" t="n">
        <x:f>IF('Debt strategy'!$C$16&gt;0,0,MIN(C324+D324-E324,MAX(0,'Debt strategy'!$C$5-SUM(E324,K324,Q324,W324,AC324)-SUM(IF(L324&lt;F324,I324+J324-K324,0),IF(R324&lt;F324,O324+P324-Q324,0),IF(X324&lt;F324,U324+V324-W324,0),IF(AD324&lt;F324,AA324+AB324-AC324,0)))))</x:f>
        <x:v>0</x:v>
      </x:c>
      <x:c r="H324" s="6" t="n">
        <x:f>ROUND(MAX(0,C324+D324-E324-G324),2)</x:f>
        <x:v>0</x:v>
      </x:c>
      <x:c r="I324" s="6" t="n">
        <x:f>N323</x:f>
        <x:v>0</x:v>
      </x:c>
      <x:c r="J324" s="6" t="n">
        <x:f>ROUND(I324*'Debt strategy'!$D$10/12,2)</x:f>
        <x:v>0</x:v>
      </x:c>
      <x:c r="K324" s="6" t="n">
        <x:f>MIN(I324+J324,'Debt strategy'!$E$10)</x:f>
        <x:v>0</x:v>
      </x:c>
      <x:c r="L324" s="27" t="n">
        <x:f>IF(I324+J324-K324&lt;=0,99,1+SUM(IF(AND(C324+D324-E324&gt;0,OR(C324+D324-E324&lt;I324+J324-K324,AND(C324+D324-E324=I324+J324-K324,0&lt;1))),1,0),IF(AND(O324+P324-Q324&gt;0,OR(O324+P324-Q324&lt;I324+J324-K324,AND(O324+P324-Q324=I324+J324-K324,2&lt;1))),1,0),IF(AND(U324+V324-W324&gt;0,OR(U324+V324-W324&lt;I324+J324-K324,AND(U324+V324-W324=I324+J324-K324,3&lt;1))),1,0),IF(AND(AA324+AB324-AC324&gt;0,OR(AA324+AB324-AC324&lt;I324+J324-K324,AND(AA324+AB324-AC324=I324+J324-K324,4&lt;1))),1,0)))</x:f>
        <x:v>99</x:v>
      </x:c>
      <x:c r="M324" s="6" t="n">
        <x:f>IF('Debt strategy'!$C$16&gt;0,0,MIN(I324+J324-K324,MAX(0,'Debt strategy'!$C$5-SUM(E324,K324,Q324,W324,AC324)-SUM(IF(F324&lt;L324,C324+D324-E324,0),IF(R324&lt;L324,O324+P324-Q324,0),IF(X324&lt;L324,U324+V324-W324,0),IF(AD324&lt;L324,AA324+AB324-AC324,0)))))</x:f>
        <x:v>0</x:v>
      </x:c>
      <x:c r="N324" s="6" t="n">
        <x:f>ROUND(MAX(0,I324+J324-K324-M324),2)</x:f>
        <x:v>0</x:v>
      </x:c>
      <x:c r="O324" s="6" t="n">
        <x:f>T323</x:f>
        <x:v>0</x:v>
      </x:c>
      <x:c r="P324" s="6" t="n">
        <x:f>ROUND(O324*'Debt strategy'!$D$11/12,2)</x:f>
        <x:v>0</x:v>
      </x:c>
      <x:c r="Q324" s="6" t="n">
        <x:f>MIN(O324+P324,'Debt strategy'!$E$11)</x:f>
        <x:v>0</x:v>
      </x:c>
      <x:c r="R324" s="27" t="n">
        <x:f>IF(O324+P324-Q324&lt;=0,99,1+SUM(IF(AND(C324+D324-E324&gt;0,OR(C324+D324-E324&lt;O324+P324-Q324,AND(C324+D324-E324=O324+P324-Q324,0&lt;2))),1,0),IF(AND(I324+J324-K324&gt;0,OR(I324+J324-K324&lt;O324+P324-Q324,AND(I324+J324-K324=O324+P324-Q324,1&lt;2))),1,0),IF(AND(U324+V324-W324&gt;0,OR(U324+V324-W324&lt;O324+P324-Q324,AND(U324+V324-W324=O324+P324-Q324,3&lt;2))),1,0),IF(AND(AA324+AB324-AC324&gt;0,OR(AA324+AB324-AC324&lt;O324+P324-Q324,AND(AA324+AB324-AC324=O324+P324-Q324,4&lt;2))),1,0)))</x:f>
        <x:v>99</x:v>
      </x:c>
      <x:c r="S324" s="6" t="n">
        <x:f>IF('Debt strategy'!$C$16&gt;0,0,MIN(O324+P324-Q324,MAX(0,'Debt strategy'!$C$5-SUM(E324,K324,Q324,W324,AC324)-SUM(IF(F324&lt;R324,C324+D324-E324,0),IF(L324&lt;R324,I324+J324-K324,0),IF(X324&lt;R324,U324+V324-W324,0),IF(AD324&lt;R324,AA324+AB324-AC324,0)))))</x:f>
        <x:v>0</x:v>
      </x:c>
      <x:c r="T324" s="6" t="n">
        <x:f>ROUND(MAX(0,O324+P324-Q324-S324),2)</x:f>
        <x:v>0</x:v>
      </x:c>
      <x:c r="U324" s="6" t="n">
        <x:f>Z323</x:f>
        <x:v>0</x:v>
      </x:c>
      <x:c r="V324" s="6" t="n">
        <x:f>ROUND(U324*'Debt strategy'!$D$12/12,2)</x:f>
        <x:v>0</x:v>
      </x:c>
      <x:c r="W324" s="6" t="n">
        <x:f>MIN(U324+V324,'Debt strategy'!$E$12)</x:f>
        <x:v>0</x:v>
      </x:c>
      <x:c r="X324" s="27" t="n">
        <x:f>IF(U324+V324-W324&lt;=0,99,1+SUM(IF(AND(C324+D324-E324&gt;0,OR(C324+D324-E324&lt;U324+V324-W324,AND(C324+D324-E324=U324+V324-W324,0&lt;3))),1,0),IF(AND(I324+J324-K324&gt;0,OR(I324+J324-K324&lt;U324+V324-W324,AND(I324+J324-K324=U324+V324-W324,1&lt;3))),1,0),IF(AND(O324+P324-Q324&gt;0,OR(O324+P324-Q324&lt;U324+V324-W324,AND(O324+P324-Q324=U324+V324-W324,2&lt;3))),1,0),IF(AND(AA324+AB324-AC324&gt;0,OR(AA324+AB324-AC324&lt;U324+V324-W324,AND(AA324+AB324-AC324=U324+V324-W324,4&lt;3))),1,0)))</x:f>
        <x:v>99</x:v>
      </x:c>
      <x:c r="Y324" s="6" t="n">
        <x:f>IF('Debt strategy'!$C$16&gt;0,0,MIN(U324+V324-W324,MAX(0,'Debt strategy'!$C$5-SUM(E324,K324,Q324,W324,AC324)-SUM(IF(F324&lt;X324,C324+D324-E324,0),IF(L324&lt;X324,I324+J324-K324,0),IF(R324&lt;X324,O324+P324-Q324,0),IF(AD324&lt;X324,AA324+AB324-AC324,0)))))</x:f>
        <x:v>0</x:v>
      </x:c>
      <x:c r="Z324" s="6" t="n">
        <x:f>ROUND(MAX(0,U324+V324-W324-Y324),2)</x:f>
        <x:v>0</x:v>
      </x:c>
      <x:c r="AA324" s="6" t="n">
        <x:f>AF323</x:f>
        <x:v>0</x:v>
      </x:c>
      <x:c r="AB324" s="6" t="n">
        <x:f>ROUND(AA324*'Debt strategy'!$D$13/12,2)</x:f>
        <x:v>0</x:v>
      </x:c>
      <x:c r="AC324" s="6" t="n">
        <x:f>MIN(AA324+AB324,'Debt strategy'!$E$13)</x:f>
        <x:v>0</x:v>
      </x:c>
      <x:c r="AD324" s="27" t="n">
        <x:f>IF(AA324+AB324-AC324&lt;=0,99,1+SUM(IF(AND(C324+D324-E324&gt;0,OR(C324+D324-E324&lt;AA324+AB324-AC324,AND(C324+D324-E324=AA324+AB324-AC324,0&lt;4))),1,0),IF(AND(I324+J324-K324&gt;0,OR(I324+J324-K324&lt;AA324+AB324-AC324,AND(I324+J324-K324=AA324+AB324-AC324,1&lt;4))),1,0),IF(AND(O324+P324-Q324&gt;0,OR(O324+P324-Q324&lt;AA324+AB324-AC324,AND(O324+P324-Q324=AA324+AB324-AC324,2&lt;4))),1,0),IF(AND(U324+V324-W324&gt;0,OR(U324+V324-W324&lt;AA324+AB324-AC324,AND(U324+V324-W324=AA324+AB324-AC324,3&lt;4))),1,0)))</x:f>
        <x:v>99</x:v>
      </x:c>
      <x:c r="AE324" s="6" t="n">
        <x:f>IF('Debt strategy'!$C$16&gt;0,0,MIN(AA324+AB324-AC324,MAX(0,'Debt strategy'!$C$5-SUM(E324,K324,Q324,W324,AC324)-SUM(IF(F324&lt;AD324,C324+D324-E324,0),IF(L324&lt;AD324,I324+J324-K324,0),IF(R324&lt;AD324,O324+P324-Q324,0),IF(X324&lt;AD324,U324+V324-W324,0)))))</x:f>
        <x:v>0</x:v>
      </x:c>
      <x:c r="AF324" s="6" t="n">
        <x:f>ROUND(MAX(0,AA324+AB324-AC324-AE324),2)</x:f>
        <x:v>0</x:v>
      </x:c>
      <x:c r="AG324" s="6" t="n">
        <x:f>SUM(H324,N324,T324,Z324,AF324)</x:f>
        <x:v>0</x:v>
      </x:c>
      <x:c r="AH324" s="6" t="n">
        <x:f>SUM(D324,J324,P324,V324,AB324)+AH323</x:f>
        <x:v>1353.9499999999996</x:v>
      </x:c>
      <x:c r="AI324" s="2"/>
    </x:row>
    <x:row r="325" ht="23" customHeight="1">
      <x:c r="B325" s="2" t="n">
        <x:f>317</x:f>
        <x:v>317</x:v>
      </x:c>
      <x:c r="C325" s="6" t="n">
        <x:f>H324</x:f>
        <x:v>0</x:v>
      </x:c>
      <x:c r="D325" s="6" t="n">
        <x:f>ROUND(C325*'Debt strategy'!$D$9/12,2)</x:f>
        <x:v>0</x:v>
      </x:c>
      <x:c r="E325" s="6" t="n">
        <x:f>MIN(C325+D325,'Debt strategy'!$E$9)</x:f>
        <x:v>0</x:v>
      </x:c>
      <x:c r="F325" s="27" t="n">
        <x:f>IF(C325+D325-E325&lt;=0,99,1+SUM(IF(AND(I325+J325-K325&gt;0,OR(I325+J325-K325&lt;C325+D325-E325,AND(I325+J325-K325=C325+D325-E325,1&lt;0))),1,0),IF(AND(O325+P325-Q325&gt;0,OR(O325+P325-Q325&lt;C325+D325-E325,AND(O325+P325-Q325=C325+D325-E325,2&lt;0))),1,0),IF(AND(U325+V325-W325&gt;0,OR(U325+V325-W325&lt;C325+D325-E325,AND(U325+V325-W325=C325+D325-E325,3&lt;0))),1,0),IF(AND(AA325+AB325-AC325&gt;0,OR(AA325+AB325-AC325&lt;C325+D325-E325,AND(AA325+AB325-AC325=C325+D325-E325,4&lt;0))),1,0)))</x:f>
        <x:v>99</x:v>
      </x:c>
      <x:c r="G325" s="6" t="n">
        <x:f>IF('Debt strategy'!$C$16&gt;0,0,MIN(C325+D325-E325,MAX(0,'Debt strategy'!$C$5-SUM(E325,K325,Q325,W325,AC325)-SUM(IF(L325&lt;F325,I325+J325-K325,0),IF(R325&lt;F325,O325+P325-Q325,0),IF(X325&lt;F325,U325+V325-W325,0),IF(AD325&lt;F325,AA325+AB325-AC325,0)))))</x:f>
        <x:v>0</x:v>
      </x:c>
      <x:c r="H325" s="6" t="n">
        <x:f>ROUND(MAX(0,C325+D325-E325-G325),2)</x:f>
        <x:v>0</x:v>
      </x:c>
      <x:c r="I325" s="6" t="n">
        <x:f>N324</x:f>
        <x:v>0</x:v>
      </x:c>
      <x:c r="J325" s="6" t="n">
        <x:f>ROUND(I325*'Debt strategy'!$D$10/12,2)</x:f>
        <x:v>0</x:v>
      </x:c>
      <x:c r="K325" s="6" t="n">
        <x:f>MIN(I325+J325,'Debt strategy'!$E$10)</x:f>
        <x:v>0</x:v>
      </x:c>
      <x:c r="L325" s="27" t="n">
        <x:f>IF(I325+J325-K325&lt;=0,99,1+SUM(IF(AND(C325+D325-E325&gt;0,OR(C325+D325-E325&lt;I325+J325-K325,AND(C325+D325-E325=I325+J325-K325,0&lt;1))),1,0),IF(AND(O325+P325-Q325&gt;0,OR(O325+P325-Q325&lt;I325+J325-K325,AND(O325+P325-Q325=I325+J325-K325,2&lt;1))),1,0),IF(AND(U325+V325-W325&gt;0,OR(U325+V325-W325&lt;I325+J325-K325,AND(U325+V325-W325=I325+J325-K325,3&lt;1))),1,0),IF(AND(AA325+AB325-AC325&gt;0,OR(AA325+AB325-AC325&lt;I325+J325-K325,AND(AA325+AB325-AC325=I325+J325-K325,4&lt;1))),1,0)))</x:f>
        <x:v>99</x:v>
      </x:c>
      <x:c r="M325" s="6" t="n">
        <x:f>IF('Debt strategy'!$C$16&gt;0,0,MIN(I325+J325-K325,MAX(0,'Debt strategy'!$C$5-SUM(E325,K325,Q325,W325,AC325)-SUM(IF(F325&lt;L325,C325+D325-E325,0),IF(R325&lt;L325,O325+P325-Q325,0),IF(X325&lt;L325,U325+V325-W325,0),IF(AD325&lt;L325,AA325+AB325-AC325,0)))))</x:f>
        <x:v>0</x:v>
      </x:c>
      <x:c r="N325" s="6" t="n">
        <x:f>ROUND(MAX(0,I325+J325-K325-M325),2)</x:f>
        <x:v>0</x:v>
      </x:c>
      <x:c r="O325" s="6" t="n">
        <x:f>T324</x:f>
        <x:v>0</x:v>
      </x:c>
      <x:c r="P325" s="6" t="n">
        <x:f>ROUND(O325*'Debt strategy'!$D$11/12,2)</x:f>
        <x:v>0</x:v>
      </x:c>
      <x:c r="Q325" s="6" t="n">
        <x:f>MIN(O325+P325,'Debt strategy'!$E$11)</x:f>
        <x:v>0</x:v>
      </x:c>
      <x:c r="R325" s="27" t="n">
        <x:f>IF(O325+P325-Q325&lt;=0,99,1+SUM(IF(AND(C325+D325-E325&gt;0,OR(C325+D325-E325&lt;O325+P325-Q325,AND(C325+D325-E325=O325+P325-Q325,0&lt;2))),1,0),IF(AND(I325+J325-K325&gt;0,OR(I325+J325-K325&lt;O325+P325-Q325,AND(I325+J325-K325=O325+P325-Q325,1&lt;2))),1,0),IF(AND(U325+V325-W325&gt;0,OR(U325+V325-W325&lt;O325+P325-Q325,AND(U325+V325-W325=O325+P325-Q325,3&lt;2))),1,0),IF(AND(AA325+AB325-AC325&gt;0,OR(AA325+AB325-AC325&lt;O325+P325-Q325,AND(AA325+AB325-AC325=O325+P325-Q325,4&lt;2))),1,0)))</x:f>
        <x:v>99</x:v>
      </x:c>
      <x:c r="S325" s="6" t="n">
        <x:f>IF('Debt strategy'!$C$16&gt;0,0,MIN(O325+P325-Q325,MAX(0,'Debt strategy'!$C$5-SUM(E325,K325,Q325,W325,AC325)-SUM(IF(F325&lt;R325,C325+D325-E325,0),IF(L325&lt;R325,I325+J325-K325,0),IF(X325&lt;R325,U325+V325-W325,0),IF(AD325&lt;R325,AA325+AB325-AC325,0)))))</x:f>
        <x:v>0</x:v>
      </x:c>
      <x:c r="T325" s="6" t="n">
        <x:f>ROUND(MAX(0,O325+P325-Q325-S325),2)</x:f>
        <x:v>0</x:v>
      </x:c>
      <x:c r="U325" s="6" t="n">
        <x:f>Z324</x:f>
        <x:v>0</x:v>
      </x:c>
      <x:c r="V325" s="6" t="n">
        <x:f>ROUND(U325*'Debt strategy'!$D$12/12,2)</x:f>
        <x:v>0</x:v>
      </x:c>
      <x:c r="W325" s="6" t="n">
        <x:f>MIN(U325+V325,'Debt strategy'!$E$12)</x:f>
        <x:v>0</x:v>
      </x:c>
      <x:c r="X325" s="27" t="n">
        <x:f>IF(U325+V325-W325&lt;=0,99,1+SUM(IF(AND(C325+D325-E325&gt;0,OR(C325+D325-E325&lt;U325+V325-W325,AND(C325+D325-E325=U325+V325-W325,0&lt;3))),1,0),IF(AND(I325+J325-K325&gt;0,OR(I325+J325-K325&lt;U325+V325-W325,AND(I325+J325-K325=U325+V325-W325,1&lt;3))),1,0),IF(AND(O325+P325-Q325&gt;0,OR(O325+P325-Q325&lt;U325+V325-W325,AND(O325+P325-Q325=U325+V325-W325,2&lt;3))),1,0),IF(AND(AA325+AB325-AC325&gt;0,OR(AA325+AB325-AC325&lt;U325+V325-W325,AND(AA325+AB325-AC325=U325+V325-W325,4&lt;3))),1,0)))</x:f>
        <x:v>99</x:v>
      </x:c>
      <x:c r="Y325" s="6" t="n">
        <x:f>IF('Debt strategy'!$C$16&gt;0,0,MIN(U325+V325-W325,MAX(0,'Debt strategy'!$C$5-SUM(E325,K325,Q325,W325,AC325)-SUM(IF(F325&lt;X325,C325+D325-E325,0),IF(L325&lt;X325,I325+J325-K325,0),IF(R325&lt;X325,O325+P325-Q325,0),IF(AD325&lt;X325,AA325+AB325-AC325,0)))))</x:f>
        <x:v>0</x:v>
      </x:c>
      <x:c r="Z325" s="6" t="n">
        <x:f>ROUND(MAX(0,U325+V325-W325-Y325),2)</x:f>
        <x:v>0</x:v>
      </x:c>
      <x:c r="AA325" s="6" t="n">
        <x:f>AF324</x:f>
        <x:v>0</x:v>
      </x:c>
      <x:c r="AB325" s="6" t="n">
        <x:f>ROUND(AA325*'Debt strategy'!$D$13/12,2)</x:f>
        <x:v>0</x:v>
      </x:c>
      <x:c r="AC325" s="6" t="n">
        <x:f>MIN(AA325+AB325,'Debt strategy'!$E$13)</x:f>
        <x:v>0</x:v>
      </x:c>
      <x:c r="AD325" s="27" t="n">
        <x:f>IF(AA325+AB325-AC325&lt;=0,99,1+SUM(IF(AND(C325+D325-E325&gt;0,OR(C325+D325-E325&lt;AA325+AB325-AC325,AND(C325+D325-E325=AA325+AB325-AC325,0&lt;4))),1,0),IF(AND(I325+J325-K325&gt;0,OR(I325+J325-K325&lt;AA325+AB325-AC325,AND(I325+J325-K325=AA325+AB325-AC325,1&lt;4))),1,0),IF(AND(O325+P325-Q325&gt;0,OR(O325+P325-Q325&lt;AA325+AB325-AC325,AND(O325+P325-Q325=AA325+AB325-AC325,2&lt;4))),1,0),IF(AND(U325+V325-W325&gt;0,OR(U325+V325-W325&lt;AA325+AB325-AC325,AND(U325+V325-W325=AA325+AB325-AC325,3&lt;4))),1,0)))</x:f>
        <x:v>99</x:v>
      </x:c>
      <x:c r="AE325" s="6" t="n">
        <x:f>IF('Debt strategy'!$C$16&gt;0,0,MIN(AA325+AB325-AC325,MAX(0,'Debt strategy'!$C$5-SUM(E325,K325,Q325,W325,AC325)-SUM(IF(F325&lt;AD325,C325+D325-E325,0),IF(L325&lt;AD325,I325+J325-K325,0),IF(R325&lt;AD325,O325+P325-Q325,0),IF(X325&lt;AD325,U325+V325-W325,0)))))</x:f>
        <x:v>0</x:v>
      </x:c>
      <x:c r="AF325" s="6" t="n">
        <x:f>ROUND(MAX(0,AA325+AB325-AC325-AE325),2)</x:f>
        <x:v>0</x:v>
      </x:c>
      <x:c r="AG325" s="6" t="n">
        <x:f>SUM(H325,N325,T325,Z325,AF325)</x:f>
        <x:v>0</x:v>
      </x:c>
      <x:c r="AH325" s="6" t="n">
        <x:f>SUM(D325,J325,P325,V325,AB325)+AH324</x:f>
        <x:v>1353.9499999999996</x:v>
      </x:c>
      <x:c r="AI325" s="2"/>
    </x:row>
    <x:row r="326" ht="23" customHeight="1">
      <x:c r="B326" s="2" t="n">
        <x:f>318</x:f>
        <x:v>318</x:v>
      </x:c>
      <x:c r="C326" s="6" t="n">
        <x:f>H325</x:f>
        <x:v>0</x:v>
      </x:c>
      <x:c r="D326" s="6" t="n">
        <x:f>ROUND(C326*'Debt strategy'!$D$9/12,2)</x:f>
        <x:v>0</x:v>
      </x:c>
      <x:c r="E326" s="6" t="n">
        <x:f>MIN(C326+D326,'Debt strategy'!$E$9)</x:f>
        <x:v>0</x:v>
      </x:c>
      <x:c r="F326" s="27" t="n">
        <x:f>IF(C326+D326-E326&lt;=0,99,1+SUM(IF(AND(I326+J326-K326&gt;0,OR(I326+J326-K326&lt;C326+D326-E326,AND(I326+J326-K326=C326+D326-E326,1&lt;0))),1,0),IF(AND(O326+P326-Q326&gt;0,OR(O326+P326-Q326&lt;C326+D326-E326,AND(O326+P326-Q326=C326+D326-E326,2&lt;0))),1,0),IF(AND(U326+V326-W326&gt;0,OR(U326+V326-W326&lt;C326+D326-E326,AND(U326+V326-W326=C326+D326-E326,3&lt;0))),1,0),IF(AND(AA326+AB326-AC326&gt;0,OR(AA326+AB326-AC326&lt;C326+D326-E326,AND(AA326+AB326-AC326=C326+D326-E326,4&lt;0))),1,0)))</x:f>
        <x:v>99</x:v>
      </x:c>
      <x:c r="G326" s="6" t="n">
        <x:f>IF('Debt strategy'!$C$16&gt;0,0,MIN(C326+D326-E326,MAX(0,'Debt strategy'!$C$5-SUM(E326,K326,Q326,W326,AC326)-SUM(IF(L326&lt;F326,I326+J326-K326,0),IF(R326&lt;F326,O326+P326-Q326,0),IF(X326&lt;F326,U326+V326-W326,0),IF(AD326&lt;F326,AA326+AB326-AC326,0)))))</x:f>
        <x:v>0</x:v>
      </x:c>
      <x:c r="H326" s="6" t="n">
        <x:f>ROUND(MAX(0,C326+D326-E326-G326),2)</x:f>
        <x:v>0</x:v>
      </x:c>
      <x:c r="I326" s="6" t="n">
        <x:f>N325</x:f>
        <x:v>0</x:v>
      </x:c>
      <x:c r="J326" s="6" t="n">
        <x:f>ROUND(I326*'Debt strategy'!$D$10/12,2)</x:f>
        <x:v>0</x:v>
      </x:c>
      <x:c r="K326" s="6" t="n">
        <x:f>MIN(I326+J326,'Debt strategy'!$E$10)</x:f>
        <x:v>0</x:v>
      </x:c>
      <x:c r="L326" s="27" t="n">
        <x:f>IF(I326+J326-K326&lt;=0,99,1+SUM(IF(AND(C326+D326-E326&gt;0,OR(C326+D326-E326&lt;I326+J326-K326,AND(C326+D326-E326=I326+J326-K326,0&lt;1))),1,0),IF(AND(O326+P326-Q326&gt;0,OR(O326+P326-Q326&lt;I326+J326-K326,AND(O326+P326-Q326=I326+J326-K326,2&lt;1))),1,0),IF(AND(U326+V326-W326&gt;0,OR(U326+V326-W326&lt;I326+J326-K326,AND(U326+V326-W326=I326+J326-K326,3&lt;1))),1,0),IF(AND(AA326+AB326-AC326&gt;0,OR(AA326+AB326-AC326&lt;I326+J326-K326,AND(AA326+AB326-AC326=I326+J326-K326,4&lt;1))),1,0)))</x:f>
        <x:v>99</x:v>
      </x:c>
      <x:c r="M326" s="6" t="n">
        <x:f>IF('Debt strategy'!$C$16&gt;0,0,MIN(I326+J326-K326,MAX(0,'Debt strategy'!$C$5-SUM(E326,K326,Q326,W326,AC326)-SUM(IF(F326&lt;L326,C326+D326-E326,0),IF(R326&lt;L326,O326+P326-Q326,0),IF(X326&lt;L326,U326+V326-W326,0),IF(AD326&lt;L326,AA326+AB326-AC326,0)))))</x:f>
        <x:v>0</x:v>
      </x:c>
      <x:c r="N326" s="6" t="n">
        <x:f>ROUND(MAX(0,I326+J326-K326-M326),2)</x:f>
        <x:v>0</x:v>
      </x:c>
      <x:c r="O326" s="6" t="n">
        <x:f>T325</x:f>
        <x:v>0</x:v>
      </x:c>
      <x:c r="P326" s="6" t="n">
        <x:f>ROUND(O326*'Debt strategy'!$D$11/12,2)</x:f>
        <x:v>0</x:v>
      </x:c>
      <x:c r="Q326" s="6" t="n">
        <x:f>MIN(O326+P326,'Debt strategy'!$E$11)</x:f>
        <x:v>0</x:v>
      </x:c>
      <x:c r="R326" s="27" t="n">
        <x:f>IF(O326+P326-Q326&lt;=0,99,1+SUM(IF(AND(C326+D326-E326&gt;0,OR(C326+D326-E326&lt;O326+P326-Q326,AND(C326+D326-E326=O326+P326-Q326,0&lt;2))),1,0),IF(AND(I326+J326-K326&gt;0,OR(I326+J326-K326&lt;O326+P326-Q326,AND(I326+J326-K326=O326+P326-Q326,1&lt;2))),1,0),IF(AND(U326+V326-W326&gt;0,OR(U326+V326-W326&lt;O326+P326-Q326,AND(U326+V326-W326=O326+P326-Q326,3&lt;2))),1,0),IF(AND(AA326+AB326-AC326&gt;0,OR(AA326+AB326-AC326&lt;O326+P326-Q326,AND(AA326+AB326-AC326=O326+P326-Q326,4&lt;2))),1,0)))</x:f>
        <x:v>99</x:v>
      </x:c>
      <x:c r="S326" s="6" t="n">
        <x:f>IF('Debt strategy'!$C$16&gt;0,0,MIN(O326+P326-Q326,MAX(0,'Debt strategy'!$C$5-SUM(E326,K326,Q326,W326,AC326)-SUM(IF(F326&lt;R326,C326+D326-E326,0),IF(L326&lt;R326,I326+J326-K326,0),IF(X326&lt;R326,U326+V326-W326,0),IF(AD326&lt;R326,AA326+AB326-AC326,0)))))</x:f>
        <x:v>0</x:v>
      </x:c>
      <x:c r="T326" s="6" t="n">
        <x:f>ROUND(MAX(0,O326+P326-Q326-S326),2)</x:f>
        <x:v>0</x:v>
      </x:c>
      <x:c r="U326" s="6" t="n">
        <x:f>Z325</x:f>
        <x:v>0</x:v>
      </x:c>
      <x:c r="V326" s="6" t="n">
        <x:f>ROUND(U326*'Debt strategy'!$D$12/12,2)</x:f>
        <x:v>0</x:v>
      </x:c>
      <x:c r="W326" s="6" t="n">
        <x:f>MIN(U326+V326,'Debt strategy'!$E$12)</x:f>
        <x:v>0</x:v>
      </x:c>
      <x:c r="X326" s="27" t="n">
        <x:f>IF(U326+V326-W326&lt;=0,99,1+SUM(IF(AND(C326+D326-E326&gt;0,OR(C326+D326-E326&lt;U326+V326-W326,AND(C326+D326-E326=U326+V326-W326,0&lt;3))),1,0),IF(AND(I326+J326-K326&gt;0,OR(I326+J326-K326&lt;U326+V326-W326,AND(I326+J326-K326=U326+V326-W326,1&lt;3))),1,0),IF(AND(O326+P326-Q326&gt;0,OR(O326+P326-Q326&lt;U326+V326-W326,AND(O326+P326-Q326=U326+V326-W326,2&lt;3))),1,0),IF(AND(AA326+AB326-AC326&gt;0,OR(AA326+AB326-AC326&lt;U326+V326-W326,AND(AA326+AB326-AC326=U326+V326-W326,4&lt;3))),1,0)))</x:f>
        <x:v>99</x:v>
      </x:c>
      <x:c r="Y326" s="6" t="n">
        <x:f>IF('Debt strategy'!$C$16&gt;0,0,MIN(U326+V326-W326,MAX(0,'Debt strategy'!$C$5-SUM(E326,K326,Q326,W326,AC326)-SUM(IF(F326&lt;X326,C326+D326-E326,0),IF(L326&lt;X326,I326+J326-K326,0),IF(R326&lt;X326,O326+P326-Q326,0),IF(AD326&lt;X326,AA326+AB326-AC326,0)))))</x:f>
        <x:v>0</x:v>
      </x:c>
      <x:c r="Z326" s="6" t="n">
        <x:f>ROUND(MAX(0,U326+V326-W326-Y326),2)</x:f>
        <x:v>0</x:v>
      </x:c>
      <x:c r="AA326" s="6" t="n">
        <x:f>AF325</x:f>
        <x:v>0</x:v>
      </x:c>
      <x:c r="AB326" s="6" t="n">
        <x:f>ROUND(AA326*'Debt strategy'!$D$13/12,2)</x:f>
        <x:v>0</x:v>
      </x:c>
      <x:c r="AC326" s="6" t="n">
        <x:f>MIN(AA326+AB326,'Debt strategy'!$E$13)</x:f>
        <x:v>0</x:v>
      </x:c>
      <x:c r="AD326" s="27" t="n">
        <x:f>IF(AA326+AB326-AC326&lt;=0,99,1+SUM(IF(AND(C326+D326-E326&gt;0,OR(C326+D326-E326&lt;AA326+AB326-AC326,AND(C326+D326-E326=AA326+AB326-AC326,0&lt;4))),1,0),IF(AND(I326+J326-K326&gt;0,OR(I326+J326-K326&lt;AA326+AB326-AC326,AND(I326+J326-K326=AA326+AB326-AC326,1&lt;4))),1,0),IF(AND(O326+P326-Q326&gt;0,OR(O326+P326-Q326&lt;AA326+AB326-AC326,AND(O326+P326-Q326=AA326+AB326-AC326,2&lt;4))),1,0),IF(AND(U326+V326-W326&gt;0,OR(U326+V326-W326&lt;AA326+AB326-AC326,AND(U326+V326-W326=AA326+AB326-AC326,3&lt;4))),1,0)))</x:f>
        <x:v>99</x:v>
      </x:c>
      <x:c r="AE326" s="6" t="n">
        <x:f>IF('Debt strategy'!$C$16&gt;0,0,MIN(AA326+AB326-AC326,MAX(0,'Debt strategy'!$C$5-SUM(E326,K326,Q326,W326,AC326)-SUM(IF(F326&lt;AD326,C326+D326-E326,0),IF(L326&lt;AD326,I326+J326-K326,0),IF(R326&lt;AD326,O326+P326-Q326,0),IF(X326&lt;AD326,U326+V326-W326,0)))))</x:f>
        <x:v>0</x:v>
      </x:c>
      <x:c r="AF326" s="6" t="n">
        <x:f>ROUND(MAX(0,AA326+AB326-AC326-AE326),2)</x:f>
        <x:v>0</x:v>
      </x:c>
      <x:c r="AG326" s="6" t="n">
        <x:f>SUM(H326,N326,T326,Z326,AF326)</x:f>
        <x:v>0</x:v>
      </x:c>
      <x:c r="AH326" s="6" t="n">
        <x:f>SUM(D326,J326,P326,V326,AB326)+AH325</x:f>
        <x:v>1353.9499999999996</x:v>
      </x:c>
      <x:c r="AI326" s="2"/>
    </x:row>
    <x:row r="327" ht="23" customHeight="1">
      <x:c r="B327" s="2" t="n">
        <x:f>319</x:f>
        <x:v>319</x:v>
      </x:c>
      <x:c r="C327" s="6" t="n">
        <x:f>H326</x:f>
        <x:v>0</x:v>
      </x:c>
      <x:c r="D327" s="6" t="n">
        <x:f>ROUND(C327*'Debt strategy'!$D$9/12,2)</x:f>
        <x:v>0</x:v>
      </x:c>
      <x:c r="E327" s="6" t="n">
        <x:f>MIN(C327+D327,'Debt strategy'!$E$9)</x:f>
        <x:v>0</x:v>
      </x:c>
      <x:c r="F327" s="27" t="n">
        <x:f>IF(C327+D327-E327&lt;=0,99,1+SUM(IF(AND(I327+J327-K327&gt;0,OR(I327+J327-K327&lt;C327+D327-E327,AND(I327+J327-K327=C327+D327-E327,1&lt;0))),1,0),IF(AND(O327+P327-Q327&gt;0,OR(O327+P327-Q327&lt;C327+D327-E327,AND(O327+P327-Q327=C327+D327-E327,2&lt;0))),1,0),IF(AND(U327+V327-W327&gt;0,OR(U327+V327-W327&lt;C327+D327-E327,AND(U327+V327-W327=C327+D327-E327,3&lt;0))),1,0),IF(AND(AA327+AB327-AC327&gt;0,OR(AA327+AB327-AC327&lt;C327+D327-E327,AND(AA327+AB327-AC327=C327+D327-E327,4&lt;0))),1,0)))</x:f>
        <x:v>99</x:v>
      </x:c>
      <x:c r="G327" s="6" t="n">
        <x:f>IF('Debt strategy'!$C$16&gt;0,0,MIN(C327+D327-E327,MAX(0,'Debt strategy'!$C$5-SUM(E327,K327,Q327,W327,AC327)-SUM(IF(L327&lt;F327,I327+J327-K327,0),IF(R327&lt;F327,O327+P327-Q327,0),IF(X327&lt;F327,U327+V327-W327,0),IF(AD327&lt;F327,AA327+AB327-AC327,0)))))</x:f>
        <x:v>0</x:v>
      </x:c>
      <x:c r="H327" s="6" t="n">
        <x:f>ROUND(MAX(0,C327+D327-E327-G327),2)</x:f>
        <x:v>0</x:v>
      </x:c>
      <x:c r="I327" s="6" t="n">
        <x:f>N326</x:f>
        <x:v>0</x:v>
      </x:c>
      <x:c r="J327" s="6" t="n">
        <x:f>ROUND(I327*'Debt strategy'!$D$10/12,2)</x:f>
        <x:v>0</x:v>
      </x:c>
      <x:c r="K327" s="6" t="n">
        <x:f>MIN(I327+J327,'Debt strategy'!$E$10)</x:f>
        <x:v>0</x:v>
      </x:c>
      <x:c r="L327" s="27" t="n">
        <x:f>IF(I327+J327-K327&lt;=0,99,1+SUM(IF(AND(C327+D327-E327&gt;0,OR(C327+D327-E327&lt;I327+J327-K327,AND(C327+D327-E327=I327+J327-K327,0&lt;1))),1,0),IF(AND(O327+P327-Q327&gt;0,OR(O327+P327-Q327&lt;I327+J327-K327,AND(O327+P327-Q327=I327+J327-K327,2&lt;1))),1,0),IF(AND(U327+V327-W327&gt;0,OR(U327+V327-W327&lt;I327+J327-K327,AND(U327+V327-W327=I327+J327-K327,3&lt;1))),1,0),IF(AND(AA327+AB327-AC327&gt;0,OR(AA327+AB327-AC327&lt;I327+J327-K327,AND(AA327+AB327-AC327=I327+J327-K327,4&lt;1))),1,0)))</x:f>
        <x:v>99</x:v>
      </x:c>
      <x:c r="M327" s="6" t="n">
        <x:f>IF('Debt strategy'!$C$16&gt;0,0,MIN(I327+J327-K327,MAX(0,'Debt strategy'!$C$5-SUM(E327,K327,Q327,W327,AC327)-SUM(IF(F327&lt;L327,C327+D327-E327,0),IF(R327&lt;L327,O327+P327-Q327,0),IF(X327&lt;L327,U327+V327-W327,0),IF(AD327&lt;L327,AA327+AB327-AC327,0)))))</x:f>
        <x:v>0</x:v>
      </x:c>
      <x:c r="N327" s="6" t="n">
        <x:f>ROUND(MAX(0,I327+J327-K327-M327),2)</x:f>
        <x:v>0</x:v>
      </x:c>
      <x:c r="O327" s="6" t="n">
        <x:f>T326</x:f>
        <x:v>0</x:v>
      </x:c>
      <x:c r="P327" s="6" t="n">
        <x:f>ROUND(O327*'Debt strategy'!$D$11/12,2)</x:f>
        <x:v>0</x:v>
      </x:c>
      <x:c r="Q327" s="6" t="n">
        <x:f>MIN(O327+P327,'Debt strategy'!$E$11)</x:f>
        <x:v>0</x:v>
      </x:c>
      <x:c r="R327" s="27" t="n">
        <x:f>IF(O327+P327-Q327&lt;=0,99,1+SUM(IF(AND(C327+D327-E327&gt;0,OR(C327+D327-E327&lt;O327+P327-Q327,AND(C327+D327-E327=O327+P327-Q327,0&lt;2))),1,0),IF(AND(I327+J327-K327&gt;0,OR(I327+J327-K327&lt;O327+P327-Q327,AND(I327+J327-K327=O327+P327-Q327,1&lt;2))),1,0),IF(AND(U327+V327-W327&gt;0,OR(U327+V327-W327&lt;O327+P327-Q327,AND(U327+V327-W327=O327+P327-Q327,3&lt;2))),1,0),IF(AND(AA327+AB327-AC327&gt;0,OR(AA327+AB327-AC327&lt;O327+P327-Q327,AND(AA327+AB327-AC327=O327+P327-Q327,4&lt;2))),1,0)))</x:f>
        <x:v>99</x:v>
      </x:c>
      <x:c r="S327" s="6" t="n">
        <x:f>IF('Debt strategy'!$C$16&gt;0,0,MIN(O327+P327-Q327,MAX(0,'Debt strategy'!$C$5-SUM(E327,K327,Q327,W327,AC327)-SUM(IF(F327&lt;R327,C327+D327-E327,0),IF(L327&lt;R327,I327+J327-K327,0),IF(X327&lt;R327,U327+V327-W327,0),IF(AD327&lt;R327,AA327+AB327-AC327,0)))))</x:f>
        <x:v>0</x:v>
      </x:c>
      <x:c r="T327" s="6" t="n">
        <x:f>ROUND(MAX(0,O327+P327-Q327-S327),2)</x:f>
        <x:v>0</x:v>
      </x:c>
      <x:c r="U327" s="6" t="n">
        <x:f>Z326</x:f>
        <x:v>0</x:v>
      </x:c>
      <x:c r="V327" s="6" t="n">
        <x:f>ROUND(U327*'Debt strategy'!$D$12/12,2)</x:f>
        <x:v>0</x:v>
      </x:c>
      <x:c r="W327" s="6" t="n">
        <x:f>MIN(U327+V327,'Debt strategy'!$E$12)</x:f>
        <x:v>0</x:v>
      </x:c>
      <x:c r="X327" s="27" t="n">
        <x:f>IF(U327+V327-W327&lt;=0,99,1+SUM(IF(AND(C327+D327-E327&gt;0,OR(C327+D327-E327&lt;U327+V327-W327,AND(C327+D327-E327=U327+V327-W327,0&lt;3))),1,0),IF(AND(I327+J327-K327&gt;0,OR(I327+J327-K327&lt;U327+V327-W327,AND(I327+J327-K327=U327+V327-W327,1&lt;3))),1,0),IF(AND(O327+P327-Q327&gt;0,OR(O327+P327-Q327&lt;U327+V327-W327,AND(O327+P327-Q327=U327+V327-W327,2&lt;3))),1,0),IF(AND(AA327+AB327-AC327&gt;0,OR(AA327+AB327-AC327&lt;U327+V327-W327,AND(AA327+AB327-AC327=U327+V327-W327,4&lt;3))),1,0)))</x:f>
        <x:v>99</x:v>
      </x:c>
      <x:c r="Y327" s="6" t="n">
        <x:f>IF('Debt strategy'!$C$16&gt;0,0,MIN(U327+V327-W327,MAX(0,'Debt strategy'!$C$5-SUM(E327,K327,Q327,W327,AC327)-SUM(IF(F327&lt;X327,C327+D327-E327,0),IF(L327&lt;X327,I327+J327-K327,0),IF(R327&lt;X327,O327+P327-Q327,0),IF(AD327&lt;X327,AA327+AB327-AC327,0)))))</x:f>
        <x:v>0</x:v>
      </x:c>
      <x:c r="Z327" s="6" t="n">
        <x:f>ROUND(MAX(0,U327+V327-W327-Y327),2)</x:f>
        <x:v>0</x:v>
      </x:c>
      <x:c r="AA327" s="6" t="n">
        <x:f>AF326</x:f>
        <x:v>0</x:v>
      </x:c>
      <x:c r="AB327" s="6" t="n">
        <x:f>ROUND(AA327*'Debt strategy'!$D$13/12,2)</x:f>
        <x:v>0</x:v>
      </x:c>
      <x:c r="AC327" s="6" t="n">
        <x:f>MIN(AA327+AB327,'Debt strategy'!$E$13)</x:f>
        <x:v>0</x:v>
      </x:c>
      <x:c r="AD327" s="27" t="n">
        <x:f>IF(AA327+AB327-AC327&lt;=0,99,1+SUM(IF(AND(C327+D327-E327&gt;0,OR(C327+D327-E327&lt;AA327+AB327-AC327,AND(C327+D327-E327=AA327+AB327-AC327,0&lt;4))),1,0),IF(AND(I327+J327-K327&gt;0,OR(I327+J327-K327&lt;AA327+AB327-AC327,AND(I327+J327-K327=AA327+AB327-AC327,1&lt;4))),1,0),IF(AND(O327+P327-Q327&gt;0,OR(O327+P327-Q327&lt;AA327+AB327-AC327,AND(O327+P327-Q327=AA327+AB327-AC327,2&lt;4))),1,0),IF(AND(U327+V327-W327&gt;0,OR(U327+V327-W327&lt;AA327+AB327-AC327,AND(U327+V327-W327=AA327+AB327-AC327,3&lt;4))),1,0)))</x:f>
        <x:v>99</x:v>
      </x:c>
      <x:c r="AE327" s="6" t="n">
        <x:f>IF('Debt strategy'!$C$16&gt;0,0,MIN(AA327+AB327-AC327,MAX(0,'Debt strategy'!$C$5-SUM(E327,K327,Q327,W327,AC327)-SUM(IF(F327&lt;AD327,C327+D327-E327,0),IF(L327&lt;AD327,I327+J327-K327,0),IF(R327&lt;AD327,O327+P327-Q327,0),IF(X327&lt;AD327,U327+V327-W327,0)))))</x:f>
        <x:v>0</x:v>
      </x:c>
      <x:c r="AF327" s="6" t="n">
        <x:f>ROUND(MAX(0,AA327+AB327-AC327-AE327),2)</x:f>
        <x:v>0</x:v>
      </x:c>
      <x:c r="AG327" s="6" t="n">
        <x:f>SUM(H327,N327,T327,Z327,AF327)</x:f>
        <x:v>0</x:v>
      </x:c>
      <x:c r="AH327" s="6" t="n">
        <x:f>SUM(D327,J327,P327,V327,AB327)+AH326</x:f>
        <x:v>1353.9499999999996</x:v>
      </x:c>
      <x:c r="AI327" s="2"/>
    </x:row>
    <x:row r="328" ht="23" customHeight="1">
      <x:c r="B328" s="2" t="n">
        <x:f>320</x:f>
        <x:v>320</x:v>
      </x:c>
      <x:c r="C328" s="6" t="n">
        <x:f>H327</x:f>
        <x:v>0</x:v>
      </x:c>
      <x:c r="D328" s="6" t="n">
        <x:f>ROUND(C328*'Debt strategy'!$D$9/12,2)</x:f>
        <x:v>0</x:v>
      </x:c>
      <x:c r="E328" s="6" t="n">
        <x:f>MIN(C328+D328,'Debt strategy'!$E$9)</x:f>
        <x:v>0</x:v>
      </x:c>
      <x:c r="F328" s="27" t="n">
        <x:f>IF(C328+D328-E328&lt;=0,99,1+SUM(IF(AND(I328+J328-K328&gt;0,OR(I328+J328-K328&lt;C328+D328-E328,AND(I328+J328-K328=C328+D328-E328,1&lt;0))),1,0),IF(AND(O328+P328-Q328&gt;0,OR(O328+P328-Q328&lt;C328+D328-E328,AND(O328+P328-Q328=C328+D328-E328,2&lt;0))),1,0),IF(AND(U328+V328-W328&gt;0,OR(U328+V328-W328&lt;C328+D328-E328,AND(U328+V328-W328=C328+D328-E328,3&lt;0))),1,0),IF(AND(AA328+AB328-AC328&gt;0,OR(AA328+AB328-AC328&lt;C328+D328-E328,AND(AA328+AB328-AC328=C328+D328-E328,4&lt;0))),1,0)))</x:f>
        <x:v>99</x:v>
      </x:c>
      <x:c r="G328" s="6" t="n">
        <x:f>IF('Debt strategy'!$C$16&gt;0,0,MIN(C328+D328-E328,MAX(0,'Debt strategy'!$C$5-SUM(E328,K328,Q328,W328,AC328)-SUM(IF(L328&lt;F328,I328+J328-K328,0),IF(R328&lt;F328,O328+P328-Q328,0),IF(X328&lt;F328,U328+V328-W328,0),IF(AD328&lt;F328,AA328+AB328-AC328,0)))))</x:f>
        <x:v>0</x:v>
      </x:c>
      <x:c r="H328" s="6" t="n">
        <x:f>ROUND(MAX(0,C328+D328-E328-G328),2)</x:f>
        <x:v>0</x:v>
      </x:c>
      <x:c r="I328" s="6" t="n">
        <x:f>N327</x:f>
        <x:v>0</x:v>
      </x:c>
      <x:c r="J328" s="6" t="n">
        <x:f>ROUND(I328*'Debt strategy'!$D$10/12,2)</x:f>
        <x:v>0</x:v>
      </x:c>
      <x:c r="K328" s="6" t="n">
        <x:f>MIN(I328+J328,'Debt strategy'!$E$10)</x:f>
        <x:v>0</x:v>
      </x:c>
      <x:c r="L328" s="27" t="n">
        <x:f>IF(I328+J328-K328&lt;=0,99,1+SUM(IF(AND(C328+D328-E328&gt;0,OR(C328+D328-E328&lt;I328+J328-K328,AND(C328+D328-E328=I328+J328-K328,0&lt;1))),1,0),IF(AND(O328+P328-Q328&gt;0,OR(O328+P328-Q328&lt;I328+J328-K328,AND(O328+P328-Q328=I328+J328-K328,2&lt;1))),1,0),IF(AND(U328+V328-W328&gt;0,OR(U328+V328-W328&lt;I328+J328-K328,AND(U328+V328-W328=I328+J328-K328,3&lt;1))),1,0),IF(AND(AA328+AB328-AC328&gt;0,OR(AA328+AB328-AC328&lt;I328+J328-K328,AND(AA328+AB328-AC328=I328+J328-K328,4&lt;1))),1,0)))</x:f>
        <x:v>99</x:v>
      </x:c>
      <x:c r="M328" s="6" t="n">
        <x:f>IF('Debt strategy'!$C$16&gt;0,0,MIN(I328+J328-K328,MAX(0,'Debt strategy'!$C$5-SUM(E328,K328,Q328,W328,AC328)-SUM(IF(F328&lt;L328,C328+D328-E328,0),IF(R328&lt;L328,O328+P328-Q328,0),IF(X328&lt;L328,U328+V328-W328,0),IF(AD328&lt;L328,AA328+AB328-AC328,0)))))</x:f>
        <x:v>0</x:v>
      </x:c>
      <x:c r="N328" s="6" t="n">
        <x:f>ROUND(MAX(0,I328+J328-K328-M328),2)</x:f>
        <x:v>0</x:v>
      </x:c>
      <x:c r="O328" s="6" t="n">
        <x:f>T327</x:f>
        <x:v>0</x:v>
      </x:c>
      <x:c r="P328" s="6" t="n">
        <x:f>ROUND(O328*'Debt strategy'!$D$11/12,2)</x:f>
        <x:v>0</x:v>
      </x:c>
      <x:c r="Q328" s="6" t="n">
        <x:f>MIN(O328+P328,'Debt strategy'!$E$11)</x:f>
        <x:v>0</x:v>
      </x:c>
      <x:c r="R328" s="27" t="n">
        <x:f>IF(O328+P328-Q328&lt;=0,99,1+SUM(IF(AND(C328+D328-E328&gt;0,OR(C328+D328-E328&lt;O328+P328-Q328,AND(C328+D328-E328=O328+P328-Q328,0&lt;2))),1,0),IF(AND(I328+J328-K328&gt;0,OR(I328+J328-K328&lt;O328+P328-Q328,AND(I328+J328-K328=O328+P328-Q328,1&lt;2))),1,0),IF(AND(U328+V328-W328&gt;0,OR(U328+V328-W328&lt;O328+P328-Q328,AND(U328+V328-W328=O328+P328-Q328,3&lt;2))),1,0),IF(AND(AA328+AB328-AC328&gt;0,OR(AA328+AB328-AC328&lt;O328+P328-Q328,AND(AA328+AB328-AC328=O328+P328-Q328,4&lt;2))),1,0)))</x:f>
        <x:v>99</x:v>
      </x:c>
      <x:c r="S328" s="6" t="n">
        <x:f>IF('Debt strategy'!$C$16&gt;0,0,MIN(O328+P328-Q328,MAX(0,'Debt strategy'!$C$5-SUM(E328,K328,Q328,W328,AC328)-SUM(IF(F328&lt;R328,C328+D328-E328,0),IF(L328&lt;R328,I328+J328-K328,0),IF(X328&lt;R328,U328+V328-W328,0),IF(AD328&lt;R328,AA328+AB328-AC328,0)))))</x:f>
        <x:v>0</x:v>
      </x:c>
      <x:c r="T328" s="6" t="n">
        <x:f>ROUND(MAX(0,O328+P328-Q328-S328),2)</x:f>
        <x:v>0</x:v>
      </x:c>
      <x:c r="U328" s="6" t="n">
        <x:f>Z327</x:f>
        <x:v>0</x:v>
      </x:c>
      <x:c r="V328" s="6" t="n">
        <x:f>ROUND(U328*'Debt strategy'!$D$12/12,2)</x:f>
        <x:v>0</x:v>
      </x:c>
      <x:c r="W328" s="6" t="n">
        <x:f>MIN(U328+V328,'Debt strategy'!$E$12)</x:f>
        <x:v>0</x:v>
      </x:c>
      <x:c r="X328" s="27" t="n">
        <x:f>IF(U328+V328-W328&lt;=0,99,1+SUM(IF(AND(C328+D328-E328&gt;0,OR(C328+D328-E328&lt;U328+V328-W328,AND(C328+D328-E328=U328+V328-W328,0&lt;3))),1,0),IF(AND(I328+J328-K328&gt;0,OR(I328+J328-K328&lt;U328+V328-W328,AND(I328+J328-K328=U328+V328-W328,1&lt;3))),1,0),IF(AND(O328+P328-Q328&gt;0,OR(O328+P328-Q328&lt;U328+V328-W328,AND(O328+P328-Q328=U328+V328-W328,2&lt;3))),1,0),IF(AND(AA328+AB328-AC328&gt;0,OR(AA328+AB328-AC328&lt;U328+V328-W328,AND(AA328+AB328-AC328=U328+V328-W328,4&lt;3))),1,0)))</x:f>
        <x:v>99</x:v>
      </x:c>
      <x:c r="Y328" s="6" t="n">
        <x:f>IF('Debt strategy'!$C$16&gt;0,0,MIN(U328+V328-W328,MAX(0,'Debt strategy'!$C$5-SUM(E328,K328,Q328,W328,AC328)-SUM(IF(F328&lt;X328,C328+D328-E328,0),IF(L328&lt;X328,I328+J328-K328,0),IF(R328&lt;X328,O328+P328-Q328,0),IF(AD328&lt;X328,AA328+AB328-AC328,0)))))</x:f>
        <x:v>0</x:v>
      </x:c>
      <x:c r="Z328" s="6" t="n">
        <x:f>ROUND(MAX(0,U328+V328-W328-Y328),2)</x:f>
        <x:v>0</x:v>
      </x:c>
      <x:c r="AA328" s="6" t="n">
        <x:f>AF327</x:f>
        <x:v>0</x:v>
      </x:c>
      <x:c r="AB328" s="6" t="n">
        <x:f>ROUND(AA328*'Debt strategy'!$D$13/12,2)</x:f>
        <x:v>0</x:v>
      </x:c>
      <x:c r="AC328" s="6" t="n">
        <x:f>MIN(AA328+AB328,'Debt strategy'!$E$13)</x:f>
        <x:v>0</x:v>
      </x:c>
      <x:c r="AD328" s="27" t="n">
        <x:f>IF(AA328+AB328-AC328&lt;=0,99,1+SUM(IF(AND(C328+D328-E328&gt;0,OR(C328+D328-E328&lt;AA328+AB328-AC328,AND(C328+D328-E328=AA328+AB328-AC328,0&lt;4))),1,0),IF(AND(I328+J328-K328&gt;0,OR(I328+J328-K328&lt;AA328+AB328-AC328,AND(I328+J328-K328=AA328+AB328-AC328,1&lt;4))),1,0),IF(AND(O328+P328-Q328&gt;0,OR(O328+P328-Q328&lt;AA328+AB328-AC328,AND(O328+P328-Q328=AA328+AB328-AC328,2&lt;4))),1,0),IF(AND(U328+V328-W328&gt;0,OR(U328+V328-W328&lt;AA328+AB328-AC328,AND(U328+V328-W328=AA328+AB328-AC328,3&lt;4))),1,0)))</x:f>
        <x:v>99</x:v>
      </x:c>
      <x:c r="AE328" s="6" t="n">
        <x:f>IF('Debt strategy'!$C$16&gt;0,0,MIN(AA328+AB328-AC328,MAX(0,'Debt strategy'!$C$5-SUM(E328,K328,Q328,W328,AC328)-SUM(IF(F328&lt;AD328,C328+D328-E328,0),IF(L328&lt;AD328,I328+J328-K328,0),IF(R328&lt;AD328,O328+P328-Q328,0),IF(X328&lt;AD328,U328+V328-W328,0)))))</x:f>
        <x:v>0</x:v>
      </x:c>
      <x:c r="AF328" s="6" t="n">
        <x:f>ROUND(MAX(0,AA328+AB328-AC328-AE328),2)</x:f>
        <x:v>0</x:v>
      </x:c>
      <x:c r="AG328" s="6" t="n">
        <x:f>SUM(H328,N328,T328,Z328,AF328)</x:f>
        <x:v>0</x:v>
      </x:c>
      <x:c r="AH328" s="6" t="n">
        <x:f>SUM(D328,J328,P328,V328,AB328)+AH327</x:f>
        <x:v>1353.9499999999996</x:v>
      </x:c>
      <x:c r="AI328" s="2"/>
    </x:row>
    <x:row r="329" ht="23" customHeight="1">
      <x:c r="B329" s="2" t="n">
        <x:f>321</x:f>
        <x:v>321</x:v>
      </x:c>
      <x:c r="C329" s="6" t="n">
        <x:f>H328</x:f>
        <x:v>0</x:v>
      </x:c>
      <x:c r="D329" s="6" t="n">
        <x:f>ROUND(C329*'Debt strategy'!$D$9/12,2)</x:f>
        <x:v>0</x:v>
      </x:c>
      <x:c r="E329" s="6" t="n">
        <x:f>MIN(C329+D329,'Debt strategy'!$E$9)</x:f>
        <x:v>0</x:v>
      </x:c>
      <x:c r="F329" s="27" t="n">
        <x:f>IF(C329+D329-E329&lt;=0,99,1+SUM(IF(AND(I329+J329-K329&gt;0,OR(I329+J329-K329&lt;C329+D329-E329,AND(I329+J329-K329=C329+D329-E329,1&lt;0))),1,0),IF(AND(O329+P329-Q329&gt;0,OR(O329+P329-Q329&lt;C329+D329-E329,AND(O329+P329-Q329=C329+D329-E329,2&lt;0))),1,0),IF(AND(U329+V329-W329&gt;0,OR(U329+V329-W329&lt;C329+D329-E329,AND(U329+V329-W329=C329+D329-E329,3&lt;0))),1,0),IF(AND(AA329+AB329-AC329&gt;0,OR(AA329+AB329-AC329&lt;C329+D329-E329,AND(AA329+AB329-AC329=C329+D329-E329,4&lt;0))),1,0)))</x:f>
        <x:v>99</x:v>
      </x:c>
      <x:c r="G329" s="6" t="n">
        <x:f>IF('Debt strategy'!$C$16&gt;0,0,MIN(C329+D329-E329,MAX(0,'Debt strategy'!$C$5-SUM(E329,K329,Q329,W329,AC329)-SUM(IF(L329&lt;F329,I329+J329-K329,0),IF(R329&lt;F329,O329+P329-Q329,0),IF(X329&lt;F329,U329+V329-W329,0),IF(AD329&lt;F329,AA329+AB329-AC329,0)))))</x:f>
        <x:v>0</x:v>
      </x:c>
      <x:c r="H329" s="6" t="n">
        <x:f>ROUND(MAX(0,C329+D329-E329-G329),2)</x:f>
        <x:v>0</x:v>
      </x:c>
      <x:c r="I329" s="6" t="n">
        <x:f>N328</x:f>
        <x:v>0</x:v>
      </x:c>
      <x:c r="J329" s="6" t="n">
        <x:f>ROUND(I329*'Debt strategy'!$D$10/12,2)</x:f>
        <x:v>0</x:v>
      </x:c>
      <x:c r="K329" s="6" t="n">
        <x:f>MIN(I329+J329,'Debt strategy'!$E$10)</x:f>
        <x:v>0</x:v>
      </x:c>
      <x:c r="L329" s="27" t="n">
        <x:f>IF(I329+J329-K329&lt;=0,99,1+SUM(IF(AND(C329+D329-E329&gt;0,OR(C329+D329-E329&lt;I329+J329-K329,AND(C329+D329-E329=I329+J329-K329,0&lt;1))),1,0),IF(AND(O329+P329-Q329&gt;0,OR(O329+P329-Q329&lt;I329+J329-K329,AND(O329+P329-Q329=I329+J329-K329,2&lt;1))),1,0),IF(AND(U329+V329-W329&gt;0,OR(U329+V329-W329&lt;I329+J329-K329,AND(U329+V329-W329=I329+J329-K329,3&lt;1))),1,0),IF(AND(AA329+AB329-AC329&gt;0,OR(AA329+AB329-AC329&lt;I329+J329-K329,AND(AA329+AB329-AC329=I329+J329-K329,4&lt;1))),1,0)))</x:f>
        <x:v>99</x:v>
      </x:c>
      <x:c r="M329" s="6" t="n">
        <x:f>IF('Debt strategy'!$C$16&gt;0,0,MIN(I329+J329-K329,MAX(0,'Debt strategy'!$C$5-SUM(E329,K329,Q329,W329,AC329)-SUM(IF(F329&lt;L329,C329+D329-E329,0),IF(R329&lt;L329,O329+P329-Q329,0),IF(X329&lt;L329,U329+V329-W329,0),IF(AD329&lt;L329,AA329+AB329-AC329,0)))))</x:f>
        <x:v>0</x:v>
      </x:c>
      <x:c r="N329" s="6" t="n">
        <x:f>ROUND(MAX(0,I329+J329-K329-M329),2)</x:f>
        <x:v>0</x:v>
      </x:c>
      <x:c r="O329" s="6" t="n">
        <x:f>T328</x:f>
        <x:v>0</x:v>
      </x:c>
      <x:c r="P329" s="6" t="n">
        <x:f>ROUND(O329*'Debt strategy'!$D$11/12,2)</x:f>
        <x:v>0</x:v>
      </x:c>
      <x:c r="Q329" s="6" t="n">
        <x:f>MIN(O329+P329,'Debt strategy'!$E$11)</x:f>
        <x:v>0</x:v>
      </x:c>
      <x:c r="R329" s="27" t="n">
        <x:f>IF(O329+P329-Q329&lt;=0,99,1+SUM(IF(AND(C329+D329-E329&gt;0,OR(C329+D329-E329&lt;O329+P329-Q329,AND(C329+D329-E329=O329+P329-Q329,0&lt;2))),1,0),IF(AND(I329+J329-K329&gt;0,OR(I329+J329-K329&lt;O329+P329-Q329,AND(I329+J329-K329=O329+P329-Q329,1&lt;2))),1,0),IF(AND(U329+V329-W329&gt;0,OR(U329+V329-W329&lt;O329+P329-Q329,AND(U329+V329-W329=O329+P329-Q329,3&lt;2))),1,0),IF(AND(AA329+AB329-AC329&gt;0,OR(AA329+AB329-AC329&lt;O329+P329-Q329,AND(AA329+AB329-AC329=O329+P329-Q329,4&lt;2))),1,0)))</x:f>
        <x:v>99</x:v>
      </x:c>
      <x:c r="S329" s="6" t="n">
        <x:f>IF('Debt strategy'!$C$16&gt;0,0,MIN(O329+P329-Q329,MAX(0,'Debt strategy'!$C$5-SUM(E329,K329,Q329,W329,AC329)-SUM(IF(F329&lt;R329,C329+D329-E329,0),IF(L329&lt;R329,I329+J329-K329,0),IF(X329&lt;R329,U329+V329-W329,0),IF(AD329&lt;R329,AA329+AB329-AC329,0)))))</x:f>
        <x:v>0</x:v>
      </x:c>
      <x:c r="T329" s="6" t="n">
        <x:f>ROUND(MAX(0,O329+P329-Q329-S329),2)</x:f>
        <x:v>0</x:v>
      </x:c>
      <x:c r="U329" s="6" t="n">
        <x:f>Z328</x:f>
        <x:v>0</x:v>
      </x:c>
      <x:c r="V329" s="6" t="n">
        <x:f>ROUND(U329*'Debt strategy'!$D$12/12,2)</x:f>
        <x:v>0</x:v>
      </x:c>
      <x:c r="W329" s="6" t="n">
        <x:f>MIN(U329+V329,'Debt strategy'!$E$12)</x:f>
        <x:v>0</x:v>
      </x:c>
      <x:c r="X329" s="27" t="n">
        <x:f>IF(U329+V329-W329&lt;=0,99,1+SUM(IF(AND(C329+D329-E329&gt;0,OR(C329+D329-E329&lt;U329+V329-W329,AND(C329+D329-E329=U329+V329-W329,0&lt;3))),1,0),IF(AND(I329+J329-K329&gt;0,OR(I329+J329-K329&lt;U329+V329-W329,AND(I329+J329-K329=U329+V329-W329,1&lt;3))),1,0),IF(AND(O329+P329-Q329&gt;0,OR(O329+P329-Q329&lt;U329+V329-W329,AND(O329+P329-Q329=U329+V329-W329,2&lt;3))),1,0),IF(AND(AA329+AB329-AC329&gt;0,OR(AA329+AB329-AC329&lt;U329+V329-W329,AND(AA329+AB329-AC329=U329+V329-W329,4&lt;3))),1,0)))</x:f>
        <x:v>99</x:v>
      </x:c>
      <x:c r="Y329" s="6" t="n">
        <x:f>IF('Debt strategy'!$C$16&gt;0,0,MIN(U329+V329-W329,MAX(0,'Debt strategy'!$C$5-SUM(E329,K329,Q329,W329,AC329)-SUM(IF(F329&lt;X329,C329+D329-E329,0),IF(L329&lt;X329,I329+J329-K329,0),IF(R329&lt;X329,O329+P329-Q329,0),IF(AD329&lt;X329,AA329+AB329-AC329,0)))))</x:f>
        <x:v>0</x:v>
      </x:c>
      <x:c r="Z329" s="6" t="n">
        <x:f>ROUND(MAX(0,U329+V329-W329-Y329),2)</x:f>
        <x:v>0</x:v>
      </x:c>
      <x:c r="AA329" s="6" t="n">
        <x:f>AF328</x:f>
        <x:v>0</x:v>
      </x:c>
      <x:c r="AB329" s="6" t="n">
        <x:f>ROUND(AA329*'Debt strategy'!$D$13/12,2)</x:f>
        <x:v>0</x:v>
      </x:c>
      <x:c r="AC329" s="6" t="n">
        <x:f>MIN(AA329+AB329,'Debt strategy'!$E$13)</x:f>
        <x:v>0</x:v>
      </x:c>
      <x:c r="AD329" s="27" t="n">
        <x:f>IF(AA329+AB329-AC329&lt;=0,99,1+SUM(IF(AND(C329+D329-E329&gt;0,OR(C329+D329-E329&lt;AA329+AB329-AC329,AND(C329+D329-E329=AA329+AB329-AC329,0&lt;4))),1,0),IF(AND(I329+J329-K329&gt;0,OR(I329+J329-K329&lt;AA329+AB329-AC329,AND(I329+J329-K329=AA329+AB329-AC329,1&lt;4))),1,0),IF(AND(O329+P329-Q329&gt;0,OR(O329+P329-Q329&lt;AA329+AB329-AC329,AND(O329+P329-Q329=AA329+AB329-AC329,2&lt;4))),1,0),IF(AND(U329+V329-W329&gt;0,OR(U329+V329-W329&lt;AA329+AB329-AC329,AND(U329+V329-W329=AA329+AB329-AC329,3&lt;4))),1,0)))</x:f>
        <x:v>99</x:v>
      </x:c>
      <x:c r="AE329" s="6" t="n">
        <x:f>IF('Debt strategy'!$C$16&gt;0,0,MIN(AA329+AB329-AC329,MAX(0,'Debt strategy'!$C$5-SUM(E329,K329,Q329,W329,AC329)-SUM(IF(F329&lt;AD329,C329+D329-E329,0),IF(L329&lt;AD329,I329+J329-K329,0),IF(R329&lt;AD329,O329+P329-Q329,0),IF(X329&lt;AD329,U329+V329-W329,0)))))</x:f>
        <x:v>0</x:v>
      </x:c>
      <x:c r="AF329" s="6" t="n">
        <x:f>ROUND(MAX(0,AA329+AB329-AC329-AE329),2)</x:f>
        <x:v>0</x:v>
      </x:c>
      <x:c r="AG329" s="6" t="n">
        <x:f>SUM(H329,N329,T329,Z329,AF329)</x:f>
        <x:v>0</x:v>
      </x:c>
      <x:c r="AH329" s="6" t="n">
        <x:f>SUM(D329,J329,P329,V329,AB329)+AH328</x:f>
        <x:v>1353.9499999999996</x:v>
      </x:c>
      <x:c r="AI329" s="2"/>
    </x:row>
    <x:row r="330" ht="23" customHeight="1">
      <x:c r="B330" s="2" t="n">
        <x:f>322</x:f>
        <x:v>322</x:v>
      </x:c>
      <x:c r="C330" s="6" t="n">
        <x:f>H329</x:f>
        <x:v>0</x:v>
      </x:c>
      <x:c r="D330" s="6" t="n">
        <x:f>ROUND(C330*'Debt strategy'!$D$9/12,2)</x:f>
        <x:v>0</x:v>
      </x:c>
      <x:c r="E330" s="6" t="n">
        <x:f>MIN(C330+D330,'Debt strategy'!$E$9)</x:f>
        <x:v>0</x:v>
      </x:c>
      <x:c r="F330" s="27" t="n">
        <x:f>IF(C330+D330-E330&lt;=0,99,1+SUM(IF(AND(I330+J330-K330&gt;0,OR(I330+J330-K330&lt;C330+D330-E330,AND(I330+J330-K330=C330+D330-E330,1&lt;0))),1,0),IF(AND(O330+P330-Q330&gt;0,OR(O330+P330-Q330&lt;C330+D330-E330,AND(O330+P330-Q330=C330+D330-E330,2&lt;0))),1,0),IF(AND(U330+V330-W330&gt;0,OR(U330+V330-W330&lt;C330+D330-E330,AND(U330+V330-W330=C330+D330-E330,3&lt;0))),1,0),IF(AND(AA330+AB330-AC330&gt;0,OR(AA330+AB330-AC330&lt;C330+D330-E330,AND(AA330+AB330-AC330=C330+D330-E330,4&lt;0))),1,0)))</x:f>
        <x:v>99</x:v>
      </x:c>
      <x:c r="G330" s="6" t="n">
        <x:f>IF('Debt strategy'!$C$16&gt;0,0,MIN(C330+D330-E330,MAX(0,'Debt strategy'!$C$5-SUM(E330,K330,Q330,W330,AC330)-SUM(IF(L330&lt;F330,I330+J330-K330,0),IF(R330&lt;F330,O330+P330-Q330,0),IF(X330&lt;F330,U330+V330-W330,0),IF(AD330&lt;F330,AA330+AB330-AC330,0)))))</x:f>
        <x:v>0</x:v>
      </x:c>
      <x:c r="H330" s="6" t="n">
        <x:f>ROUND(MAX(0,C330+D330-E330-G330),2)</x:f>
        <x:v>0</x:v>
      </x:c>
      <x:c r="I330" s="6" t="n">
        <x:f>N329</x:f>
        <x:v>0</x:v>
      </x:c>
      <x:c r="J330" s="6" t="n">
        <x:f>ROUND(I330*'Debt strategy'!$D$10/12,2)</x:f>
        <x:v>0</x:v>
      </x:c>
      <x:c r="K330" s="6" t="n">
        <x:f>MIN(I330+J330,'Debt strategy'!$E$10)</x:f>
        <x:v>0</x:v>
      </x:c>
      <x:c r="L330" s="27" t="n">
        <x:f>IF(I330+J330-K330&lt;=0,99,1+SUM(IF(AND(C330+D330-E330&gt;0,OR(C330+D330-E330&lt;I330+J330-K330,AND(C330+D330-E330=I330+J330-K330,0&lt;1))),1,0),IF(AND(O330+P330-Q330&gt;0,OR(O330+P330-Q330&lt;I330+J330-K330,AND(O330+P330-Q330=I330+J330-K330,2&lt;1))),1,0),IF(AND(U330+V330-W330&gt;0,OR(U330+V330-W330&lt;I330+J330-K330,AND(U330+V330-W330=I330+J330-K330,3&lt;1))),1,0),IF(AND(AA330+AB330-AC330&gt;0,OR(AA330+AB330-AC330&lt;I330+J330-K330,AND(AA330+AB330-AC330=I330+J330-K330,4&lt;1))),1,0)))</x:f>
        <x:v>99</x:v>
      </x:c>
      <x:c r="M330" s="6" t="n">
        <x:f>IF('Debt strategy'!$C$16&gt;0,0,MIN(I330+J330-K330,MAX(0,'Debt strategy'!$C$5-SUM(E330,K330,Q330,W330,AC330)-SUM(IF(F330&lt;L330,C330+D330-E330,0),IF(R330&lt;L330,O330+P330-Q330,0),IF(X330&lt;L330,U330+V330-W330,0),IF(AD330&lt;L330,AA330+AB330-AC330,0)))))</x:f>
        <x:v>0</x:v>
      </x:c>
      <x:c r="N330" s="6" t="n">
        <x:f>ROUND(MAX(0,I330+J330-K330-M330),2)</x:f>
        <x:v>0</x:v>
      </x:c>
      <x:c r="O330" s="6" t="n">
        <x:f>T329</x:f>
        <x:v>0</x:v>
      </x:c>
      <x:c r="P330" s="6" t="n">
        <x:f>ROUND(O330*'Debt strategy'!$D$11/12,2)</x:f>
        <x:v>0</x:v>
      </x:c>
      <x:c r="Q330" s="6" t="n">
        <x:f>MIN(O330+P330,'Debt strategy'!$E$11)</x:f>
        <x:v>0</x:v>
      </x:c>
      <x:c r="R330" s="27" t="n">
        <x:f>IF(O330+P330-Q330&lt;=0,99,1+SUM(IF(AND(C330+D330-E330&gt;0,OR(C330+D330-E330&lt;O330+P330-Q330,AND(C330+D330-E330=O330+P330-Q330,0&lt;2))),1,0),IF(AND(I330+J330-K330&gt;0,OR(I330+J330-K330&lt;O330+P330-Q330,AND(I330+J330-K330=O330+P330-Q330,1&lt;2))),1,0),IF(AND(U330+V330-W330&gt;0,OR(U330+V330-W330&lt;O330+P330-Q330,AND(U330+V330-W330=O330+P330-Q330,3&lt;2))),1,0),IF(AND(AA330+AB330-AC330&gt;0,OR(AA330+AB330-AC330&lt;O330+P330-Q330,AND(AA330+AB330-AC330=O330+P330-Q330,4&lt;2))),1,0)))</x:f>
        <x:v>99</x:v>
      </x:c>
      <x:c r="S330" s="6" t="n">
        <x:f>IF('Debt strategy'!$C$16&gt;0,0,MIN(O330+P330-Q330,MAX(0,'Debt strategy'!$C$5-SUM(E330,K330,Q330,W330,AC330)-SUM(IF(F330&lt;R330,C330+D330-E330,0),IF(L330&lt;R330,I330+J330-K330,0),IF(X330&lt;R330,U330+V330-W330,0),IF(AD330&lt;R330,AA330+AB330-AC330,0)))))</x:f>
        <x:v>0</x:v>
      </x:c>
      <x:c r="T330" s="6" t="n">
        <x:f>ROUND(MAX(0,O330+P330-Q330-S330),2)</x:f>
        <x:v>0</x:v>
      </x:c>
      <x:c r="U330" s="6" t="n">
        <x:f>Z329</x:f>
        <x:v>0</x:v>
      </x:c>
      <x:c r="V330" s="6" t="n">
        <x:f>ROUND(U330*'Debt strategy'!$D$12/12,2)</x:f>
        <x:v>0</x:v>
      </x:c>
      <x:c r="W330" s="6" t="n">
        <x:f>MIN(U330+V330,'Debt strategy'!$E$12)</x:f>
        <x:v>0</x:v>
      </x:c>
      <x:c r="X330" s="27" t="n">
        <x:f>IF(U330+V330-W330&lt;=0,99,1+SUM(IF(AND(C330+D330-E330&gt;0,OR(C330+D330-E330&lt;U330+V330-W330,AND(C330+D330-E330=U330+V330-W330,0&lt;3))),1,0),IF(AND(I330+J330-K330&gt;0,OR(I330+J330-K330&lt;U330+V330-W330,AND(I330+J330-K330=U330+V330-W330,1&lt;3))),1,0),IF(AND(O330+P330-Q330&gt;0,OR(O330+P330-Q330&lt;U330+V330-W330,AND(O330+P330-Q330=U330+V330-W330,2&lt;3))),1,0),IF(AND(AA330+AB330-AC330&gt;0,OR(AA330+AB330-AC330&lt;U330+V330-W330,AND(AA330+AB330-AC330=U330+V330-W330,4&lt;3))),1,0)))</x:f>
        <x:v>99</x:v>
      </x:c>
      <x:c r="Y330" s="6" t="n">
        <x:f>IF('Debt strategy'!$C$16&gt;0,0,MIN(U330+V330-W330,MAX(0,'Debt strategy'!$C$5-SUM(E330,K330,Q330,W330,AC330)-SUM(IF(F330&lt;X330,C330+D330-E330,0),IF(L330&lt;X330,I330+J330-K330,0),IF(R330&lt;X330,O330+P330-Q330,0),IF(AD330&lt;X330,AA330+AB330-AC330,0)))))</x:f>
        <x:v>0</x:v>
      </x:c>
      <x:c r="Z330" s="6" t="n">
        <x:f>ROUND(MAX(0,U330+V330-W330-Y330),2)</x:f>
        <x:v>0</x:v>
      </x:c>
      <x:c r="AA330" s="6" t="n">
        <x:f>AF329</x:f>
        <x:v>0</x:v>
      </x:c>
      <x:c r="AB330" s="6" t="n">
        <x:f>ROUND(AA330*'Debt strategy'!$D$13/12,2)</x:f>
        <x:v>0</x:v>
      </x:c>
      <x:c r="AC330" s="6" t="n">
        <x:f>MIN(AA330+AB330,'Debt strategy'!$E$13)</x:f>
        <x:v>0</x:v>
      </x:c>
      <x:c r="AD330" s="27" t="n">
        <x:f>IF(AA330+AB330-AC330&lt;=0,99,1+SUM(IF(AND(C330+D330-E330&gt;0,OR(C330+D330-E330&lt;AA330+AB330-AC330,AND(C330+D330-E330=AA330+AB330-AC330,0&lt;4))),1,0),IF(AND(I330+J330-K330&gt;0,OR(I330+J330-K330&lt;AA330+AB330-AC330,AND(I330+J330-K330=AA330+AB330-AC330,1&lt;4))),1,0),IF(AND(O330+P330-Q330&gt;0,OR(O330+P330-Q330&lt;AA330+AB330-AC330,AND(O330+P330-Q330=AA330+AB330-AC330,2&lt;4))),1,0),IF(AND(U330+V330-W330&gt;0,OR(U330+V330-W330&lt;AA330+AB330-AC330,AND(U330+V330-W330=AA330+AB330-AC330,3&lt;4))),1,0)))</x:f>
        <x:v>99</x:v>
      </x:c>
      <x:c r="AE330" s="6" t="n">
        <x:f>IF('Debt strategy'!$C$16&gt;0,0,MIN(AA330+AB330-AC330,MAX(0,'Debt strategy'!$C$5-SUM(E330,K330,Q330,W330,AC330)-SUM(IF(F330&lt;AD330,C330+D330-E330,0),IF(L330&lt;AD330,I330+J330-K330,0),IF(R330&lt;AD330,O330+P330-Q330,0),IF(X330&lt;AD330,U330+V330-W330,0)))))</x:f>
        <x:v>0</x:v>
      </x:c>
      <x:c r="AF330" s="6" t="n">
        <x:f>ROUND(MAX(0,AA330+AB330-AC330-AE330),2)</x:f>
        <x:v>0</x:v>
      </x:c>
      <x:c r="AG330" s="6" t="n">
        <x:f>SUM(H330,N330,T330,Z330,AF330)</x:f>
        <x:v>0</x:v>
      </x:c>
      <x:c r="AH330" s="6" t="n">
        <x:f>SUM(D330,J330,P330,V330,AB330)+AH329</x:f>
        <x:v>1353.9499999999996</x:v>
      </x:c>
      <x:c r="AI330" s="2"/>
    </x:row>
    <x:row r="331" ht="23" customHeight="1">
      <x:c r="B331" s="2" t="n">
        <x:f>323</x:f>
        <x:v>323</x:v>
      </x:c>
      <x:c r="C331" s="6" t="n">
        <x:f>H330</x:f>
        <x:v>0</x:v>
      </x:c>
      <x:c r="D331" s="6" t="n">
        <x:f>ROUND(C331*'Debt strategy'!$D$9/12,2)</x:f>
        <x:v>0</x:v>
      </x:c>
      <x:c r="E331" s="6" t="n">
        <x:f>MIN(C331+D331,'Debt strategy'!$E$9)</x:f>
        <x:v>0</x:v>
      </x:c>
      <x:c r="F331" s="27" t="n">
        <x:f>IF(C331+D331-E331&lt;=0,99,1+SUM(IF(AND(I331+J331-K331&gt;0,OR(I331+J331-K331&lt;C331+D331-E331,AND(I331+J331-K331=C331+D331-E331,1&lt;0))),1,0),IF(AND(O331+P331-Q331&gt;0,OR(O331+P331-Q331&lt;C331+D331-E331,AND(O331+P331-Q331=C331+D331-E331,2&lt;0))),1,0),IF(AND(U331+V331-W331&gt;0,OR(U331+V331-W331&lt;C331+D331-E331,AND(U331+V331-W331=C331+D331-E331,3&lt;0))),1,0),IF(AND(AA331+AB331-AC331&gt;0,OR(AA331+AB331-AC331&lt;C331+D331-E331,AND(AA331+AB331-AC331=C331+D331-E331,4&lt;0))),1,0)))</x:f>
        <x:v>99</x:v>
      </x:c>
      <x:c r="G331" s="6" t="n">
        <x:f>IF('Debt strategy'!$C$16&gt;0,0,MIN(C331+D331-E331,MAX(0,'Debt strategy'!$C$5-SUM(E331,K331,Q331,W331,AC331)-SUM(IF(L331&lt;F331,I331+J331-K331,0),IF(R331&lt;F331,O331+P331-Q331,0),IF(X331&lt;F331,U331+V331-W331,0),IF(AD331&lt;F331,AA331+AB331-AC331,0)))))</x:f>
        <x:v>0</x:v>
      </x:c>
      <x:c r="H331" s="6" t="n">
        <x:f>ROUND(MAX(0,C331+D331-E331-G331),2)</x:f>
        <x:v>0</x:v>
      </x:c>
      <x:c r="I331" s="6" t="n">
        <x:f>N330</x:f>
        <x:v>0</x:v>
      </x:c>
      <x:c r="J331" s="6" t="n">
        <x:f>ROUND(I331*'Debt strategy'!$D$10/12,2)</x:f>
        <x:v>0</x:v>
      </x:c>
      <x:c r="K331" s="6" t="n">
        <x:f>MIN(I331+J331,'Debt strategy'!$E$10)</x:f>
        <x:v>0</x:v>
      </x:c>
      <x:c r="L331" s="27" t="n">
        <x:f>IF(I331+J331-K331&lt;=0,99,1+SUM(IF(AND(C331+D331-E331&gt;0,OR(C331+D331-E331&lt;I331+J331-K331,AND(C331+D331-E331=I331+J331-K331,0&lt;1))),1,0),IF(AND(O331+P331-Q331&gt;0,OR(O331+P331-Q331&lt;I331+J331-K331,AND(O331+P331-Q331=I331+J331-K331,2&lt;1))),1,0),IF(AND(U331+V331-W331&gt;0,OR(U331+V331-W331&lt;I331+J331-K331,AND(U331+V331-W331=I331+J331-K331,3&lt;1))),1,0),IF(AND(AA331+AB331-AC331&gt;0,OR(AA331+AB331-AC331&lt;I331+J331-K331,AND(AA331+AB331-AC331=I331+J331-K331,4&lt;1))),1,0)))</x:f>
        <x:v>99</x:v>
      </x:c>
      <x:c r="M331" s="6" t="n">
        <x:f>IF('Debt strategy'!$C$16&gt;0,0,MIN(I331+J331-K331,MAX(0,'Debt strategy'!$C$5-SUM(E331,K331,Q331,W331,AC331)-SUM(IF(F331&lt;L331,C331+D331-E331,0),IF(R331&lt;L331,O331+P331-Q331,0),IF(X331&lt;L331,U331+V331-W331,0),IF(AD331&lt;L331,AA331+AB331-AC331,0)))))</x:f>
        <x:v>0</x:v>
      </x:c>
      <x:c r="N331" s="6" t="n">
        <x:f>ROUND(MAX(0,I331+J331-K331-M331),2)</x:f>
        <x:v>0</x:v>
      </x:c>
      <x:c r="O331" s="6" t="n">
        <x:f>T330</x:f>
        <x:v>0</x:v>
      </x:c>
      <x:c r="P331" s="6" t="n">
        <x:f>ROUND(O331*'Debt strategy'!$D$11/12,2)</x:f>
        <x:v>0</x:v>
      </x:c>
      <x:c r="Q331" s="6" t="n">
        <x:f>MIN(O331+P331,'Debt strategy'!$E$11)</x:f>
        <x:v>0</x:v>
      </x:c>
      <x:c r="R331" s="27" t="n">
        <x:f>IF(O331+P331-Q331&lt;=0,99,1+SUM(IF(AND(C331+D331-E331&gt;0,OR(C331+D331-E331&lt;O331+P331-Q331,AND(C331+D331-E331=O331+P331-Q331,0&lt;2))),1,0),IF(AND(I331+J331-K331&gt;0,OR(I331+J331-K331&lt;O331+P331-Q331,AND(I331+J331-K331=O331+P331-Q331,1&lt;2))),1,0),IF(AND(U331+V331-W331&gt;0,OR(U331+V331-W331&lt;O331+P331-Q331,AND(U331+V331-W331=O331+P331-Q331,3&lt;2))),1,0),IF(AND(AA331+AB331-AC331&gt;0,OR(AA331+AB331-AC331&lt;O331+P331-Q331,AND(AA331+AB331-AC331=O331+P331-Q331,4&lt;2))),1,0)))</x:f>
        <x:v>99</x:v>
      </x:c>
      <x:c r="S331" s="6" t="n">
        <x:f>IF('Debt strategy'!$C$16&gt;0,0,MIN(O331+P331-Q331,MAX(0,'Debt strategy'!$C$5-SUM(E331,K331,Q331,W331,AC331)-SUM(IF(F331&lt;R331,C331+D331-E331,0),IF(L331&lt;R331,I331+J331-K331,0),IF(X331&lt;R331,U331+V331-W331,0),IF(AD331&lt;R331,AA331+AB331-AC331,0)))))</x:f>
        <x:v>0</x:v>
      </x:c>
      <x:c r="T331" s="6" t="n">
        <x:f>ROUND(MAX(0,O331+P331-Q331-S331),2)</x:f>
        <x:v>0</x:v>
      </x:c>
      <x:c r="U331" s="6" t="n">
        <x:f>Z330</x:f>
        <x:v>0</x:v>
      </x:c>
      <x:c r="V331" s="6" t="n">
        <x:f>ROUND(U331*'Debt strategy'!$D$12/12,2)</x:f>
        <x:v>0</x:v>
      </x:c>
      <x:c r="W331" s="6" t="n">
        <x:f>MIN(U331+V331,'Debt strategy'!$E$12)</x:f>
        <x:v>0</x:v>
      </x:c>
      <x:c r="X331" s="27" t="n">
        <x:f>IF(U331+V331-W331&lt;=0,99,1+SUM(IF(AND(C331+D331-E331&gt;0,OR(C331+D331-E331&lt;U331+V331-W331,AND(C331+D331-E331=U331+V331-W331,0&lt;3))),1,0),IF(AND(I331+J331-K331&gt;0,OR(I331+J331-K331&lt;U331+V331-W331,AND(I331+J331-K331=U331+V331-W331,1&lt;3))),1,0),IF(AND(O331+P331-Q331&gt;0,OR(O331+P331-Q331&lt;U331+V331-W331,AND(O331+P331-Q331=U331+V331-W331,2&lt;3))),1,0),IF(AND(AA331+AB331-AC331&gt;0,OR(AA331+AB331-AC331&lt;U331+V331-W331,AND(AA331+AB331-AC331=U331+V331-W331,4&lt;3))),1,0)))</x:f>
        <x:v>99</x:v>
      </x:c>
      <x:c r="Y331" s="6" t="n">
        <x:f>IF('Debt strategy'!$C$16&gt;0,0,MIN(U331+V331-W331,MAX(0,'Debt strategy'!$C$5-SUM(E331,K331,Q331,W331,AC331)-SUM(IF(F331&lt;X331,C331+D331-E331,0),IF(L331&lt;X331,I331+J331-K331,0),IF(R331&lt;X331,O331+P331-Q331,0),IF(AD331&lt;X331,AA331+AB331-AC331,0)))))</x:f>
        <x:v>0</x:v>
      </x:c>
      <x:c r="Z331" s="6" t="n">
        <x:f>ROUND(MAX(0,U331+V331-W331-Y331),2)</x:f>
        <x:v>0</x:v>
      </x:c>
      <x:c r="AA331" s="6" t="n">
        <x:f>AF330</x:f>
        <x:v>0</x:v>
      </x:c>
      <x:c r="AB331" s="6" t="n">
        <x:f>ROUND(AA331*'Debt strategy'!$D$13/12,2)</x:f>
        <x:v>0</x:v>
      </x:c>
      <x:c r="AC331" s="6" t="n">
        <x:f>MIN(AA331+AB331,'Debt strategy'!$E$13)</x:f>
        <x:v>0</x:v>
      </x:c>
      <x:c r="AD331" s="27" t="n">
        <x:f>IF(AA331+AB331-AC331&lt;=0,99,1+SUM(IF(AND(C331+D331-E331&gt;0,OR(C331+D331-E331&lt;AA331+AB331-AC331,AND(C331+D331-E331=AA331+AB331-AC331,0&lt;4))),1,0),IF(AND(I331+J331-K331&gt;0,OR(I331+J331-K331&lt;AA331+AB331-AC331,AND(I331+J331-K331=AA331+AB331-AC331,1&lt;4))),1,0),IF(AND(O331+P331-Q331&gt;0,OR(O331+P331-Q331&lt;AA331+AB331-AC331,AND(O331+P331-Q331=AA331+AB331-AC331,2&lt;4))),1,0),IF(AND(U331+V331-W331&gt;0,OR(U331+V331-W331&lt;AA331+AB331-AC331,AND(U331+V331-W331=AA331+AB331-AC331,3&lt;4))),1,0)))</x:f>
        <x:v>99</x:v>
      </x:c>
      <x:c r="AE331" s="6" t="n">
        <x:f>IF('Debt strategy'!$C$16&gt;0,0,MIN(AA331+AB331-AC331,MAX(0,'Debt strategy'!$C$5-SUM(E331,K331,Q331,W331,AC331)-SUM(IF(F331&lt;AD331,C331+D331-E331,0),IF(L331&lt;AD331,I331+J331-K331,0),IF(R331&lt;AD331,O331+P331-Q331,0),IF(X331&lt;AD331,U331+V331-W331,0)))))</x:f>
        <x:v>0</x:v>
      </x:c>
      <x:c r="AF331" s="6" t="n">
        <x:f>ROUND(MAX(0,AA331+AB331-AC331-AE331),2)</x:f>
        <x:v>0</x:v>
      </x:c>
      <x:c r="AG331" s="6" t="n">
        <x:f>SUM(H331,N331,T331,Z331,AF331)</x:f>
        <x:v>0</x:v>
      </x:c>
      <x:c r="AH331" s="6" t="n">
        <x:f>SUM(D331,J331,P331,V331,AB331)+AH330</x:f>
        <x:v>1353.9499999999996</x:v>
      </x:c>
      <x:c r="AI331" s="2"/>
    </x:row>
    <x:row r="332" ht="23" customHeight="1">
      <x:c r="B332" s="2" t="n">
        <x:f>324</x:f>
        <x:v>324</x:v>
      </x:c>
      <x:c r="C332" s="6" t="n">
        <x:f>H331</x:f>
        <x:v>0</x:v>
      </x:c>
      <x:c r="D332" s="6" t="n">
        <x:f>ROUND(C332*'Debt strategy'!$D$9/12,2)</x:f>
        <x:v>0</x:v>
      </x:c>
      <x:c r="E332" s="6" t="n">
        <x:f>MIN(C332+D332,'Debt strategy'!$E$9)</x:f>
        <x:v>0</x:v>
      </x:c>
      <x:c r="F332" s="27" t="n">
        <x:f>IF(C332+D332-E332&lt;=0,99,1+SUM(IF(AND(I332+J332-K332&gt;0,OR(I332+J332-K332&lt;C332+D332-E332,AND(I332+J332-K332=C332+D332-E332,1&lt;0))),1,0),IF(AND(O332+P332-Q332&gt;0,OR(O332+P332-Q332&lt;C332+D332-E332,AND(O332+P332-Q332=C332+D332-E332,2&lt;0))),1,0),IF(AND(U332+V332-W332&gt;0,OR(U332+V332-W332&lt;C332+D332-E332,AND(U332+V332-W332=C332+D332-E332,3&lt;0))),1,0),IF(AND(AA332+AB332-AC332&gt;0,OR(AA332+AB332-AC332&lt;C332+D332-E332,AND(AA332+AB332-AC332=C332+D332-E332,4&lt;0))),1,0)))</x:f>
        <x:v>99</x:v>
      </x:c>
      <x:c r="G332" s="6" t="n">
        <x:f>IF('Debt strategy'!$C$16&gt;0,0,MIN(C332+D332-E332,MAX(0,'Debt strategy'!$C$5-SUM(E332,K332,Q332,W332,AC332)-SUM(IF(L332&lt;F332,I332+J332-K332,0),IF(R332&lt;F332,O332+P332-Q332,0),IF(X332&lt;F332,U332+V332-W332,0),IF(AD332&lt;F332,AA332+AB332-AC332,0)))))</x:f>
        <x:v>0</x:v>
      </x:c>
      <x:c r="H332" s="6" t="n">
        <x:f>ROUND(MAX(0,C332+D332-E332-G332),2)</x:f>
        <x:v>0</x:v>
      </x:c>
      <x:c r="I332" s="6" t="n">
        <x:f>N331</x:f>
        <x:v>0</x:v>
      </x:c>
      <x:c r="J332" s="6" t="n">
        <x:f>ROUND(I332*'Debt strategy'!$D$10/12,2)</x:f>
        <x:v>0</x:v>
      </x:c>
      <x:c r="K332" s="6" t="n">
        <x:f>MIN(I332+J332,'Debt strategy'!$E$10)</x:f>
        <x:v>0</x:v>
      </x:c>
      <x:c r="L332" s="27" t="n">
        <x:f>IF(I332+J332-K332&lt;=0,99,1+SUM(IF(AND(C332+D332-E332&gt;0,OR(C332+D332-E332&lt;I332+J332-K332,AND(C332+D332-E332=I332+J332-K332,0&lt;1))),1,0),IF(AND(O332+P332-Q332&gt;0,OR(O332+P332-Q332&lt;I332+J332-K332,AND(O332+P332-Q332=I332+J332-K332,2&lt;1))),1,0),IF(AND(U332+V332-W332&gt;0,OR(U332+V332-W332&lt;I332+J332-K332,AND(U332+V332-W332=I332+J332-K332,3&lt;1))),1,0),IF(AND(AA332+AB332-AC332&gt;0,OR(AA332+AB332-AC332&lt;I332+J332-K332,AND(AA332+AB332-AC332=I332+J332-K332,4&lt;1))),1,0)))</x:f>
        <x:v>99</x:v>
      </x:c>
      <x:c r="M332" s="6" t="n">
        <x:f>IF('Debt strategy'!$C$16&gt;0,0,MIN(I332+J332-K332,MAX(0,'Debt strategy'!$C$5-SUM(E332,K332,Q332,W332,AC332)-SUM(IF(F332&lt;L332,C332+D332-E332,0),IF(R332&lt;L332,O332+P332-Q332,0),IF(X332&lt;L332,U332+V332-W332,0),IF(AD332&lt;L332,AA332+AB332-AC332,0)))))</x:f>
        <x:v>0</x:v>
      </x:c>
      <x:c r="N332" s="6" t="n">
        <x:f>ROUND(MAX(0,I332+J332-K332-M332),2)</x:f>
        <x:v>0</x:v>
      </x:c>
      <x:c r="O332" s="6" t="n">
        <x:f>T331</x:f>
        <x:v>0</x:v>
      </x:c>
      <x:c r="P332" s="6" t="n">
        <x:f>ROUND(O332*'Debt strategy'!$D$11/12,2)</x:f>
        <x:v>0</x:v>
      </x:c>
      <x:c r="Q332" s="6" t="n">
        <x:f>MIN(O332+P332,'Debt strategy'!$E$11)</x:f>
        <x:v>0</x:v>
      </x:c>
      <x:c r="R332" s="27" t="n">
        <x:f>IF(O332+P332-Q332&lt;=0,99,1+SUM(IF(AND(C332+D332-E332&gt;0,OR(C332+D332-E332&lt;O332+P332-Q332,AND(C332+D332-E332=O332+P332-Q332,0&lt;2))),1,0),IF(AND(I332+J332-K332&gt;0,OR(I332+J332-K332&lt;O332+P332-Q332,AND(I332+J332-K332=O332+P332-Q332,1&lt;2))),1,0),IF(AND(U332+V332-W332&gt;0,OR(U332+V332-W332&lt;O332+P332-Q332,AND(U332+V332-W332=O332+P332-Q332,3&lt;2))),1,0),IF(AND(AA332+AB332-AC332&gt;0,OR(AA332+AB332-AC332&lt;O332+P332-Q332,AND(AA332+AB332-AC332=O332+P332-Q332,4&lt;2))),1,0)))</x:f>
        <x:v>99</x:v>
      </x:c>
      <x:c r="S332" s="6" t="n">
        <x:f>IF('Debt strategy'!$C$16&gt;0,0,MIN(O332+P332-Q332,MAX(0,'Debt strategy'!$C$5-SUM(E332,K332,Q332,W332,AC332)-SUM(IF(F332&lt;R332,C332+D332-E332,0),IF(L332&lt;R332,I332+J332-K332,0),IF(X332&lt;R332,U332+V332-W332,0),IF(AD332&lt;R332,AA332+AB332-AC332,0)))))</x:f>
        <x:v>0</x:v>
      </x:c>
      <x:c r="T332" s="6" t="n">
        <x:f>ROUND(MAX(0,O332+P332-Q332-S332),2)</x:f>
        <x:v>0</x:v>
      </x:c>
      <x:c r="U332" s="6" t="n">
        <x:f>Z331</x:f>
        <x:v>0</x:v>
      </x:c>
      <x:c r="V332" s="6" t="n">
        <x:f>ROUND(U332*'Debt strategy'!$D$12/12,2)</x:f>
        <x:v>0</x:v>
      </x:c>
      <x:c r="W332" s="6" t="n">
        <x:f>MIN(U332+V332,'Debt strategy'!$E$12)</x:f>
        <x:v>0</x:v>
      </x:c>
      <x:c r="X332" s="27" t="n">
        <x:f>IF(U332+V332-W332&lt;=0,99,1+SUM(IF(AND(C332+D332-E332&gt;0,OR(C332+D332-E332&lt;U332+V332-W332,AND(C332+D332-E332=U332+V332-W332,0&lt;3))),1,0),IF(AND(I332+J332-K332&gt;0,OR(I332+J332-K332&lt;U332+V332-W332,AND(I332+J332-K332=U332+V332-W332,1&lt;3))),1,0),IF(AND(O332+P332-Q332&gt;0,OR(O332+P332-Q332&lt;U332+V332-W332,AND(O332+P332-Q332=U332+V332-W332,2&lt;3))),1,0),IF(AND(AA332+AB332-AC332&gt;0,OR(AA332+AB332-AC332&lt;U332+V332-W332,AND(AA332+AB332-AC332=U332+V332-W332,4&lt;3))),1,0)))</x:f>
        <x:v>99</x:v>
      </x:c>
      <x:c r="Y332" s="6" t="n">
        <x:f>IF('Debt strategy'!$C$16&gt;0,0,MIN(U332+V332-W332,MAX(0,'Debt strategy'!$C$5-SUM(E332,K332,Q332,W332,AC332)-SUM(IF(F332&lt;X332,C332+D332-E332,0),IF(L332&lt;X332,I332+J332-K332,0),IF(R332&lt;X332,O332+P332-Q332,0),IF(AD332&lt;X332,AA332+AB332-AC332,0)))))</x:f>
        <x:v>0</x:v>
      </x:c>
      <x:c r="Z332" s="6" t="n">
        <x:f>ROUND(MAX(0,U332+V332-W332-Y332),2)</x:f>
        <x:v>0</x:v>
      </x:c>
      <x:c r="AA332" s="6" t="n">
        <x:f>AF331</x:f>
        <x:v>0</x:v>
      </x:c>
      <x:c r="AB332" s="6" t="n">
        <x:f>ROUND(AA332*'Debt strategy'!$D$13/12,2)</x:f>
        <x:v>0</x:v>
      </x:c>
      <x:c r="AC332" s="6" t="n">
        <x:f>MIN(AA332+AB332,'Debt strategy'!$E$13)</x:f>
        <x:v>0</x:v>
      </x:c>
      <x:c r="AD332" s="27" t="n">
        <x:f>IF(AA332+AB332-AC332&lt;=0,99,1+SUM(IF(AND(C332+D332-E332&gt;0,OR(C332+D332-E332&lt;AA332+AB332-AC332,AND(C332+D332-E332=AA332+AB332-AC332,0&lt;4))),1,0),IF(AND(I332+J332-K332&gt;0,OR(I332+J332-K332&lt;AA332+AB332-AC332,AND(I332+J332-K332=AA332+AB332-AC332,1&lt;4))),1,0),IF(AND(O332+P332-Q332&gt;0,OR(O332+P332-Q332&lt;AA332+AB332-AC332,AND(O332+P332-Q332=AA332+AB332-AC332,2&lt;4))),1,0),IF(AND(U332+V332-W332&gt;0,OR(U332+V332-W332&lt;AA332+AB332-AC332,AND(U332+V332-W332=AA332+AB332-AC332,3&lt;4))),1,0)))</x:f>
        <x:v>99</x:v>
      </x:c>
      <x:c r="AE332" s="6" t="n">
        <x:f>IF('Debt strategy'!$C$16&gt;0,0,MIN(AA332+AB332-AC332,MAX(0,'Debt strategy'!$C$5-SUM(E332,K332,Q332,W332,AC332)-SUM(IF(F332&lt;AD332,C332+D332-E332,0),IF(L332&lt;AD332,I332+J332-K332,0),IF(R332&lt;AD332,O332+P332-Q332,0),IF(X332&lt;AD332,U332+V332-W332,0)))))</x:f>
        <x:v>0</x:v>
      </x:c>
      <x:c r="AF332" s="6" t="n">
        <x:f>ROUND(MAX(0,AA332+AB332-AC332-AE332),2)</x:f>
        <x:v>0</x:v>
      </x:c>
      <x:c r="AG332" s="6" t="n">
        <x:f>SUM(H332,N332,T332,Z332,AF332)</x:f>
        <x:v>0</x:v>
      </x:c>
      <x:c r="AH332" s="6" t="n">
        <x:f>SUM(D332,J332,P332,V332,AB332)+AH331</x:f>
        <x:v>1353.9499999999996</x:v>
      </x:c>
      <x:c r="AI332" s="2"/>
    </x:row>
    <x:row r="333" ht="23" customHeight="1">
      <x:c r="B333" s="2" t="n">
        <x:f>325</x:f>
        <x:v>325</x:v>
      </x:c>
      <x:c r="C333" s="6" t="n">
        <x:f>H332</x:f>
        <x:v>0</x:v>
      </x:c>
      <x:c r="D333" s="6" t="n">
        <x:f>ROUND(C333*'Debt strategy'!$D$9/12,2)</x:f>
        <x:v>0</x:v>
      </x:c>
      <x:c r="E333" s="6" t="n">
        <x:f>MIN(C333+D333,'Debt strategy'!$E$9)</x:f>
        <x:v>0</x:v>
      </x:c>
      <x:c r="F333" s="27" t="n">
        <x:f>IF(C333+D333-E333&lt;=0,99,1+SUM(IF(AND(I333+J333-K333&gt;0,OR(I333+J333-K333&lt;C333+D333-E333,AND(I333+J333-K333=C333+D333-E333,1&lt;0))),1,0),IF(AND(O333+P333-Q333&gt;0,OR(O333+P333-Q333&lt;C333+D333-E333,AND(O333+P333-Q333=C333+D333-E333,2&lt;0))),1,0),IF(AND(U333+V333-W333&gt;0,OR(U333+V333-W333&lt;C333+D333-E333,AND(U333+V333-W333=C333+D333-E333,3&lt;0))),1,0),IF(AND(AA333+AB333-AC333&gt;0,OR(AA333+AB333-AC333&lt;C333+D333-E333,AND(AA333+AB333-AC333=C333+D333-E333,4&lt;0))),1,0)))</x:f>
        <x:v>99</x:v>
      </x:c>
      <x:c r="G333" s="6" t="n">
        <x:f>IF('Debt strategy'!$C$16&gt;0,0,MIN(C333+D333-E333,MAX(0,'Debt strategy'!$C$5-SUM(E333,K333,Q333,W333,AC333)-SUM(IF(L333&lt;F333,I333+J333-K333,0),IF(R333&lt;F333,O333+P333-Q333,0),IF(X333&lt;F333,U333+V333-W333,0),IF(AD333&lt;F333,AA333+AB333-AC333,0)))))</x:f>
        <x:v>0</x:v>
      </x:c>
      <x:c r="H333" s="6" t="n">
        <x:f>ROUND(MAX(0,C333+D333-E333-G333),2)</x:f>
        <x:v>0</x:v>
      </x:c>
      <x:c r="I333" s="6" t="n">
        <x:f>N332</x:f>
        <x:v>0</x:v>
      </x:c>
      <x:c r="J333" s="6" t="n">
        <x:f>ROUND(I333*'Debt strategy'!$D$10/12,2)</x:f>
        <x:v>0</x:v>
      </x:c>
      <x:c r="K333" s="6" t="n">
        <x:f>MIN(I333+J333,'Debt strategy'!$E$10)</x:f>
        <x:v>0</x:v>
      </x:c>
      <x:c r="L333" s="27" t="n">
        <x:f>IF(I333+J333-K333&lt;=0,99,1+SUM(IF(AND(C333+D333-E333&gt;0,OR(C333+D333-E333&lt;I333+J333-K333,AND(C333+D333-E333=I333+J333-K333,0&lt;1))),1,0),IF(AND(O333+P333-Q333&gt;0,OR(O333+P333-Q333&lt;I333+J333-K333,AND(O333+P333-Q333=I333+J333-K333,2&lt;1))),1,0),IF(AND(U333+V333-W333&gt;0,OR(U333+V333-W333&lt;I333+J333-K333,AND(U333+V333-W333=I333+J333-K333,3&lt;1))),1,0),IF(AND(AA333+AB333-AC333&gt;0,OR(AA333+AB333-AC333&lt;I333+J333-K333,AND(AA333+AB333-AC333=I333+J333-K333,4&lt;1))),1,0)))</x:f>
        <x:v>99</x:v>
      </x:c>
      <x:c r="M333" s="6" t="n">
        <x:f>IF('Debt strategy'!$C$16&gt;0,0,MIN(I333+J333-K333,MAX(0,'Debt strategy'!$C$5-SUM(E333,K333,Q333,W333,AC333)-SUM(IF(F333&lt;L333,C333+D333-E333,0),IF(R333&lt;L333,O333+P333-Q333,0),IF(X333&lt;L333,U333+V333-W333,0),IF(AD333&lt;L333,AA333+AB333-AC333,0)))))</x:f>
        <x:v>0</x:v>
      </x:c>
      <x:c r="N333" s="6" t="n">
        <x:f>ROUND(MAX(0,I333+J333-K333-M333),2)</x:f>
        <x:v>0</x:v>
      </x:c>
      <x:c r="O333" s="6" t="n">
        <x:f>T332</x:f>
        <x:v>0</x:v>
      </x:c>
      <x:c r="P333" s="6" t="n">
        <x:f>ROUND(O333*'Debt strategy'!$D$11/12,2)</x:f>
        <x:v>0</x:v>
      </x:c>
      <x:c r="Q333" s="6" t="n">
        <x:f>MIN(O333+P333,'Debt strategy'!$E$11)</x:f>
        <x:v>0</x:v>
      </x:c>
      <x:c r="R333" s="27" t="n">
        <x:f>IF(O333+P333-Q333&lt;=0,99,1+SUM(IF(AND(C333+D333-E333&gt;0,OR(C333+D333-E333&lt;O333+P333-Q333,AND(C333+D333-E333=O333+P333-Q333,0&lt;2))),1,0),IF(AND(I333+J333-K333&gt;0,OR(I333+J333-K333&lt;O333+P333-Q333,AND(I333+J333-K333=O333+P333-Q333,1&lt;2))),1,0),IF(AND(U333+V333-W333&gt;0,OR(U333+V333-W333&lt;O333+P333-Q333,AND(U333+V333-W333=O333+P333-Q333,3&lt;2))),1,0),IF(AND(AA333+AB333-AC333&gt;0,OR(AA333+AB333-AC333&lt;O333+P333-Q333,AND(AA333+AB333-AC333=O333+P333-Q333,4&lt;2))),1,0)))</x:f>
        <x:v>99</x:v>
      </x:c>
      <x:c r="S333" s="6" t="n">
        <x:f>IF('Debt strategy'!$C$16&gt;0,0,MIN(O333+P333-Q333,MAX(0,'Debt strategy'!$C$5-SUM(E333,K333,Q333,W333,AC333)-SUM(IF(F333&lt;R333,C333+D333-E333,0),IF(L333&lt;R333,I333+J333-K333,0),IF(X333&lt;R333,U333+V333-W333,0),IF(AD333&lt;R333,AA333+AB333-AC333,0)))))</x:f>
        <x:v>0</x:v>
      </x:c>
      <x:c r="T333" s="6" t="n">
        <x:f>ROUND(MAX(0,O333+P333-Q333-S333),2)</x:f>
        <x:v>0</x:v>
      </x:c>
      <x:c r="U333" s="6" t="n">
        <x:f>Z332</x:f>
        <x:v>0</x:v>
      </x:c>
      <x:c r="V333" s="6" t="n">
        <x:f>ROUND(U333*'Debt strategy'!$D$12/12,2)</x:f>
        <x:v>0</x:v>
      </x:c>
      <x:c r="W333" s="6" t="n">
        <x:f>MIN(U333+V333,'Debt strategy'!$E$12)</x:f>
        <x:v>0</x:v>
      </x:c>
      <x:c r="X333" s="27" t="n">
        <x:f>IF(U333+V333-W333&lt;=0,99,1+SUM(IF(AND(C333+D333-E333&gt;0,OR(C333+D333-E333&lt;U333+V333-W333,AND(C333+D333-E333=U333+V333-W333,0&lt;3))),1,0),IF(AND(I333+J333-K333&gt;0,OR(I333+J333-K333&lt;U333+V333-W333,AND(I333+J333-K333=U333+V333-W333,1&lt;3))),1,0),IF(AND(O333+P333-Q333&gt;0,OR(O333+P333-Q333&lt;U333+V333-W333,AND(O333+P333-Q333=U333+V333-W333,2&lt;3))),1,0),IF(AND(AA333+AB333-AC333&gt;0,OR(AA333+AB333-AC333&lt;U333+V333-W333,AND(AA333+AB333-AC333=U333+V333-W333,4&lt;3))),1,0)))</x:f>
        <x:v>99</x:v>
      </x:c>
      <x:c r="Y333" s="6" t="n">
        <x:f>IF('Debt strategy'!$C$16&gt;0,0,MIN(U333+V333-W333,MAX(0,'Debt strategy'!$C$5-SUM(E333,K333,Q333,W333,AC333)-SUM(IF(F333&lt;X333,C333+D333-E333,0),IF(L333&lt;X333,I333+J333-K333,0),IF(R333&lt;X333,O333+P333-Q333,0),IF(AD333&lt;X333,AA333+AB333-AC333,0)))))</x:f>
        <x:v>0</x:v>
      </x:c>
      <x:c r="Z333" s="6" t="n">
        <x:f>ROUND(MAX(0,U333+V333-W333-Y333),2)</x:f>
        <x:v>0</x:v>
      </x:c>
      <x:c r="AA333" s="6" t="n">
        <x:f>AF332</x:f>
        <x:v>0</x:v>
      </x:c>
      <x:c r="AB333" s="6" t="n">
        <x:f>ROUND(AA333*'Debt strategy'!$D$13/12,2)</x:f>
        <x:v>0</x:v>
      </x:c>
      <x:c r="AC333" s="6" t="n">
        <x:f>MIN(AA333+AB333,'Debt strategy'!$E$13)</x:f>
        <x:v>0</x:v>
      </x:c>
      <x:c r="AD333" s="27" t="n">
        <x:f>IF(AA333+AB333-AC333&lt;=0,99,1+SUM(IF(AND(C333+D333-E333&gt;0,OR(C333+D333-E333&lt;AA333+AB333-AC333,AND(C333+D333-E333=AA333+AB333-AC333,0&lt;4))),1,0),IF(AND(I333+J333-K333&gt;0,OR(I333+J333-K333&lt;AA333+AB333-AC333,AND(I333+J333-K333=AA333+AB333-AC333,1&lt;4))),1,0),IF(AND(O333+P333-Q333&gt;0,OR(O333+P333-Q333&lt;AA333+AB333-AC333,AND(O333+P333-Q333=AA333+AB333-AC333,2&lt;4))),1,0),IF(AND(U333+V333-W333&gt;0,OR(U333+V333-W333&lt;AA333+AB333-AC333,AND(U333+V333-W333=AA333+AB333-AC333,3&lt;4))),1,0)))</x:f>
        <x:v>99</x:v>
      </x:c>
      <x:c r="AE333" s="6" t="n">
        <x:f>IF('Debt strategy'!$C$16&gt;0,0,MIN(AA333+AB333-AC333,MAX(0,'Debt strategy'!$C$5-SUM(E333,K333,Q333,W333,AC333)-SUM(IF(F333&lt;AD333,C333+D333-E333,0),IF(L333&lt;AD333,I333+J333-K333,0),IF(R333&lt;AD333,O333+P333-Q333,0),IF(X333&lt;AD333,U333+V333-W333,0)))))</x:f>
        <x:v>0</x:v>
      </x:c>
      <x:c r="AF333" s="6" t="n">
        <x:f>ROUND(MAX(0,AA333+AB333-AC333-AE333),2)</x:f>
        <x:v>0</x:v>
      </x:c>
      <x:c r="AG333" s="6" t="n">
        <x:f>SUM(H333,N333,T333,Z333,AF333)</x:f>
        <x:v>0</x:v>
      </x:c>
      <x:c r="AH333" s="6" t="n">
        <x:f>SUM(D333,J333,P333,V333,AB333)+AH332</x:f>
        <x:v>1353.9499999999996</x:v>
      </x:c>
      <x:c r="AI333" s="2"/>
    </x:row>
    <x:row r="334" ht="23" customHeight="1">
      <x:c r="B334" s="2" t="n">
        <x:f>326</x:f>
        <x:v>326</x:v>
      </x:c>
      <x:c r="C334" s="6" t="n">
        <x:f>H333</x:f>
        <x:v>0</x:v>
      </x:c>
      <x:c r="D334" s="6" t="n">
        <x:f>ROUND(C334*'Debt strategy'!$D$9/12,2)</x:f>
        <x:v>0</x:v>
      </x:c>
      <x:c r="E334" s="6" t="n">
        <x:f>MIN(C334+D334,'Debt strategy'!$E$9)</x:f>
        <x:v>0</x:v>
      </x:c>
      <x:c r="F334" s="27" t="n">
        <x:f>IF(C334+D334-E334&lt;=0,99,1+SUM(IF(AND(I334+J334-K334&gt;0,OR(I334+J334-K334&lt;C334+D334-E334,AND(I334+J334-K334=C334+D334-E334,1&lt;0))),1,0),IF(AND(O334+P334-Q334&gt;0,OR(O334+P334-Q334&lt;C334+D334-E334,AND(O334+P334-Q334=C334+D334-E334,2&lt;0))),1,0),IF(AND(U334+V334-W334&gt;0,OR(U334+V334-W334&lt;C334+D334-E334,AND(U334+V334-W334=C334+D334-E334,3&lt;0))),1,0),IF(AND(AA334+AB334-AC334&gt;0,OR(AA334+AB334-AC334&lt;C334+D334-E334,AND(AA334+AB334-AC334=C334+D334-E334,4&lt;0))),1,0)))</x:f>
        <x:v>99</x:v>
      </x:c>
      <x:c r="G334" s="6" t="n">
        <x:f>IF('Debt strategy'!$C$16&gt;0,0,MIN(C334+D334-E334,MAX(0,'Debt strategy'!$C$5-SUM(E334,K334,Q334,W334,AC334)-SUM(IF(L334&lt;F334,I334+J334-K334,0),IF(R334&lt;F334,O334+P334-Q334,0),IF(X334&lt;F334,U334+V334-W334,0),IF(AD334&lt;F334,AA334+AB334-AC334,0)))))</x:f>
        <x:v>0</x:v>
      </x:c>
      <x:c r="H334" s="6" t="n">
        <x:f>ROUND(MAX(0,C334+D334-E334-G334),2)</x:f>
        <x:v>0</x:v>
      </x:c>
      <x:c r="I334" s="6" t="n">
        <x:f>N333</x:f>
        <x:v>0</x:v>
      </x:c>
      <x:c r="J334" s="6" t="n">
        <x:f>ROUND(I334*'Debt strategy'!$D$10/12,2)</x:f>
        <x:v>0</x:v>
      </x:c>
      <x:c r="K334" s="6" t="n">
        <x:f>MIN(I334+J334,'Debt strategy'!$E$10)</x:f>
        <x:v>0</x:v>
      </x:c>
      <x:c r="L334" s="27" t="n">
        <x:f>IF(I334+J334-K334&lt;=0,99,1+SUM(IF(AND(C334+D334-E334&gt;0,OR(C334+D334-E334&lt;I334+J334-K334,AND(C334+D334-E334=I334+J334-K334,0&lt;1))),1,0),IF(AND(O334+P334-Q334&gt;0,OR(O334+P334-Q334&lt;I334+J334-K334,AND(O334+P334-Q334=I334+J334-K334,2&lt;1))),1,0),IF(AND(U334+V334-W334&gt;0,OR(U334+V334-W334&lt;I334+J334-K334,AND(U334+V334-W334=I334+J334-K334,3&lt;1))),1,0),IF(AND(AA334+AB334-AC334&gt;0,OR(AA334+AB334-AC334&lt;I334+J334-K334,AND(AA334+AB334-AC334=I334+J334-K334,4&lt;1))),1,0)))</x:f>
        <x:v>99</x:v>
      </x:c>
      <x:c r="M334" s="6" t="n">
        <x:f>IF('Debt strategy'!$C$16&gt;0,0,MIN(I334+J334-K334,MAX(0,'Debt strategy'!$C$5-SUM(E334,K334,Q334,W334,AC334)-SUM(IF(F334&lt;L334,C334+D334-E334,0),IF(R334&lt;L334,O334+P334-Q334,0),IF(X334&lt;L334,U334+V334-W334,0),IF(AD334&lt;L334,AA334+AB334-AC334,0)))))</x:f>
        <x:v>0</x:v>
      </x:c>
      <x:c r="N334" s="6" t="n">
        <x:f>ROUND(MAX(0,I334+J334-K334-M334),2)</x:f>
        <x:v>0</x:v>
      </x:c>
      <x:c r="O334" s="6" t="n">
        <x:f>T333</x:f>
        <x:v>0</x:v>
      </x:c>
      <x:c r="P334" s="6" t="n">
        <x:f>ROUND(O334*'Debt strategy'!$D$11/12,2)</x:f>
        <x:v>0</x:v>
      </x:c>
      <x:c r="Q334" s="6" t="n">
        <x:f>MIN(O334+P334,'Debt strategy'!$E$11)</x:f>
        <x:v>0</x:v>
      </x:c>
      <x:c r="R334" s="27" t="n">
        <x:f>IF(O334+P334-Q334&lt;=0,99,1+SUM(IF(AND(C334+D334-E334&gt;0,OR(C334+D334-E334&lt;O334+P334-Q334,AND(C334+D334-E334=O334+P334-Q334,0&lt;2))),1,0),IF(AND(I334+J334-K334&gt;0,OR(I334+J334-K334&lt;O334+P334-Q334,AND(I334+J334-K334=O334+P334-Q334,1&lt;2))),1,0),IF(AND(U334+V334-W334&gt;0,OR(U334+V334-W334&lt;O334+P334-Q334,AND(U334+V334-W334=O334+P334-Q334,3&lt;2))),1,0),IF(AND(AA334+AB334-AC334&gt;0,OR(AA334+AB334-AC334&lt;O334+P334-Q334,AND(AA334+AB334-AC334=O334+P334-Q334,4&lt;2))),1,0)))</x:f>
        <x:v>99</x:v>
      </x:c>
      <x:c r="S334" s="6" t="n">
        <x:f>IF('Debt strategy'!$C$16&gt;0,0,MIN(O334+P334-Q334,MAX(0,'Debt strategy'!$C$5-SUM(E334,K334,Q334,W334,AC334)-SUM(IF(F334&lt;R334,C334+D334-E334,0),IF(L334&lt;R334,I334+J334-K334,0),IF(X334&lt;R334,U334+V334-W334,0),IF(AD334&lt;R334,AA334+AB334-AC334,0)))))</x:f>
        <x:v>0</x:v>
      </x:c>
      <x:c r="T334" s="6" t="n">
        <x:f>ROUND(MAX(0,O334+P334-Q334-S334),2)</x:f>
        <x:v>0</x:v>
      </x:c>
      <x:c r="U334" s="6" t="n">
        <x:f>Z333</x:f>
        <x:v>0</x:v>
      </x:c>
      <x:c r="V334" s="6" t="n">
        <x:f>ROUND(U334*'Debt strategy'!$D$12/12,2)</x:f>
        <x:v>0</x:v>
      </x:c>
      <x:c r="W334" s="6" t="n">
        <x:f>MIN(U334+V334,'Debt strategy'!$E$12)</x:f>
        <x:v>0</x:v>
      </x:c>
      <x:c r="X334" s="27" t="n">
        <x:f>IF(U334+V334-W334&lt;=0,99,1+SUM(IF(AND(C334+D334-E334&gt;0,OR(C334+D334-E334&lt;U334+V334-W334,AND(C334+D334-E334=U334+V334-W334,0&lt;3))),1,0),IF(AND(I334+J334-K334&gt;0,OR(I334+J334-K334&lt;U334+V334-W334,AND(I334+J334-K334=U334+V334-W334,1&lt;3))),1,0),IF(AND(O334+P334-Q334&gt;0,OR(O334+P334-Q334&lt;U334+V334-W334,AND(O334+P334-Q334=U334+V334-W334,2&lt;3))),1,0),IF(AND(AA334+AB334-AC334&gt;0,OR(AA334+AB334-AC334&lt;U334+V334-W334,AND(AA334+AB334-AC334=U334+V334-W334,4&lt;3))),1,0)))</x:f>
        <x:v>99</x:v>
      </x:c>
      <x:c r="Y334" s="6" t="n">
        <x:f>IF('Debt strategy'!$C$16&gt;0,0,MIN(U334+V334-W334,MAX(0,'Debt strategy'!$C$5-SUM(E334,K334,Q334,W334,AC334)-SUM(IF(F334&lt;X334,C334+D334-E334,0),IF(L334&lt;X334,I334+J334-K334,0),IF(R334&lt;X334,O334+P334-Q334,0),IF(AD334&lt;X334,AA334+AB334-AC334,0)))))</x:f>
        <x:v>0</x:v>
      </x:c>
      <x:c r="Z334" s="6" t="n">
        <x:f>ROUND(MAX(0,U334+V334-W334-Y334),2)</x:f>
        <x:v>0</x:v>
      </x:c>
      <x:c r="AA334" s="6" t="n">
        <x:f>AF333</x:f>
        <x:v>0</x:v>
      </x:c>
      <x:c r="AB334" s="6" t="n">
        <x:f>ROUND(AA334*'Debt strategy'!$D$13/12,2)</x:f>
        <x:v>0</x:v>
      </x:c>
      <x:c r="AC334" s="6" t="n">
        <x:f>MIN(AA334+AB334,'Debt strategy'!$E$13)</x:f>
        <x:v>0</x:v>
      </x:c>
      <x:c r="AD334" s="27" t="n">
        <x:f>IF(AA334+AB334-AC334&lt;=0,99,1+SUM(IF(AND(C334+D334-E334&gt;0,OR(C334+D334-E334&lt;AA334+AB334-AC334,AND(C334+D334-E334=AA334+AB334-AC334,0&lt;4))),1,0),IF(AND(I334+J334-K334&gt;0,OR(I334+J334-K334&lt;AA334+AB334-AC334,AND(I334+J334-K334=AA334+AB334-AC334,1&lt;4))),1,0),IF(AND(O334+P334-Q334&gt;0,OR(O334+P334-Q334&lt;AA334+AB334-AC334,AND(O334+P334-Q334=AA334+AB334-AC334,2&lt;4))),1,0),IF(AND(U334+V334-W334&gt;0,OR(U334+V334-W334&lt;AA334+AB334-AC334,AND(U334+V334-W334=AA334+AB334-AC334,3&lt;4))),1,0)))</x:f>
        <x:v>99</x:v>
      </x:c>
      <x:c r="AE334" s="6" t="n">
        <x:f>IF('Debt strategy'!$C$16&gt;0,0,MIN(AA334+AB334-AC334,MAX(0,'Debt strategy'!$C$5-SUM(E334,K334,Q334,W334,AC334)-SUM(IF(F334&lt;AD334,C334+D334-E334,0),IF(L334&lt;AD334,I334+J334-K334,0),IF(R334&lt;AD334,O334+P334-Q334,0),IF(X334&lt;AD334,U334+V334-W334,0)))))</x:f>
        <x:v>0</x:v>
      </x:c>
      <x:c r="AF334" s="6" t="n">
        <x:f>ROUND(MAX(0,AA334+AB334-AC334-AE334),2)</x:f>
        <x:v>0</x:v>
      </x:c>
      <x:c r="AG334" s="6" t="n">
        <x:f>SUM(H334,N334,T334,Z334,AF334)</x:f>
        <x:v>0</x:v>
      </x:c>
      <x:c r="AH334" s="6" t="n">
        <x:f>SUM(D334,J334,P334,V334,AB334)+AH333</x:f>
        <x:v>1353.9499999999996</x:v>
      </x:c>
      <x:c r="AI334" s="2"/>
    </x:row>
    <x:row r="335" ht="23" customHeight="1">
      <x:c r="B335" s="2" t="n">
        <x:f>327</x:f>
        <x:v>327</x:v>
      </x:c>
      <x:c r="C335" s="6" t="n">
        <x:f>H334</x:f>
        <x:v>0</x:v>
      </x:c>
      <x:c r="D335" s="6" t="n">
        <x:f>ROUND(C335*'Debt strategy'!$D$9/12,2)</x:f>
        <x:v>0</x:v>
      </x:c>
      <x:c r="E335" s="6" t="n">
        <x:f>MIN(C335+D335,'Debt strategy'!$E$9)</x:f>
        <x:v>0</x:v>
      </x:c>
      <x:c r="F335" s="27" t="n">
        <x:f>IF(C335+D335-E335&lt;=0,99,1+SUM(IF(AND(I335+J335-K335&gt;0,OR(I335+J335-K335&lt;C335+D335-E335,AND(I335+J335-K335=C335+D335-E335,1&lt;0))),1,0),IF(AND(O335+P335-Q335&gt;0,OR(O335+P335-Q335&lt;C335+D335-E335,AND(O335+P335-Q335=C335+D335-E335,2&lt;0))),1,0),IF(AND(U335+V335-W335&gt;0,OR(U335+V335-W335&lt;C335+D335-E335,AND(U335+V335-W335=C335+D335-E335,3&lt;0))),1,0),IF(AND(AA335+AB335-AC335&gt;0,OR(AA335+AB335-AC335&lt;C335+D335-E335,AND(AA335+AB335-AC335=C335+D335-E335,4&lt;0))),1,0)))</x:f>
        <x:v>99</x:v>
      </x:c>
      <x:c r="G335" s="6" t="n">
        <x:f>IF('Debt strategy'!$C$16&gt;0,0,MIN(C335+D335-E335,MAX(0,'Debt strategy'!$C$5-SUM(E335,K335,Q335,W335,AC335)-SUM(IF(L335&lt;F335,I335+J335-K335,0),IF(R335&lt;F335,O335+P335-Q335,0),IF(X335&lt;F335,U335+V335-W335,0),IF(AD335&lt;F335,AA335+AB335-AC335,0)))))</x:f>
        <x:v>0</x:v>
      </x:c>
      <x:c r="H335" s="6" t="n">
        <x:f>ROUND(MAX(0,C335+D335-E335-G335),2)</x:f>
        <x:v>0</x:v>
      </x:c>
      <x:c r="I335" s="6" t="n">
        <x:f>N334</x:f>
        <x:v>0</x:v>
      </x:c>
      <x:c r="J335" s="6" t="n">
        <x:f>ROUND(I335*'Debt strategy'!$D$10/12,2)</x:f>
        <x:v>0</x:v>
      </x:c>
      <x:c r="K335" s="6" t="n">
        <x:f>MIN(I335+J335,'Debt strategy'!$E$10)</x:f>
        <x:v>0</x:v>
      </x:c>
      <x:c r="L335" s="27" t="n">
        <x:f>IF(I335+J335-K335&lt;=0,99,1+SUM(IF(AND(C335+D335-E335&gt;0,OR(C335+D335-E335&lt;I335+J335-K335,AND(C335+D335-E335=I335+J335-K335,0&lt;1))),1,0),IF(AND(O335+P335-Q335&gt;0,OR(O335+P335-Q335&lt;I335+J335-K335,AND(O335+P335-Q335=I335+J335-K335,2&lt;1))),1,0),IF(AND(U335+V335-W335&gt;0,OR(U335+V335-W335&lt;I335+J335-K335,AND(U335+V335-W335=I335+J335-K335,3&lt;1))),1,0),IF(AND(AA335+AB335-AC335&gt;0,OR(AA335+AB335-AC335&lt;I335+J335-K335,AND(AA335+AB335-AC335=I335+J335-K335,4&lt;1))),1,0)))</x:f>
        <x:v>99</x:v>
      </x:c>
      <x:c r="M335" s="6" t="n">
        <x:f>IF('Debt strategy'!$C$16&gt;0,0,MIN(I335+J335-K335,MAX(0,'Debt strategy'!$C$5-SUM(E335,K335,Q335,W335,AC335)-SUM(IF(F335&lt;L335,C335+D335-E335,0),IF(R335&lt;L335,O335+P335-Q335,0),IF(X335&lt;L335,U335+V335-W335,0),IF(AD335&lt;L335,AA335+AB335-AC335,0)))))</x:f>
        <x:v>0</x:v>
      </x:c>
      <x:c r="N335" s="6" t="n">
        <x:f>ROUND(MAX(0,I335+J335-K335-M335),2)</x:f>
        <x:v>0</x:v>
      </x:c>
      <x:c r="O335" s="6" t="n">
        <x:f>T334</x:f>
        <x:v>0</x:v>
      </x:c>
      <x:c r="P335" s="6" t="n">
        <x:f>ROUND(O335*'Debt strategy'!$D$11/12,2)</x:f>
        <x:v>0</x:v>
      </x:c>
      <x:c r="Q335" s="6" t="n">
        <x:f>MIN(O335+P335,'Debt strategy'!$E$11)</x:f>
        <x:v>0</x:v>
      </x:c>
      <x:c r="R335" s="27" t="n">
        <x:f>IF(O335+P335-Q335&lt;=0,99,1+SUM(IF(AND(C335+D335-E335&gt;0,OR(C335+D335-E335&lt;O335+P335-Q335,AND(C335+D335-E335=O335+P335-Q335,0&lt;2))),1,0),IF(AND(I335+J335-K335&gt;0,OR(I335+J335-K335&lt;O335+P335-Q335,AND(I335+J335-K335=O335+P335-Q335,1&lt;2))),1,0),IF(AND(U335+V335-W335&gt;0,OR(U335+V335-W335&lt;O335+P335-Q335,AND(U335+V335-W335=O335+P335-Q335,3&lt;2))),1,0),IF(AND(AA335+AB335-AC335&gt;0,OR(AA335+AB335-AC335&lt;O335+P335-Q335,AND(AA335+AB335-AC335=O335+P335-Q335,4&lt;2))),1,0)))</x:f>
        <x:v>99</x:v>
      </x:c>
      <x:c r="S335" s="6" t="n">
        <x:f>IF('Debt strategy'!$C$16&gt;0,0,MIN(O335+P335-Q335,MAX(0,'Debt strategy'!$C$5-SUM(E335,K335,Q335,W335,AC335)-SUM(IF(F335&lt;R335,C335+D335-E335,0),IF(L335&lt;R335,I335+J335-K335,0),IF(X335&lt;R335,U335+V335-W335,0),IF(AD335&lt;R335,AA335+AB335-AC335,0)))))</x:f>
        <x:v>0</x:v>
      </x:c>
      <x:c r="T335" s="6" t="n">
        <x:f>ROUND(MAX(0,O335+P335-Q335-S335),2)</x:f>
        <x:v>0</x:v>
      </x:c>
      <x:c r="U335" s="6" t="n">
        <x:f>Z334</x:f>
        <x:v>0</x:v>
      </x:c>
      <x:c r="V335" s="6" t="n">
        <x:f>ROUND(U335*'Debt strategy'!$D$12/12,2)</x:f>
        <x:v>0</x:v>
      </x:c>
      <x:c r="W335" s="6" t="n">
        <x:f>MIN(U335+V335,'Debt strategy'!$E$12)</x:f>
        <x:v>0</x:v>
      </x:c>
      <x:c r="X335" s="27" t="n">
        <x:f>IF(U335+V335-W335&lt;=0,99,1+SUM(IF(AND(C335+D335-E335&gt;0,OR(C335+D335-E335&lt;U335+V335-W335,AND(C335+D335-E335=U335+V335-W335,0&lt;3))),1,0),IF(AND(I335+J335-K335&gt;0,OR(I335+J335-K335&lt;U335+V335-W335,AND(I335+J335-K335=U335+V335-W335,1&lt;3))),1,0),IF(AND(O335+P335-Q335&gt;0,OR(O335+P335-Q335&lt;U335+V335-W335,AND(O335+P335-Q335=U335+V335-W335,2&lt;3))),1,0),IF(AND(AA335+AB335-AC335&gt;0,OR(AA335+AB335-AC335&lt;U335+V335-W335,AND(AA335+AB335-AC335=U335+V335-W335,4&lt;3))),1,0)))</x:f>
        <x:v>99</x:v>
      </x:c>
      <x:c r="Y335" s="6" t="n">
        <x:f>IF('Debt strategy'!$C$16&gt;0,0,MIN(U335+V335-W335,MAX(0,'Debt strategy'!$C$5-SUM(E335,K335,Q335,W335,AC335)-SUM(IF(F335&lt;X335,C335+D335-E335,0),IF(L335&lt;X335,I335+J335-K335,0),IF(R335&lt;X335,O335+P335-Q335,0),IF(AD335&lt;X335,AA335+AB335-AC335,0)))))</x:f>
        <x:v>0</x:v>
      </x:c>
      <x:c r="Z335" s="6" t="n">
        <x:f>ROUND(MAX(0,U335+V335-W335-Y335),2)</x:f>
        <x:v>0</x:v>
      </x:c>
      <x:c r="AA335" s="6" t="n">
        <x:f>AF334</x:f>
        <x:v>0</x:v>
      </x:c>
      <x:c r="AB335" s="6" t="n">
        <x:f>ROUND(AA335*'Debt strategy'!$D$13/12,2)</x:f>
        <x:v>0</x:v>
      </x:c>
      <x:c r="AC335" s="6" t="n">
        <x:f>MIN(AA335+AB335,'Debt strategy'!$E$13)</x:f>
        <x:v>0</x:v>
      </x:c>
      <x:c r="AD335" s="27" t="n">
        <x:f>IF(AA335+AB335-AC335&lt;=0,99,1+SUM(IF(AND(C335+D335-E335&gt;0,OR(C335+D335-E335&lt;AA335+AB335-AC335,AND(C335+D335-E335=AA335+AB335-AC335,0&lt;4))),1,0),IF(AND(I335+J335-K335&gt;0,OR(I335+J335-K335&lt;AA335+AB335-AC335,AND(I335+J335-K335=AA335+AB335-AC335,1&lt;4))),1,0),IF(AND(O335+P335-Q335&gt;0,OR(O335+P335-Q335&lt;AA335+AB335-AC335,AND(O335+P335-Q335=AA335+AB335-AC335,2&lt;4))),1,0),IF(AND(U335+V335-W335&gt;0,OR(U335+V335-W335&lt;AA335+AB335-AC335,AND(U335+V335-W335=AA335+AB335-AC335,3&lt;4))),1,0)))</x:f>
        <x:v>99</x:v>
      </x:c>
      <x:c r="AE335" s="6" t="n">
        <x:f>IF('Debt strategy'!$C$16&gt;0,0,MIN(AA335+AB335-AC335,MAX(0,'Debt strategy'!$C$5-SUM(E335,K335,Q335,W335,AC335)-SUM(IF(F335&lt;AD335,C335+D335-E335,0),IF(L335&lt;AD335,I335+J335-K335,0),IF(R335&lt;AD335,O335+P335-Q335,0),IF(X335&lt;AD335,U335+V335-W335,0)))))</x:f>
        <x:v>0</x:v>
      </x:c>
      <x:c r="AF335" s="6" t="n">
        <x:f>ROUND(MAX(0,AA335+AB335-AC335-AE335),2)</x:f>
        <x:v>0</x:v>
      </x:c>
      <x:c r="AG335" s="6" t="n">
        <x:f>SUM(H335,N335,T335,Z335,AF335)</x:f>
        <x:v>0</x:v>
      </x:c>
      <x:c r="AH335" s="6" t="n">
        <x:f>SUM(D335,J335,P335,V335,AB335)+AH334</x:f>
        <x:v>1353.9499999999996</x:v>
      </x:c>
      <x:c r="AI335" s="2"/>
    </x:row>
    <x:row r="336" ht="23" customHeight="1">
      <x:c r="B336" s="2" t="n">
        <x:f>328</x:f>
        <x:v>328</x:v>
      </x:c>
      <x:c r="C336" s="6" t="n">
        <x:f>H335</x:f>
        <x:v>0</x:v>
      </x:c>
      <x:c r="D336" s="6" t="n">
        <x:f>ROUND(C336*'Debt strategy'!$D$9/12,2)</x:f>
        <x:v>0</x:v>
      </x:c>
      <x:c r="E336" s="6" t="n">
        <x:f>MIN(C336+D336,'Debt strategy'!$E$9)</x:f>
        <x:v>0</x:v>
      </x:c>
      <x:c r="F336" s="27" t="n">
        <x:f>IF(C336+D336-E336&lt;=0,99,1+SUM(IF(AND(I336+J336-K336&gt;0,OR(I336+J336-K336&lt;C336+D336-E336,AND(I336+J336-K336=C336+D336-E336,1&lt;0))),1,0),IF(AND(O336+P336-Q336&gt;0,OR(O336+P336-Q336&lt;C336+D336-E336,AND(O336+P336-Q336=C336+D336-E336,2&lt;0))),1,0),IF(AND(U336+V336-W336&gt;0,OR(U336+V336-W336&lt;C336+D336-E336,AND(U336+V336-W336=C336+D336-E336,3&lt;0))),1,0),IF(AND(AA336+AB336-AC336&gt;0,OR(AA336+AB336-AC336&lt;C336+D336-E336,AND(AA336+AB336-AC336=C336+D336-E336,4&lt;0))),1,0)))</x:f>
        <x:v>99</x:v>
      </x:c>
      <x:c r="G336" s="6" t="n">
        <x:f>IF('Debt strategy'!$C$16&gt;0,0,MIN(C336+D336-E336,MAX(0,'Debt strategy'!$C$5-SUM(E336,K336,Q336,W336,AC336)-SUM(IF(L336&lt;F336,I336+J336-K336,0),IF(R336&lt;F336,O336+P336-Q336,0),IF(X336&lt;F336,U336+V336-W336,0),IF(AD336&lt;F336,AA336+AB336-AC336,0)))))</x:f>
        <x:v>0</x:v>
      </x:c>
      <x:c r="H336" s="6" t="n">
        <x:f>ROUND(MAX(0,C336+D336-E336-G336),2)</x:f>
        <x:v>0</x:v>
      </x:c>
      <x:c r="I336" s="6" t="n">
        <x:f>N335</x:f>
        <x:v>0</x:v>
      </x:c>
      <x:c r="J336" s="6" t="n">
        <x:f>ROUND(I336*'Debt strategy'!$D$10/12,2)</x:f>
        <x:v>0</x:v>
      </x:c>
      <x:c r="K336" s="6" t="n">
        <x:f>MIN(I336+J336,'Debt strategy'!$E$10)</x:f>
        <x:v>0</x:v>
      </x:c>
      <x:c r="L336" s="27" t="n">
        <x:f>IF(I336+J336-K336&lt;=0,99,1+SUM(IF(AND(C336+D336-E336&gt;0,OR(C336+D336-E336&lt;I336+J336-K336,AND(C336+D336-E336=I336+J336-K336,0&lt;1))),1,0),IF(AND(O336+P336-Q336&gt;0,OR(O336+P336-Q336&lt;I336+J336-K336,AND(O336+P336-Q336=I336+J336-K336,2&lt;1))),1,0),IF(AND(U336+V336-W336&gt;0,OR(U336+V336-W336&lt;I336+J336-K336,AND(U336+V336-W336=I336+J336-K336,3&lt;1))),1,0),IF(AND(AA336+AB336-AC336&gt;0,OR(AA336+AB336-AC336&lt;I336+J336-K336,AND(AA336+AB336-AC336=I336+J336-K336,4&lt;1))),1,0)))</x:f>
        <x:v>99</x:v>
      </x:c>
      <x:c r="M336" s="6" t="n">
        <x:f>IF('Debt strategy'!$C$16&gt;0,0,MIN(I336+J336-K336,MAX(0,'Debt strategy'!$C$5-SUM(E336,K336,Q336,W336,AC336)-SUM(IF(F336&lt;L336,C336+D336-E336,0),IF(R336&lt;L336,O336+P336-Q336,0),IF(X336&lt;L336,U336+V336-W336,0),IF(AD336&lt;L336,AA336+AB336-AC336,0)))))</x:f>
        <x:v>0</x:v>
      </x:c>
      <x:c r="N336" s="6" t="n">
        <x:f>ROUND(MAX(0,I336+J336-K336-M336),2)</x:f>
        <x:v>0</x:v>
      </x:c>
      <x:c r="O336" s="6" t="n">
        <x:f>T335</x:f>
        <x:v>0</x:v>
      </x:c>
      <x:c r="P336" s="6" t="n">
        <x:f>ROUND(O336*'Debt strategy'!$D$11/12,2)</x:f>
        <x:v>0</x:v>
      </x:c>
      <x:c r="Q336" s="6" t="n">
        <x:f>MIN(O336+P336,'Debt strategy'!$E$11)</x:f>
        <x:v>0</x:v>
      </x:c>
      <x:c r="R336" s="27" t="n">
        <x:f>IF(O336+P336-Q336&lt;=0,99,1+SUM(IF(AND(C336+D336-E336&gt;0,OR(C336+D336-E336&lt;O336+P336-Q336,AND(C336+D336-E336=O336+P336-Q336,0&lt;2))),1,0),IF(AND(I336+J336-K336&gt;0,OR(I336+J336-K336&lt;O336+P336-Q336,AND(I336+J336-K336=O336+P336-Q336,1&lt;2))),1,0),IF(AND(U336+V336-W336&gt;0,OR(U336+V336-W336&lt;O336+P336-Q336,AND(U336+V336-W336=O336+P336-Q336,3&lt;2))),1,0),IF(AND(AA336+AB336-AC336&gt;0,OR(AA336+AB336-AC336&lt;O336+P336-Q336,AND(AA336+AB336-AC336=O336+P336-Q336,4&lt;2))),1,0)))</x:f>
        <x:v>99</x:v>
      </x:c>
      <x:c r="S336" s="6" t="n">
        <x:f>IF('Debt strategy'!$C$16&gt;0,0,MIN(O336+P336-Q336,MAX(0,'Debt strategy'!$C$5-SUM(E336,K336,Q336,W336,AC336)-SUM(IF(F336&lt;R336,C336+D336-E336,0),IF(L336&lt;R336,I336+J336-K336,0),IF(X336&lt;R336,U336+V336-W336,0),IF(AD336&lt;R336,AA336+AB336-AC336,0)))))</x:f>
        <x:v>0</x:v>
      </x:c>
      <x:c r="T336" s="6" t="n">
        <x:f>ROUND(MAX(0,O336+P336-Q336-S336),2)</x:f>
        <x:v>0</x:v>
      </x:c>
      <x:c r="U336" s="6" t="n">
        <x:f>Z335</x:f>
        <x:v>0</x:v>
      </x:c>
      <x:c r="V336" s="6" t="n">
        <x:f>ROUND(U336*'Debt strategy'!$D$12/12,2)</x:f>
        <x:v>0</x:v>
      </x:c>
      <x:c r="W336" s="6" t="n">
        <x:f>MIN(U336+V336,'Debt strategy'!$E$12)</x:f>
        <x:v>0</x:v>
      </x:c>
      <x:c r="X336" s="27" t="n">
        <x:f>IF(U336+V336-W336&lt;=0,99,1+SUM(IF(AND(C336+D336-E336&gt;0,OR(C336+D336-E336&lt;U336+V336-W336,AND(C336+D336-E336=U336+V336-W336,0&lt;3))),1,0),IF(AND(I336+J336-K336&gt;0,OR(I336+J336-K336&lt;U336+V336-W336,AND(I336+J336-K336=U336+V336-W336,1&lt;3))),1,0),IF(AND(O336+P336-Q336&gt;0,OR(O336+P336-Q336&lt;U336+V336-W336,AND(O336+P336-Q336=U336+V336-W336,2&lt;3))),1,0),IF(AND(AA336+AB336-AC336&gt;0,OR(AA336+AB336-AC336&lt;U336+V336-W336,AND(AA336+AB336-AC336=U336+V336-W336,4&lt;3))),1,0)))</x:f>
        <x:v>99</x:v>
      </x:c>
      <x:c r="Y336" s="6" t="n">
        <x:f>IF('Debt strategy'!$C$16&gt;0,0,MIN(U336+V336-W336,MAX(0,'Debt strategy'!$C$5-SUM(E336,K336,Q336,W336,AC336)-SUM(IF(F336&lt;X336,C336+D336-E336,0),IF(L336&lt;X336,I336+J336-K336,0),IF(R336&lt;X336,O336+P336-Q336,0),IF(AD336&lt;X336,AA336+AB336-AC336,0)))))</x:f>
        <x:v>0</x:v>
      </x:c>
      <x:c r="Z336" s="6" t="n">
        <x:f>ROUND(MAX(0,U336+V336-W336-Y336),2)</x:f>
        <x:v>0</x:v>
      </x:c>
      <x:c r="AA336" s="6" t="n">
        <x:f>AF335</x:f>
        <x:v>0</x:v>
      </x:c>
      <x:c r="AB336" s="6" t="n">
        <x:f>ROUND(AA336*'Debt strategy'!$D$13/12,2)</x:f>
        <x:v>0</x:v>
      </x:c>
      <x:c r="AC336" s="6" t="n">
        <x:f>MIN(AA336+AB336,'Debt strategy'!$E$13)</x:f>
        <x:v>0</x:v>
      </x:c>
      <x:c r="AD336" s="27" t="n">
        <x:f>IF(AA336+AB336-AC336&lt;=0,99,1+SUM(IF(AND(C336+D336-E336&gt;0,OR(C336+D336-E336&lt;AA336+AB336-AC336,AND(C336+D336-E336=AA336+AB336-AC336,0&lt;4))),1,0),IF(AND(I336+J336-K336&gt;0,OR(I336+J336-K336&lt;AA336+AB336-AC336,AND(I336+J336-K336=AA336+AB336-AC336,1&lt;4))),1,0),IF(AND(O336+P336-Q336&gt;0,OR(O336+P336-Q336&lt;AA336+AB336-AC336,AND(O336+P336-Q336=AA336+AB336-AC336,2&lt;4))),1,0),IF(AND(U336+V336-W336&gt;0,OR(U336+V336-W336&lt;AA336+AB336-AC336,AND(U336+V336-W336=AA336+AB336-AC336,3&lt;4))),1,0)))</x:f>
        <x:v>99</x:v>
      </x:c>
      <x:c r="AE336" s="6" t="n">
        <x:f>IF('Debt strategy'!$C$16&gt;0,0,MIN(AA336+AB336-AC336,MAX(0,'Debt strategy'!$C$5-SUM(E336,K336,Q336,W336,AC336)-SUM(IF(F336&lt;AD336,C336+D336-E336,0),IF(L336&lt;AD336,I336+J336-K336,0),IF(R336&lt;AD336,O336+P336-Q336,0),IF(X336&lt;AD336,U336+V336-W336,0)))))</x:f>
        <x:v>0</x:v>
      </x:c>
      <x:c r="AF336" s="6" t="n">
        <x:f>ROUND(MAX(0,AA336+AB336-AC336-AE336),2)</x:f>
        <x:v>0</x:v>
      </x:c>
      <x:c r="AG336" s="6" t="n">
        <x:f>SUM(H336,N336,T336,Z336,AF336)</x:f>
        <x:v>0</x:v>
      </x:c>
      <x:c r="AH336" s="6" t="n">
        <x:f>SUM(D336,J336,P336,V336,AB336)+AH335</x:f>
        <x:v>1353.9499999999996</x:v>
      </x:c>
      <x:c r="AI336" s="2"/>
    </x:row>
    <x:row r="337" ht="23" customHeight="1">
      <x:c r="B337" s="2" t="n">
        <x:f>329</x:f>
        <x:v>329</x:v>
      </x:c>
      <x:c r="C337" s="6" t="n">
        <x:f>H336</x:f>
        <x:v>0</x:v>
      </x:c>
      <x:c r="D337" s="6" t="n">
        <x:f>ROUND(C337*'Debt strategy'!$D$9/12,2)</x:f>
        <x:v>0</x:v>
      </x:c>
      <x:c r="E337" s="6" t="n">
        <x:f>MIN(C337+D337,'Debt strategy'!$E$9)</x:f>
        <x:v>0</x:v>
      </x:c>
      <x:c r="F337" s="27" t="n">
        <x:f>IF(C337+D337-E337&lt;=0,99,1+SUM(IF(AND(I337+J337-K337&gt;0,OR(I337+J337-K337&lt;C337+D337-E337,AND(I337+J337-K337=C337+D337-E337,1&lt;0))),1,0),IF(AND(O337+P337-Q337&gt;0,OR(O337+P337-Q337&lt;C337+D337-E337,AND(O337+P337-Q337=C337+D337-E337,2&lt;0))),1,0),IF(AND(U337+V337-W337&gt;0,OR(U337+V337-W337&lt;C337+D337-E337,AND(U337+V337-W337=C337+D337-E337,3&lt;0))),1,0),IF(AND(AA337+AB337-AC337&gt;0,OR(AA337+AB337-AC337&lt;C337+D337-E337,AND(AA337+AB337-AC337=C337+D337-E337,4&lt;0))),1,0)))</x:f>
        <x:v>99</x:v>
      </x:c>
      <x:c r="G337" s="6" t="n">
        <x:f>IF('Debt strategy'!$C$16&gt;0,0,MIN(C337+D337-E337,MAX(0,'Debt strategy'!$C$5-SUM(E337,K337,Q337,W337,AC337)-SUM(IF(L337&lt;F337,I337+J337-K337,0),IF(R337&lt;F337,O337+P337-Q337,0),IF(X337&lt;F337,U337+V337-W337,0),IF(AD337&lt;F337,AA337+AB337-AC337,0)))))</x:f>
        <x:v>0</x:v>
      </x:c>
      <x:c r="H337" s="6" t="n">
        <x:f>ROUND(MAX(0,C337+D337-E337-G337),2)</x:f>
        <x:v>0</x:v>
      </x:c>
      <x:c r="I337" s="6" t="n">
        <x:f>N336</x:f>
        <x:v>0</x:v>
      </x:c>
      <x:c r="J337" s="6" t="n">
        <x:f>ROUND(I337*'Debt strategy'!$D$10/12,2)</x:f>
        <x:v>0</x:v>
      </x:c>
      <x:c r="K337" s="6" t="n">
        <x:f>MIN(I337+J337,'Debt strategy'!$E$10)</x:f>
        <x:v>0</x:v>
      </x:c>
      <x:c r="L337" s="27" t="n">
        <x:f>IF(I337+J337-K337&lt;=0,99,1+SUM(IF(AND(C337+D337-E337&gt;0,OR(C337+D337-E337&lt;I337+J337-K337,AND(C337+D337-E337=I337+J337-K337,0&lt;1))),1,0),IF(AND(O337+P337-Q337&gt;0,OR(O337+P337-Q337&lt;I337+J337-K337,AND(O337+P337-Q337=I337+J337-K337,2&lt;1))),1,0),IF(AND(U337+V337-W337&gt;0,OR(U337+V337-W337&lt;I337+J337-K337,AND(U337+V337-W337=I337+J337-K337,3&lt;1))),1,0),IF(AND(AA337+AB337-AC337&gt;0,OR(AA337+AB337-AC337&lt;I337+J337-K337,AND(AA337+AB337-AC337=I337+J337-K337,4&lt;1))),1,0)))</x:f>
        <x:v>99</x:v>
      </x:c>
      <x:c r="M337" s="6" t="n">
        <x:f>IF('Debt strategy'!$C$16&gt;0,0,MIN(I337+J337-K337,MAX(0,'Debt strategy'!$C$5-SUM(E337,K337,Q337,W337,AC337)-SUM(IF(F337&lt;L337,C337+D337-E337,0),IF(R337&lt;L337,O337+P337-Q337,0),IF(X337&lt;L337,U337+V337-W337,0),IF(AD337&lt;L337,AA337+AB337-AC337,0)))))</x:f>
        <x:v>0</x:v>
      </x:c>
      <x:c r="N337" s="6" t="n">
        <x:f>ROUND(MAX(0,I337+J337-K337-M337),2)</x:f>
        <x:v>0</x:v>
      </x:c>
      <x:c r="O337" s="6" t="n">
        <x:f>T336</x:f>
        <x:v>0</x:v>
      </x:c>
      <x:c r="P337" s="6" t="n">
        <x:f>ROUND(O337*'Debt strategy'!$D$11/12,2)</x:f>
        <x:v>0</x:v>
      </x:c>
      <x:c r="Q337" s="6" t="n">
        <x:f>MIN(O337+P337,'Debt strategy'!$E$11)</x:f>
        <x:v>0</x:v>
      </x:c>
      <x:c r="R337" s="27" t="n">
        <x:f>IF(O337+P337-Q337&lt;=0,99,1+SUM(IF(AND(C337+D337-E337&gt;0,OR(C337+D337-E337&lt;O337+P337-Q337,AND(C337+D337-E337=O337+P337-Q337,0&lt;2))),1,0),IF(AND(I337+J337-K337&gt;0,OR(I337+J337-K337&lt;O337+P337-Q337,AND(I337+J337-K337=O337+P337-Q337,1&lt;2))),1,0),IF(AND(U337+V337-W337&gt;0,OR(U337+V337-W337&lt;O337+P337-Q337,AND(U337+V337-W337=O337+P337-Q337,3&lt;2))),1,0),IF(AND(AA337+AB337-AC337&gt;0,OR(AA337+AB337-AC337&lt;O337+P337-Q337,AND(AA337+AB337-AC337=O337+P337-Q337,4&lt;2))),1,0)))</x:f>
        <x:v>99</x:v>
      </x:c>
      <x:c r="S337" s="6" t="n">
        <x:f>IF('Debt strategy'!$C$16&gt;0,0,MIN(O337+P337-Q337,MAX(0,'Debt strategy'!$C$5-SUM(E337,K337,Q337,W337,AC337)-SUM(IF(F337&lt;R337,C337+D337-E337,0),IF(L337&lt;R337,I337+J337-K337,0),IF(X337&lt;R337,U337+V337-W337,0),IF(AD337&lt;R337,AA337+AB337-AC337,0)))))</x:f>
        <x:v>0</x:v>
      </x:c>
      <x:c r="T337" s="6" t="n">
        <x:f>ROUND(MAX(0,O337+P337-Q337-S337),2)</x:f>
        <x:v>0</x:v>
      </x:c>
      <x:c r="U337" s="6" t="n">
        <x:f>Z336</x:f>
        <x:v>0</x:v>
      </x:c>
      <x:c r="V337" s="6" t="n">
        <x:f>ROUND(U337*'Debt strategy'!$D$12/12,2)</x:f>
        <x:v>0</x:v>
      </x:c>
      <x:c r="W337" s="6" t="n">
        <x:f>MIN(U337+V337,'Debt strategy'!$E$12)</x:f>
        <x:v>0</x:v>
      </x:c>
      <x:c r="X337" s="27" t="n">
        <x:f>IF(U337+V337-W337&lt;=0,99,1+SUM(IF(AND(C337+D337-E337&gt;0,OR(C337+D337-E337&lt;U337+V337-W337,AND(C337+D337-E337=U337+V337-W337,0&lt;3))),1,0),IF(AND(I337+J337-K337&gt;0,OR(I337+J337-K337&lt;U337+V337-W337,AND(I337+J337-K337=U337+V337-W337,1&lt;3))),1,0),IF(AND(O337+P337-Q337&gt;0,OR(O337+P337-Q337&lt;U337+V337-W337,AND(O337+P337-Q337=U337+V337-W337,2&lt;3))),1,0),IF(AND(AA337+AB337-AC337&gt;0,OR(AA337+AB337-AC337&lt;U337+V337-W337,AND(AA337+AB337-AC337=U337+V337-W337,4&lt;3))),1,0)))</x:f>
        <x:v>99</x:v>
      </x:c>
      <x:c r="Y337" s="6" t="n">
        <x:f>IF('Debt strategy'!$C$16&gt;0,0,MIN(U337+V337-W337,MAX(0,'Debt strategy'!$C$5-SUM(E337,K337,Q337,W337,AC337)-SUM(IF(F337&lt;X337,C337+D337-E337,0),IF(L337&lt;X337,I337+J337-K337,0),IF(R337&lt;X337,O337+P337-Q337,0),IF(AD337&lt;X337,AA337+AB337-AC337,0)))))</x:f>
        <x:v>0</x:v>
      </x:c>
      <x:c r="Z337" s="6" t="n">
        <x:f>ROUND(MAX(0,U337+V337-W337-Y337),2)</x:f>
        <x:v>0</x:v>
      </x:c>
      <x:c r="AA337" s="6" t="n">
        <x:f>AF336</x:f>
        <x:v>0</x:v>
      </x:c>
      <x:c r="AB337" s="6" t="n">
        <x:f>ROUND(AA337*'Debt strategy'!$D$13/12,2)</x:f>
        <x:v>0</x:v>
      </x:c>
      <x:c r="AC337" s="6" t="n">
        <x:f>MIN(AA337+AB337,'Debt strategy'!$E$13)</x:f>
        <x:v>0</x:v>
      </x:c>
      <x:c r="AD337" s="27" t="n">
        <x:f>IF(AA337+AB337-AC337&lt;=0,99,1+SUM(IF(AND(C337+D337-E337&gt;0,OR(C337+D337-E337&lt;AA337+AB337-AC337,AND(C337+D337-E337=AA337+AB337-AC337,0&lt;4))),1,0),IF(AND(I337+J337-K337&gt;0,OR(I337+J337-K337&lt;AA337+AB337-AC337,AND(I337+J337-K337=AA337+AB337-AC337,1&lt;4))),1,0),IF(AND(O337+P337-Q337&gt;0,OR(O337+P337-Q337&lt;AA337+AB337-AC337,AND(O337+P337-Q337=AA337+AB337-AC337,2&lt;4))),1,0),IF(AND(U337+V337-W337&gt;0,OR(U337+V337-W337&lt;AA337+AB337-AC337,AND(U337+V337-W337=AA337+AB337-AC337,3&lt;4))),1,0)))</x:f>
        <x:v>99</x:v>
      </x:c>
      <x:c r="AE337" s="6" t="n">
        <x:f>IF('Debt strategy'!$C$16&gt;0,0,MIN(AA337+AB337-AC337,MAX(0,'Debt strategy'!$C$5-SUM(E337,K337,Q337,W337,AC337)-SUM(IF(F337&lt;AD337,C337+D337-E337,0),IF(L337&lt;AD337,I337+J337-K337,0),IF(R337&lt;AD337,O337+P337-Q337,0),IF(X337&lt;AD337,U337+V337-W337,0)))))</x:f>
        <x:v>0</x:v>
      </x:c>
      <x:c r="AF337" s="6" t="n">
        <x:f>ROUND(MAX(0,AA337+AB337-AC337-AE337),2)</x:f>
        <x:v>0</x:v>
      </x:c>
      <x:c r="AG337" s="6" t="n">
        <x:f>SUM(H337,N337,T337,Z337,AF337)</x:f>
        <x:v>0</x:v>
      </x:c>
      <x:c r="AH337" s="6" t="n">
        <x:f>SUM(D337,J337,P337,V337,AB337)+AH336</x:f>
        <x:v>1353.9499999999996</x:v>
      </x:c>
      <x:c r="AI337" s="2"/>
    </x:row>
    <x:row r="338" ht="23" customHeight="1">
      <x:c r="B338" s="2" t="n">
        <x:f>330</x:f>
        <x:v>330</x:v>
      </x:c>
      <x:c r="C338" s="6" t="n">
        <x:f>H337</x:f>
        <x:v>0</x:v>
      </x:c>
      <x:c r="D338" s="6" t="n">
        <x:f>ROUND(C338*'Debt strategy'!$D$9/12,2)</x:f>
        <x:v>0</x:v>
      </x:c>
      <x:c r="E338" s="6" t="n">
        <x:f>MIN(C338+D338,'Debt strategy'!$E$9)</x:f>
        <x:v>0</x:v>
      </x:c>
      <x:c r="F338" s="27" t="n">
        <x:f>IF(C338+D338-E338&lt;=0,99,1+SUM(IF(AND(I338+J338-K338&gt;0,OR(I338+J338-K338&lt;C338+D338-E338,AND(I338+J338-K338=C338+D338-E338,1&lt;0))),1,0),IF(AND(O338+P338-Q338&gt;0,OR(O338+P338-Q338&lt;C338+D338-E338,AND(O338+P338-Q338=C338+D338-E338,2&lt;0))),1,0),IF(AND(U338+V338-W338&gt;0,OR(U338+V338-W338&lt;C338+D338-E338,AND(U338+V338-W338=C338+D338-E338,3&lt;0))),1,0),IF(AND(AA338+AB338-AC338&gt;0,OR(AA338+AB338-AC338&lt;C338+D338-E338,AND(AA338+AB338-AC338=C338+D338-E338,4&lt;0))),1,0)))</x:f>
        <x:v>99</x:v>
      </x:c>
      <x:c r="G338" s="6" t="n">
        <x:f>IF('Debt strategy'!$C$16&gt;0,0,MIN(C338+D338-E338,MAX(0,'Debt strategy'!$C$5-SUM(E338,K338,Q338,W338,AC338)-SUM(IF(L338&lt;F338,I338+J338-K338,0),IF(R338&lt;F338,O338+P338-Q338,0),IF(X338&lt;F338,U338+V338-W338,0),IF(AD338&lt;F338,AA338+AB338-AC338,0)))))</x:f>
        <x:v>0</x:v>
      </x:c>
      <x:c r="H338" s="6" t="n">
        <x:f>ROUND(MAX(0,C338+D338-E338-G338),2)</x:f>
        <x:v>0</x:v>
      </x:c>
      <x:c r="I338" s="6" t="n">
        <x:f>N337</x:f>
        <x:v>0</x:v>
      </x:c>
      <x:c r="J338" s="6" t="n">
        <x:f>ROUND(I338*'Debt strategy'!$D$10/12,2)</x:f>
        <x:v>0</x:v>
      </x:c>
      <x:c r="K338" s="6" t="n">
        <x:f>MIN(I338+J338,'Debt strategy'!$E$10)</x:f>
        <x:v>0</x:v>
      </x:c>
      <x:c r="L338" s="27" t="n">
        <x:f>IF(I338+J338-K338&lt;=0,99,1+SUM(IF(AND(C338+D338-E338&gt;0,OR(C338+D338-E338&lt;I338+J338-K338,AND(C338+D338-E338=I338+J338-K338,0&lt;1))),1,0),IF(AND(O338+P338-Q338&gt;0,OR(O338+P338-Q338&lt;I338+J338-K338,AND(O338+P338-Q338=I338+J338-K338,2&lt;1))),1,0),IF(AND(U338+V338-W338&gt;0,OR(U338+V338-W338&lt;I338+J338-K338,AND(U338+V338-W338=I338+J338-K338,3&lt;1))),1,0),IF(AND(AA338+AB338-AC338&gt;0,OR(AA338+AB338-AC338&lt;I338+J338-K338,AND(AA338+AB338-AC338=I338+J338-K338,4&lt;1))),1,0)))</x:f>
        <x:v>99</x:v>
      </x:c>
      <x:c r="M338" s="6" t="n">
        <x:f>IF('Debt strategy'!$C$16&gt;0,0,MIN(I338+J338-K338,MAX(0,'Debt strategy'!$C$5-SUM(E338,K338,Q338,W338,AC338)-SUM(IF(F338&lt;L338,C338+D338-E338,0),IF(R338&lt;L338,O338+P338-Q338,0),IF(X338&lt;L338,U338+V338-W338,0),IF(AD338&lt;L338,AA338+AB338-AC338,0)))))</x:f>
        <x:v>0</x:v>
      </x:c>
      <x:c r="N338" s="6" t="n">
        <x:f>ROUND(MAX(0,I338+J338-K338-M338),2)</x:f>
        <x:v>0</x:v>
      </x:c>
      <x:c r="O338" s="6" t="n">
        <x:f>T337</x:f>
        <x:v>0</x:v>
      </x:c>
      <x:c r="P338" s="6" t="n">
        <x:f>ROUND(O338*'Debt strategy'!$D$11/12,2)</x:f>
        <x:v>0</x:v>
      </x:c>
      <x:c r="Q338" s="6" t="n">
        <x:f>MIN(O338+P338,'Debt strategy'!$E$11)</x:f>
        <x:v>0</x:v>
      </x:c>
      <x:c r="R338" s="27" t="n">
        <x:f>IF(O338+P338-Q338&lt;=0,99,1+SUM(IF(AND(C338+D338-E338&gt;0,OR(C338+D338-E338&lt;O338+P338-Q338,AND(C338+D338-E338=O338+P338-Q338,0&lt;2))),1,0),IF(AND(I338+J338-K338&gt;0,OR(I338+J338-K338&lt;O338+P338-Q338,AND(I338+J338-K338=O338+P338-Q338,1&lt;2))),1,0),IF(AND(U338+V338-W338&gt;0,OR(U338+V338-W338&lt;O338+P338-Q338,AND(U338+V338-W338=O338+P338-Q338,3&lt;2))),1,0),IF(AND(AA338+AB338-AC338&gt;0,OR(AA338+AB338-AC338&lt;O338+P338-Q338,AND(AA338+AB338-AC338=O338+P338-Q338,4&lt;2))),1,0)))</x:f>
        <x:v>99</x:v>
      </x:c>
      <x:c r="S338" s="6" t="n">
        <x:f>IF('Debt strategy'!$C$16&gt;0,0,MIN(O338+P338-Q338,MAX(0,'Debt strategy'!$C$5-SUM(E338,K338,Q338,W338,AC338)-SUM(IF(F338&lt;R338,C338+D338-E338,0),IF(L338&lt;R338,I338+J338-K338,0),IF(X338&lt;R338,U338+V338-W338,0),IF(AD338&lt;R338,AA338+AB338-AC338,0)))))</x:f>
        <x:v>0</x:v>
      </x:c>
      <x:c r="T338" s="6" t="n">
        <x:f>ROUND(MAX(0,O338+P338-Q338-S338),2)</x:f>
        <x:v>0</x:v>
      </x:c>
      <x:c r="U338" s="6" t="n">
        <x:f>Z337</x:f>
        <x:v>0</x:v>
      </x:c>
      <x:c r="V338" s="6" t="n">
        <x:f>ROUND(U338*'Debt strategy'!$D$12/12,2)</x:f>
        <x:v>0</x:v>
      </x:c>
      <x:c r="W338" s="6" t="n">
        <x:f>MIN(U338+V338,'Debt strategy'!$E$12)</x:f>
        <x:v>0</x:v>
      </x:c>
      <x:c r="X338" s="27" t="n">
        <x:f>IF(U338+V338-W338&lt;=0,99,1+SUM(IF(AND(C338+D338-E338&gt;0,OR(C338+D338-E338&lt;U338+V338-W338,AND(C338+D338-E338=U338+V338-W338,0&lt;3))),1,0),IF(AND(I338+J338-K338&gt;0,OR(I338+J338-K338&lt;U338+V338-W338,AND(I338+J338-K338=U338+V338-W338,1&lt;3))),1,0),IF(AND(O338+P338-Q338&gt;0,OR(O338+P338-Q338&lt;U338+V338-W338,AND(O338+P338-Q338=U338+V338-W338,2&lt;3))),1,0),IF(AND(AA338+AB338-AC338&gt;0,OR(AA338+AB338-AC338&lt;U338+V338-W338,AND(AA338+AB338-AC338=U338+V338-W338,4&lt;3))),1,0)))</x:f>
        <x:v>99</x:v>
      </x:c>
      <x:c r="Y338" s="6" t="n">
        <x:f>IF('Debt strategy'!$C$16&gt;0,0,MIN(U338+V338-W338,MAX(0,'Debt strategy'!$C$5-SUM(E338,K338,Q338,W338,AC338)-SUM(IF(F338&lt;X338,C338+D338-E338,0),IF(L338&lt;X338,I338+J338-K338,0),IF(R338&lt;X338,O338+P338-Q338,0),IF(AD338&lt;X338,AA338+AB338-AC338,0)))))</x:f>
        <x:v>0</x:v>
      </x:c>
      <x:c r="Z338" s="6" t="n">
        <x:f>ROUND(MAX(0,U338+V338-W338-Y338),2)</x:f>
        <x:v>0</x:v>
      </x:c>
      <x:c r="AA338" s="6" t="n">
        <x:f>AF337</x:f>
        <x:v>0</x:v>
      </x:c>
      <x:c r="AB338" s="6" t="n">
        <x:f>ROUND(AA338*'Debt strategy'!$D$13/12,2)</x:f>
        <x:v>0</x:v>
      </x:c>
      <x:c r="AC338" s="6" t="n">
        <x:f>MIN(AA338+AB338,'Debt strategy'!$E$13)</x:f>
        <x:v>0</x:v>
      </x:c>
      <x:c r="AD338" s="27" t="n">
        <x:f>IF(AA338+AB338-AC338&lt;=0,99,1+SUM(IF(AND(C338+D338-E338&gt;0,OR(C338+D338-E338&lt;AA338+AB338-AC338,AND(C338+D338-E338=AA338+AB338-AC338,0&lt;4))),1,0),IF(AND(I338+J338-K338&gt;0,OR(I338+J338-K338&lt;AA338+AB338-AC338,AND(I338+J338-K338=AA338+AB338-AC338,1&lt;4))),1,0),IF(AND(O338+P338-Q338&gt;0,OR(O338+P338-Q338&lt;AA338+AB338-AC338,AND(O338+P338-Q338=AA338+AB338-AC338,2&lt;4))),1,0),IF(AND(U338+V338-W338&gt;0,OR(U338+V338-W338&lt;AA338+AB338-AC338,AND(U338+V338-W338=AA338+AB338-AC338,3&lt;4))),1,0)))</x:f>
        <x:v>99</x:v>
      </x:c>
      <x:c r="AE338" s="6" t="n">
        <x:f>IF('Debt strategy'!$C$16&gt;0,0,MIN(AA338+AB338-AC338,MAX(0,'Debt strategy'!$C$5-SUM(E338,K338,Q338,W338,AC338)-SUM(IF(F338&lt;AD338,C338+D338-E338,0),IF(L338&lt;AD338,I338+J338-K338,0),IF(R338&lt;AD338,O338+P338-Q338,0),IF(X338&lt;AD338,U338+V338-W338,0)))))</x:f>
        <x:v>0</x:v>
      </x:c>
      <x:c r="AF338" s="6" t="n">
        <x:f>ROUND(MAX(0,AA338+AB338-AC338-AE338),2)</x:f>
        <x:v>0</x:v>
      </x:c>
      <x:c r="AG338" s="6" t="n">
        <x:f>SUM(H338,N338,T338,Z338,AF338)</x:f>
        <x:v>0</x:v>
      </x:c>
      <x:c r="AH338" s="6" t="n">
        <x:f>SUM(D338,J338,P338,V338,AB338)+AH337</x:f>
        <x:v>1353.9499999999996</x:v>
      </x:c>
      <x:c r="AI338" s="2"/>
    </x:row>
    <x:row r="339" ht="23" customHeight="1">
      <x:c r="B339" s="2" t="n">
        <x:f>331</x:f>
        <x:v>331</x:v>
      </x:c>
      <x:c r="C339" s="6" t="n">
        <x:f>H338</x:f>
        <x:v>0</x:v>
      </x:c>
      <x:c r="D339" s="6" t="n">
        <x:f>ROUND(C339*'Debt strategy'!$D$9/12,2)</x:f>
        <x:v>0</x:v>
      </x:c>
      <x:c r="E339" s="6" t="n">
        <x:f>MIN(C339+D339,'Debt strategy'!$E$9)</x:f>
        <x:v>0</x:v>
      </x:c>
      <x:c r="F339" s="27" t="n">
        <x:f>IF(C339+D339-E339&lt;=0,99,1+SUM(IF(AND(I339+J339-K339&gt;0,OR(I339+J339-K339&lt;C339+D339-E339,AND(I339+J339-K339=C339+D339-E339,1&lt;0))),1,0),IF(AND(O339+P339-Q339&gt;0,OR(O339+P339-Q339&lt;C339+D339-E339,AND(O339+P339-Q339=C339+D339-E339,2&lt;0))),1,0),IF(AND(U339+V339-W339&gt;0,OR(U339+V339-W339&lt;C339+D339-E339,AND(U339+V339-W339=C339+D339-E339,3&lt;0))),1,0),IF(AND(AA339+AB339-AC339&gt;0,OR(AA339+AB339-AC339&lt;C339+D339-E339,AND(AA339+AB339-AC339=C339+D339-E339,4&lt;0))),1,0)))</x:f>
        <x:v>99</x:v>
      </x:c>
      <x:c r="G339" s="6" t="n">
        <x:f>IF('Debt strategy'!$C$16&gt;0,0,MIN(C339+D339-E339,MAX(0,'Debt strategy'!$C$5-SUM(E339,K339,Q339,W339,AC339)-SUM(IF(L339&lt;F339,I339+J339-K339,0),IF(R339&lt;F339,O339+P339-Q339,0),IF(X339&lt;F339,U339+V339-W339,0),IF(AD339&lt;F339,AA339+AB339-AC339,0)))))</x:f>
        <x:v>0</x:v>
      </x:c>
      <x:c r="H339" s="6" t="n">
        <x:f>ROUND(MAX(0,C339+D339-E339-G339),2)</x:f>
        <x:v>0</x:v>
      </x:c>
      <x:c r="I339" s="6" t="n">
        <x:f>N338</x:f>
        <x:v>0</x:v>
      </x:c>
      <x:c r="J339" s="6" t="n">
        <x:f>ROUND(I339*'Debt strategy'!$D$10/12,2)</x:f>
        <x:v>0</x:v>
      </x:c>
      <x:c r="K339" s="6" t="n">
        <x:f>MIN(I339+J339,'Debt strategy'!$E$10)</x:f>
        <x:v>0</x:v>
      </x:c>
      <x:c r="L339" s="27" t="n">
        <x:f>IF(I339+J339-K339&lt;=0,99,1+SUM(IF(AND(C339+D339-E339&gt;0,OR(C339+D339-E339&lt;I339+J339-K339,AND(C339+D339-E339=I339+J339-K339,0&lt;1))),1,0),IF(AND(O339+P339-Q339&gt;0,OR(O339+P339-Q339&lt;I339+J339-K339,AND(O339+P339-Q339=I339+J339-K339,2&lt;1))),1,0),IF(AND(U339+V339-W339&gt;0,OR(U339+V339-W339&lt;I339+J339-K339,AND(U339+V339-W339=I339+J339-K339,3&lt;1))),1,0),IF(AND(AA339+AB339-AC339&gt;0,OR(AA339+AB339-AC339&lt;I339+J339-K339,AND(AA339+AB339-AC339=I339+J339-K339,4&lt;1))),1,0)))</x:f>
        <x:v>99</x:v>
      </x:c>
      <x:c r="M339" s="6" t="n">
        <x:f>IF('Debt strategy'!$C$16&gt;0,0,MIN(I339+J339-K339,MAX(0,'Debt strategy'!$C$5-SUM(E339,K339,Q339,W339,AC339)-SUM(IF(F339&lt;L339,C339+D339-E339,0),IF(R339&lt;L339,O339+P339-Q339,0),IF(X339&lt;L339,U339+V339-W339,0),IF(AD339&lt;L339,AA339+AB339-AC339,0)))))</x:f>
        <x:v>0</x:v>
      </x:c>
      <x:c r="N339" s="6" t="n">
        <x:f>ROUND(MAX(0,I339+J339-K339-M339),2)</x:f>
        <x:v>0</x:v>
      </x:c>
      <x:c r="O339" s="6" t="n">
        <x:f>T338</x:f>
        <x:v>0</x:v>
      </x:c>
      <x:c r="P339" s="6" t="n">
        <x:f>ROUND(O339*'Debt strategy'!$D$11/12,2)</x:f>
        <x:v>0</x:v>
      </x:c>
      <x:c r="Q339" s="6" t="n">
        <x:f>MIN(O339+P339,'Debt strategy'!$E$11)</x:f>
        <x:v>0</x:v>
      </x:c>
      <x:c r="R339" s="27" t="n">
        <x:f>IF(O339+P339-Q339&lt;=0,99,1+SUM(IF(AND(C339+D339-E339&gt;0,OR(C339+D339-E339&lt;O339+P339-Q339,AND(C339+D339-E339=O339+P339-Q339,0&lt;2))),1,0),IF(AND(I339+J339-K339&gt;0,OR(I339+J339-K339&lt;O339+P339-Q339,AND(I339+J339-K339=O339+P339-Q339,1&lt;2))),1,0),IF(AND(U339+V339-W339&gt;0,OR(U339+V339-W339&lt;O339+P339-Q339,AND(U339+V339-W339=O339+P339-Q339,3&lt;2))),1,0),IF(AND(AA339+AB339-AC339&gt;0,OR(AA339+AB339-AC339&lt;O339+P339-Q339,AND(AA339+AB339-AC339=O339+P339-Q339,4&lt;2))),1,0)))</x:f>
        <x:v>99</x:v>
      </x:c>
      <x:c r="S339" s="6" t="n">
        <x:f>IF('Debt strategy'!$C$16&gt;0,0,MIN(O339+P339-Q339,MAX(0,'Debt strategy'!$C$5-SUM(E339,K339,Q339,W339,AC339)-SUM(IF(F339&lt;R339,C339+D339-E339,0),IF(L339&lt;R339,I339+J339-K339,0),IF(X339&lt;R339,U339+V339-W339,0),IF(AD339&lt;R339,AA339+AB339-AC339,0)))))</x:f>
        <x:v>0</x:v>
      </x:c>
      <x:c r="T339" s="6" t="n">
        <x:f>ROUND(MAX(0,O339+P339-Q339-S339),2)</x:f>
        <x:v>0</x:v>
      </x:c>
      <x:c r="U339" s="6" t="n">
        <x:f>Z338</x:f>
        <x:v>0</x:v>
      </x:c>
      <x:c r="V339" s="6" t="n">
        <x:f>ROUND(U339*'Debt strategy'!$D$12/12,2)</x:f>
        <x:v>0</x:v>
      </x:c>
      <x:c r="W339" s="6" t="n">
        <x:f>MIN(U339+V339,'Debt strategy'!$E$12)</x:f>
        <x:v>0</x:v>
      </x:c>
      <x:c r="X339" s="27" t="n">
        <x:f>IF(U339+V339-W339&lt;=0,99,1+SUM(IF(AND(C339+D339-E339&gt;0,OR(C339+D339-E339&lt;U339+V339-W339,AND(C339+D339-E339=U339+V339-W339,0&lt;3))),1,0),IF(AND(I339+J339-K339&gt;0,OR(I339+J339-K339&lt;U339+V339-W339,AND(I339+J339-K339=U339+V339-W339,1&lt;3))),1,0),IF(AND(O339+P339-Q339&gt;0,OR(O339+P339-Q339&lt;U339+V339-W339,AND(O339+P339-Q339=U339+V339-W339,2&lt;3))),1,0),IF(AND(AA339+AB339-AC339&gt;0,OR(AA339+AB339-AC339&lt;U339+V339-W339,AND(AA339+AB339-AC339=U339+V339-W339,4&lt;3))),1,0)))</x:f>
        <x:v>99</x:v>
      </x:c>
      <x:c r="Y339" s="6" t="n">
        <x:f>IF('Debt strategy'!$C$16&gt;0,0,MIN(U339+V339-W339,MAX(0,'Debt strategy'!$C$5-SUM(E339,K339,Q339,W339,AC339)-SUM(IF(F339&lt;X339,C339+D339-E339,0),IF(L339&lt;X339,I339+J339-K339,0),IF(R339&lt;X339,O339+P339-Q339,0),IF(AD339&lt;X339,AA339+AB339-AC339,0)))))</x:f>
        <x:v>0</x:v>
      </x:c>
      <x:c r="Z339" s="6" t="n">
        <x:f>ROUND(MAX(0,U339+V339-W339-Y339),2)</x:f>
        <x:v>0</x:v>
      </x:c>
      <x:c r="AA339" s="6" t="n">
        <x:f>AF338</x:f>
        <x:v>0</x:v>
      </x:c>
      <x:c r="AB339" s="6" t="n">
        <x:f>ROUND(AA339*'Debt strategy'!$D$13/12,2)</x:f>
        <x:v>0</x:v>
      </x:c>
      <x:c r="AC339" s="6" t="n">
        <x:f>MIN(AA339+AB339,'Debt strategy'!$E$13)</x:f>
        <x:v>0</x:v>
      </x:c>
      <x:c r="AD339" s="27" t="n">
        <x:f>IF(AA339+AB339-AC339&lt;=0,99,1+SUM(IF(AND(C339+D339-E339&gt;0,OR(C339+D339-E339&lt;AA339+AB339-AC339,AND(C339+D339-E339=AA339+AB339-AC339,0&lt;4))),1,0),IF(AND(I339+J339-K339&gt;0,OR(I339+J339-K339&lt;AA339+AB339-AC339,AND(I339+J339-K339=AA339+AB339-AC339,1&lt;4))),1,0),IF(AND(O339+P339-Q339&gt;0,OR(O339+P339-Q339&lt;AA339+AB339-AC339,AND(O339+P339-Q339=AA339+AB339-AC339,2&lt;4))),1,0),IF(AND(U339+V339-W339&gt;0,OR(U339+V339-W339&lt;AA339+AB339-AC339,AND(U339+V339-W339=AA339+AB339-AC339,3&lt;4))),1,0)))</x:f>
        <x:v>99</x:v>
      </x:c>
      <x:c r="AE339" s="6" t="n">
        <x:f>IF('Debt strategy'!$C$16&gt;0,0,MIN(AA339+AB339-AC339,MAX(0,'Debt strategy'!$C$5-SUM(E339,K339,Q339,W339,AC339)-SUM(IF(F339&lt;AD339,C339+D339-E339,0),IF(L339&lt;AD339,I339+J339-K339,0),IF(R339&lt;AD339,O339+P339-Q339,0),IF(X339&lt;AD339,U339+V339-W339,0)))))</x:f>
        <x:v>0</x:v>
      </x:c>
      <x:c r="AF339" s="6" t="n">
        <x:f>ROUND(MAX(0,AA339+AB339-AC339-AE339),2)</x:f>
        <x:v>0</x:v>
      </x:c>
      <x:c r="AG339" s="6" t="n">
        <x:f>SUM(H339,N339,T339,Z339,AF339)</x:f>
        <x:v>0</x:v>
      </x:c>
      <x:c r="AH339" s="6" t="n">
        <x:f>SUM(D339,J339,P339,V339,AB339)+AH338</x:f>
        <x:v>1353.9499999999996</x:v>
      </x:c>
      <x:c r="AI339" s="2"/>
    </x:row>
    <x:row r="340" ht="23" customHeight="1">
      <x:c r="B340" s="2" t="n">
        <x:f>332</x:f>
        <x:v>332</x:v>
      </x:c>
      <x:c r="C340" s="6" t="n">
        <x:f>H339</x:f>
        <x:v>0</x:v>
      </x:c>
      <x:c r="D340" s="6" t="n">
        <x:f>ROUND(C340*'Debt strategy'!$D$9/12,2)</x:f>
        <x:v>0</x:v>
      </x:c>
      <x:c r="E340" s="6" t="n">
        <x:f>MIN(C340+D340,'Debt strategy'!$E$9)</x:f>
        <x:v>0</x:v>
      </x:c>
      <x:c r="F340" s="27" t="n">
        <x:f>IF(C340+D340-E340&lt;=0,99,1+SUM(IF(AND(I340+J340-K340&gt;0,OR(I340+J340-K340&lt;C340+D340-E340,AND(I340+J340-K340=C340+D340-E340,1&lt;0))),1,0),IF(AND(O340+P340-Q340&gt;0,OR(O340+P340-Q340&lt;C340+D340-E340,AND(O340+P340-Q340=C340+D340-E340,2&lt;0))),1,0),IF(AND(U340+V340-W340&gt;0,OR(U340+V340-W340&lt;C340+D340-E340,AND(U340+V340-W340=C340+D340-E340,3&lt;0))),1,0),IF(AND(AA340+AB340-AC340&gt;0,OR(AA340+AB340-AC340&lt;C340+D340-E340,AND(AA340+AB340-AC340=C340+D340-E340,4&lt;0))),1,0)))</x:f>
        <x:v>99</x:v>
      </x:c>
      <x:c r="G340" s="6" t="n">
        <x:f>IF('Debt strategy'!$C$16&gt;0,0,MIN(C340+D340-E340,MAX(0,'Debt strategy'!$C$5-SUM(E340,K340,Q340,W340,AC340)-SUM(IF(L340&lt;F340,I340+J340-K340,0),IF(R340&lt;F340,O340+P340-Q340,0),IF(X340&lt;F340,U340+V340-W340,0),IF(AD340&lt;F340,AA340+AB340-AC340,0)))))</x:f>
        <x:v>0</x:v>
      </x:c>
      <x:c r="H340" s="6" t="n">
        <x:f>ROUND(MAX(0,C340+D340-E340-G340),2)</x:f>
        <x:v>0</x:v>
      </x:c>
      <x:c r="I340" s="6" t="n">
        <x:f>N339</x:f>
        <x:v>0</x:v>
      </x:c>
      <x:c r="J340" s="6" t="n">
        <x:f>ROUND(I340*'Debt strategy'!$D$10/12,2)</x:f>
        <x:v>0</x:v>
      </x:c>
      <x:c r="K340" s="6" t="n">
        <x:f>MIN(I340+J340,'Debt strategy'!$E$10)</x:f>
        <x:v>0</x:v>
      </x:c>
      <x:c r="L340" s="27" t="n">
        <x:f>IF(I340+J340-K340&lt;=0,99,1+SUM(IF(AND(C340+D340-E340&gt;0,OR(C340+D340-E340&lt;I340+J340-K340,AND(C340+D340-E340=I340+J340-K340,0&lt;1))),1,0),IF(AND(O340+P340-Q340&gt;0,OR(O340+P340-Q340&lt;I340+J340-K340,AND(O340+P340-Q340=I340+J340-K340,2&lt;1))),1,0),IF(AND(U340+V340-W340&gt;0,OR(U340+V340-W340&lt;I340+J340-K340,AND(U340+V340-W340=I340+J340-K340,3&lt;1))),1,0),IF(AND(AA340+AB340-AC340&gt;0,OR(AA340+AB340-AC340&lt;I340+J340-K340,AND(AA340+AB340-AC340=I340+J340-K340,4&lt;1))),1,0)))</x:f>
        <x:v>99</x:v>
      </x:c>
      <x:c r="M340" s="6" t="n">
        <x:f>IF('Debt strategy'!$C$16&gt;0,0,MIN(I340+J340-K340,MAX(0,'Debt strategy'!$C$5-SUM(E340,K340,Q340,W340,AC340)-SUM(IF(F340&lt;L340,C340+D340-E340,0),IF(R340&lt;L340,O340+P340-Q340,0),IF(X340&lt;L340,U340+V340-W340,0),IF(AD340&lt;L340,AA340+AB340-AC340,0)))))</x:f>
        <x:v>0</x:v>
      </x:c>
      <x:c r="N340" s="6" t="n">
        <x:f>ROUND(MAX(0,I340+J340-K340-M340),2)</x:f>
        <x:v>0</x:v>
      </x:c>
      <x:c r="O340" s="6" t="n">
        <x:f>T339</x:f>
        <x:v>0</x:v>
      </x:c>
      <x:c r="P340" s="6" t="n">
        <x:f>ROUND(O340*'Debt strategy'!$D$11/12,2)</x:f>
        <x:v>0</x:v>
      </x:c>
      <x:c r="Q340" s="6" t="n">
        <x:f>MIN(O340+P340,'Debt strategy'!$E$11)</x:f>
        <x:v>0</x:v>
      </x:c>
      <x:c r="R340" s="27" t="n">
        <x:f>IF(O340+P340-Q340&lt;=0,99,1+SUM(IF(AND(C340+D340-E340&gt;0,OR(C340+D340-E340&lt;O340+P340-Q340,AND(C340+D340-E340=O340+P340-Q340,0&lt;2))),1,0),IF(AND(I340+J340-K340&gt;0,OR(I340+J340-K340&lt;O340+P340-Q340,AND(I340+J340-K340=O340+P340-Q340,1&lt;2))),1,0),IF(AND(U340+V340-W340&gt;0,OR(U340+V340-W340&lt;O340+P340-Q340,AND(U340+V340-W340=O340+P340-Q340,3&lt;2))),1,0),IF(AND(AA340+AB340-AC340&gt;0,OR(AA340+AB340-AC340&lt;O340+P340-Q340,AND(AA340+AB340-AC340=O340+P340-Q340,4&lt;2))),1,0)))</x:f>
        <x:v>99</x:v>
      </x:c>
      <x:c r="S340" s="6" t="n">
        <x:f>IF('Debt strategy'!$C$16&gt;0,0,MIN(O340+P340-Q340,MAX(0,'Debt strategy'!$C$5-SUM(E340,K340,Q340,W340,AC340)-SUM(IF(F340&lt;R340,C340+D340-E340,0),IF(L340&lt;R340,I340+J340-K340,0),IF(X340&lt;R340,U340+V340-W340,0),IF(AD340&lt;R340,AA340+AB340-AC340,0)))))</x:f>
        <x:v>0</x:v>
      </x:c>
      <x:c r="T340" s="6" t="n">
        <x:f>ROUND(MAX(0,O340+P340-Q340-S340),2)</x:f>
        <x:v>0</x:v>
      </x:c>
      <x:c r="U340" s="6" t="n">
        <x:f>Z339</x:f>
        <x:v>0</x:v>
      </x:c>
      <x:c r="V340" s="6" t="n">
        <x:f>ROUND(U340*'Debt strategy'!$D$12/12,2)</x:f>
        <x:v>0</x:v>
      </x:c>
      <x:c r="W340" s="6" t="n">
        <x:f>MIN(U340+V340,'Debt strategy'!$E$12)</x:f>
        <x:v>0</x:v>
      </x:c>
      <x:c r="X340" s="27" t="n">
        <x:f>IF(U340+V340-W340&lt;=0,99,1+SUM(IF(AND(C340+D340-E340&gt;0,OR(C340+D340-E340&lt;U340+V340-W340,AND(C340+D340-E340=U340+V340-W340,0&lt;3))),1,0),IF(AND(I340+J340-K340&gt;0,OR(I340+J340-K340&lt;U340+V340-W340,AND(I340+J340-K340=U340+V340-W340,1&lt;3))),1,0),IF(AND(O340+P340-Q340&gt;0,OR(O340+P340-Q340&lt;U340+V340-W340,AND(O340+P340-Q340=U340+V340-W340,2&lt;3))),1,0),IF(AND(AA340+AB340-AC340&gt;0,OR(AA340+AB340-AC340&lt;U340+V340-W340,AND(AA340+AB340-AC340=U340+V340-W340,4&lt;3))),1,0)))</x:f>
        <x:v>99</x:v>
      </x:c>
      <x:c r="Y340" s="6" t="n">
        <x:f>IF('Debt strategy'!$C$16&gt;0,0,MIN(U340+V340-W340,MAX(0,'Debt strategy'!$C$5-SUM(E340,K340,Q340,W340,AC340)-SUM(IF(F340&lt;X340,C340+D340-E340,0),IF(L340&lt;X340,I340+J340-K340,0),IF(R340&lt;X340,O340+P340-Q340,0),IF(AD340&lt;X340,AA340+AB340-AC340,0)))))</x:f>
        <x:v>0</x:v>
      </x:c>
      <x:c r="Z340" s="6" t="n">
        <x:f>ROUND(MAX(0,U340+V340-W340-Y340),2)</x:f>
        <x:v>0</x:v>
      </x:c>
      <x:c r="AA340" s="6" t="n">
        <x:f>AF339</x:f>
        <x:v>0</x:v>
      </x:c>
      <x:c r="AB340" s="6" t="n">
        <x:f>ROUND(AA340*'Debt strategy'!$D$13/12,2)</x:f>
        <x:v>0</x:v>
      </x:c>
      <x:c r="AC340" s="6" t="n">
        <x:f>MIN(AA340+AB340,'Debt strategy'!$E$13)</x:f>
        <x:v>0</x:v>
      </x:c>
      <x:c r="AD340" s="27" t="n">
        <x:f>IF(AA340+AB340-AC340&lt;=0,99,1+SUM(IF(AND(C340+D340-E340&gt;0,OR(C340+D340-E340&lt;AA340+AB340-AC340,AND(C340+D340-E340=AA340+AB340-AC340,0&lt;4))),1,0),IF(AND(I340+J340-K340&gt;0,OR(I340+J340-K340&lt;AA340+AB340-AC340,AND(I340+J340-K340=AA340+AB340-AC340,1&lt;4))),1,0),IF(AND(O340+P340-Q340&gt;0,OR(O340+P340-Q340&lt;AA340+AB340-AC340,AND(O340+P340-Q340=AA340+AB340-AC340,2&lt;4))),1,0),IF(AND(U340+V340-W340&gt;0,OR(U340+V340-W340&lt;AA340+AB340-AC340,AND(U340+V340-W340=AA340+AB340-AC340,3&lt;4))),1,0)))</x:f>
        <x:v>99</x:v>
      </x:c>
      <x:c r="AE340" s="6" t="n">
        <x:f>IF('Debt strategy'!$C$16&gt;0,0,MIN(AA340+AB340-AC340,MAX(0,'Debt strategy'!$C$5-SUM(E340,K340,Q340,W340,AC340)-SUM(IF(F340&lt;AD340,C340+D340-E340,0),IF(L340&lt;AD340,I340+J340-K340,0),IF(R340&lt;AD340,O340+P340-Q340,0),IF(X340&lt;AD340,U340+V340-W340,0)))))</x:f>
        <x:v>0</x:v>
      </x:c>
      <x:c r="AF340" s="6" t="n">
        <x:f>ROUND(MAX(0,AA340+AB340-AC340-AE340),2)</x:f>
        <x:v>0</x:v>
      </x:c>
      <x:c r="AG340" s="6" t="n">
        <x:f>SUM(H340,N340,T340,Z340,AF340)</x:f>
        <x:v>0</x:v>
      </x:c>
      <x:c r="AH340" s="6" t="n">
        <x:f>SUM(D340,J340,P340,V340,AB340)+AH339</x:f>
        <x:v>1353.9499999999996</x:v>
      </x:c>
      <x:c r="AI340" s="2"/>
    </x:row>
    <x:row r="341" ht="23" customHeight="1">
      <x:c r="B341" s="2" t="n">
        <x:f>333</x:f>
        <x:v>333</x:v>
      </x:c>
      <x:c r="C341" s="6" t="n">
        <x:f>H340</x:f>
        <x:v>0</x:v>
      </x:c>
      <x:c r="D341" s="6" t="n">
        <x:f>ROUND(C341*'Debt strategy'!$D$9/12,2)</x:f>
        <x:v>0</x:v>
      </x:c>
      <x:c r="E341" s="6" t="n">
        <x:f>MIN(C341+D341,'Debt strategy'!$E$9)</x:f>
        <x:v>0</x:v>
      </x:c>
      <x:c r="F341" s="27" t="n">
        <x:f>IF(C341+D341-E341&lt;=0,99,1+SUM(IF(AND(I341+J341-K341&gt;0,OR(I341+J341-K341&lt;C341+D341-E341,AND(I341+J341-K341=C341+D341-E341,1&lt;0))),1,0),IF(AND(O341+P341-Q341&gt;0,OR(O341+P341-Q341&lt;C341+D341-E341,AND(O341+P341-Q341=C341+D341-E341,2&lt;0))),1,0),IF(AND(U341+V341-W341&gt;0,OR(U341+V341-W341&lt;C341+D341-E341,AND(U341+V341-W341=C341+D341-E341,3&lt;0))),1,0),IF(AND(AA341+AB341-AC341&gt;0,OR(AA341+AB341-AC341&lt;C341+D341-E341,AND(AA341+AB341-AC341=C341+D341-E341,4&lt;0))),1,0)))</x:f>
        <x:v>99</x:v>
      </x:c>
      <x:c r="G341" s="6" t="n">
        <x:f>IF('Debt strategy'!$C$16&gt;0,0,MIN(C341+D341-E341,MAX(0,'Debt strategy'!$C$5-SUM(E341,K341,Q341,W341,AC341)-SUM(IF(L341&lt;F341,I341+J341-K341,0),IF(R341&lt;F341,O341+P341-Q341,0),IF(X341&lt;F341,U341+V341-W341,0),IF(AD341&lt;F341,AA341+AB341-AC341,0)))))</x:f>
        <x:v>0</x:v>
      </x:c>
      <x:c r="H341" s="6" t="n">
        <x:f>ROUND(MAX(0,C341+D341-E341-G341),2)</x:f>
        <x:v>0</x:v>
      </x:c>
      <x:c r="I341" s="6" t="n">
        <x:f>N340</x:f>
        <x:v>0</x:v>
      </x:c>
      <x:c r="J341" s="6" t="n">
        <x:f>ROUND(I341*'Debt strategy'!$D$10/12,2)</x:f>
        <x:v>0</x:v>
      </x:c>
      <x:c r="K341" s="6" t="n">
        <x:f>MIN(I341+J341,'Debt strategy'!$E$10)</x:f>
        <x:v>0</x:v>
      </x:c>
      <x:c r="L341" s="27" t="n">
        <x:f>IF(I341+J341-K341&lt;=0,99,1+SUM(IF(AND(C341+D341-E341&gt;0,OR(C341+D341-E341&lt;I341+J341-K341,AND(C341+D341-E341=I341+J341-K341,0&lt;1))),1,0),IF(AND(O341+P341-Q341&gt;0,OR(O341+P341-Q341&lt;I341+J341-K341,AND(O341+P341-Q341=I341+J341-K341,2&lt;1))),1,0),IF(AND(U341+V341-W341&gt;0,OR(U341+V341-W341&lt;I341+J341-K341,AND(U341+V341-W341=I341+J341-K341,3&lt;1))),1,0),IF(AND(AA341+AB341-AC341&gt;0,OR(AA341+AB341-AC341&lt;I341+J341-K341,AND(AA341+AB341-AC341=I341+J341-K341,4&lt;1))),1,0)))</x:f>
        <x:v>99</x:v>
      </x:c>
      <x:c r="M341" s="6" t="n">
        <x:f>IF('Debt strategy'!$C$16&gt;0,0,MIN(I341+J341-K341,MAX(0,'Debt strategy'!$C$5-SUM(E341,K341,Q341,W341,AC341)-SUM(IF(F341&lt;L341,C341+D341-E341,0),IF(R341&lt;L341,O341+P341-Q341,0),IF(X341&lt;L341,U341+V341-W341,0),IF(AD341&lt;L341,AA341+AB341-AC341,0)))))</x:f>
        <x:v>0</x:v>
      </x:c>
      <x:c r="N341" s="6" t="n">
        <x:f>ROUND(MAX(0,I341+J341-K341-M341),2)</x:f>
        <x:v>0</x:v>
      </x:c>
      <x:c r="O341" s="6" t="n">
        <x:f>T340</x:f>
        <x:v>0</x:v>
      </x:c>
      <x:c r="P341" s="6" t="n">
        <x:f>ROUND(O341*'Debt strategy'!$D$11/12,2)</x:f>
        <x:v>0</x:v>
      </x:c>
      <x:c r="Q341" s="6" t="n">
        <x:f>MIN(O341+P341,'Debt strategy'!$E$11)</x:f>
        <x:v>0</x:v>
      </x:c>
      <x:c r="R341" s="27" t="n">
        <x:f>IF(O341+P341-Q341&lt;=0,99,1+SUM(IF(AND(C341+D341-E341&gt;0,OR(C341+D341-E341&lt;O341+P341-Q341,AND(C341+D341-E341=O341+P341-Q341,0&lt;2))),1,0),IF(AND(I341+J341-K341&gt;0,OR(I341+J341-K341&lt;O341+P341-Q341,AND(I341+J341-K341=O341+P341-Q341,1&lt;2))),1,0),IF(AND(U341+V341-W341&gt;0,OR(U341+V341-W341&lt;O341+P341-Q341,AND(U341+V341-W341=O341+P341-Q341,3&lt;2))),1,0),IF(AND(AA341+AB341-AC341&gt;0,OR(AA341+AB341-AC341&lt;O341+P341-Q341,AND(AA341+AB341-AC341=O341+P341-Q341,4&lt;2))),1,0)))</x:f>
        <x:v>99</x:v>
      </x:c>
      <x:c r="S341" s="6" t="n">
        <x:f>IF('Debt strategy'!$C$16&gt;0,0,MIN(O341+P341-Q341,MAX(0,'Debt strategy'!$C$5-SUM(E341,K341,Q341,W341,AC341)-SUM(IF(F341&lt;R341,C341+D341-E341,0),IF(L341&lt;R341,I341+J341-K341,0),IF(X341&lt;R341,U341+V341-W341,0),IF(AD341&lt;R341,AA341+AB341-AC341,0)))))</x:f>
        <x:v>0</x:v>
      </x:c>
      <x:c r="T341" s="6" t="n">
        <x:f>ROUND(MAX(0,O341+P341-Q341-S341),2)</x:f>
        <x:v>0</x:v>
      </x:c>
      <x:c r="U341" s="6" t="n">
        <x:f>Z340</x:f>
        <x:v>0</x:v>
      </x:c>
      <x:c r="V341" s="6" t="n">
        <x:f>ROUND(U341*'Debt strategy'!$D$12/12,2)</x:f>
        <x:v>0</x:v>
      </x:c>
      <x:c r="W341" s="6" t="n">
        <x:f>MIN(U341+V341,'Debt strategy'!$E$12)</x:f>
        <x:v>0</x:v>
      </x:c>
      <x:c r="X341" s="27" t="n">
        <x:f>IF(U341+V341-W341&lt;=0,99,1+SUM(IF(AND(C341+D341-E341&gt;0,OR(C341+D341-E341&lt;U341+V341-W341,AND(C341+D341-E341=U341+V341-W341,0&lt;3))),1,0),IF(AND(I341+J341-K341&gt;0,OR(I341+J341-K341&lt;U341+V341-W341,AND(I341+J341-K341=U341+V341-W341,1&lt;3))),1,0),IF(AND(O341+P341-Q341&gt;0,OR(O341+P341-Q341&lt;U341+V341-W341,AND(O341+P341-Q341=U341+V341-W341,2&lt;3))),1,0),IF(AND(AA341+AB341-AC341&gt;0,OR(AA341+AB341-AC341&lt;U341+V341-W341,AND(AA341+AB341-AC341=U341+V341-W341,4&lt;3))),1,0)))</x:f>
        <x:v>99</x:v>
      </x:c>
      <x:c r="Y341" s="6" t="n">
        <x:f>IF('Debt strategy'!$C$16&gt;0,0,MIN(U341+V341-W341,MAX(0,'Debt strategy'!$C$5-SUM(E341,K341,Q341,W341,AC341)-SUM(IF(F341&lt;X341,C341+D341-E341,0),IF(L341&lt;X341,I341+J341-K341,0),IF(R341&lt;X341,O341+P341-Q341,0),IF(AD341&lt;X341,AA341+AB341-AC341,0)))))</x:f>
        <x:v>0</x:v>
      </x:c>
      <x:c r="Z341" s="6" t="n">
        <x:f>ROUND(MAX(0,U341+V341-W341-Y341),2)</x:f>
        <x:v>0</x:v>
      </x:c>
      <x:c r="AA341" s="6" t="n">
        <x:f>AF340</x:f>
        <x:v>0</x:v>
      </x:c>
      <x:c r="AB341" s="6" t="n">
        <x:f>ROUND(AA341*'Debt strategy'!$D$13/12,2)</x:f>
        <x:v>0</x:v>
      </x:c>
      <x:c r="AC341" s="6" t="n">
        <x:f>MIN(AA341+AB341,'Debt strategy'!$E$13)</x:f>
        <x:v>0</x:v>
      </x:c>
      <x:c r="AD341" s="27" t="n">
        <x:f>IF(AA341+AB341-AC341&lt;=0,99,1+SUM(IF(AND(C341+D341-E341&gt;0,OR(C341+D341-E341&lt;AA341+AB341-AC341,AND(C341+D341-E341=AA341+AB341-AC341,0&lt;4))),1,0),IF(AND(I341+J341-K341&gt;0,OR(I341+J341-K341&lt;AA341+AB341-AC341,AND(I341+J341-K341=AA341+AB341-AC341,1&lt;4))),1,0),IF(AND(O341+P341-Q341&gt;0,OR(O341+P341-Q341&lt;AA341+AB341-AC341,AND(O341+P341-Q341=AA341+AB341-AC341,2&lt;4))),1,0),IF(AND(U341+V341-W341&gt;0,OR(U341+V341-W341&lt;AA341+AB341-AC341,AND(U341+V341-W341=AA341+AB341-AC341,3&lt;4))),1,0)))</x:f>
        <x:v>99</x:v>
      </x:c>
      <x:c r="AE341" s="6" t="n">
        <x:f>IF('Debt strategy'!$C$16&gt;0,0,MIN(AA341+AB341-AC341,MAX(0,'Debt strategy'!$C$5-SUM(E341,K341,Q341,W341,AC341)-SUM(IF(F341&lt;AD341,C341+D341-E341,0),IF(L341&lt;AD341,I341+J341-K341,0),IF(R341&lt;AD341,O341+P341-Q341,0),IF(X341&lt;AD341,U341+V341-W341,0)))))</x:f>
        <x:v>0</x:v>
      </x:c>
      <x:c r="AF341" s="6" t="n">
        <x:f>ROUND(MAX(0,AA341+AB341-AC341-AE341),2)</x:f>
        <x:v>0</x:v>
      </x:c>
      <x:c r="AG341" s="6" t="n">
        <x:f>SUM(H341,N341,T341,Z341,AF341)</x:f>
        <x:v>0</x:v>
      </x:c>
      <x:c r="AH341" s="6" t="n">
        <x:f>SUM(D341,J341,P341,V341,AB341)+AH340</x:f>
        <x:v>1353.9499999999996</x:v>
      </x:c>
      <x:c r="AI341" s="2"/>
    </x:row>
    <x:row r="342" ht="23" customHeight="1">
      <x:c r="B342" s="2" t="n">
        <x:f>334</x:f>
        <x:v>334</x:v>
      </x:c>
      <x:c r="C342" s="6" t="n">
        <x:f>H341</x:f>
        <x:v>0</x:v>
      </x:c>
      <x:c r="D342" s="6" t="n">
        <x:f>ROUND(C342*'Debt strategy'!$D$9/12,2)</x:f>
        <x:v>0</x:v>
      </x:c>
      <x:c r="E342" s="6" t="n">
        <x:f>MIN(C342+D342,'Debt strategy'!$E$9)</x:f>
        <x:v>0</x:v>
      </x:c>
      <x:c r="F342" s="27" t="n">
        <x:f>IF(C342+D342-E342&lt;=0,99,1+SUM(IF(AND(I342+J342-K342&gt;0,OR(I342+J342-K342&lt;C342+D342-E342,AND(I342+J342-K342=C342+D342-E342,1&lt;0))),1,0),IF(AND(O342+P342-Q342&gt;0,OR(O342+P342-Q342&lt;C342+D342-E342,AND(O342+P342-Q342=C342+D342-E342,2&lt;0))),1,0),IF(AND(U342+V342-W342&gt;0,OR(U342+V342-W342&lt;C342+D342-E342,AND(U342+V342-W342=C342+D342-E342,3&lt;0))),1,0),IF(AND(AA342+AB342-AC342&gt;0,OR(AA342+AB342-AC342&lt;C342+D342-E342,AND(AA342+AB342-AC342=C342+D342-E342,4&lt;0))),1,0)))</x:f>
        <x:v>99</x:v>
      </x:c>
      <x:c r="G342" s="6" t="n">
        <x:f>IF('Debt strategy'!$C$16&gt;0,0,MIN(C342+D342-E342,MAX(0,'Debt strategy'!$C$5-SUM(E342,K342,Q342,W342,AC342)-SUM(IF(L342&lt;F342,I342+J342-K342,0),IF(R342&lt;F342,O342+P342-Q342,0),IF(X342&lt;F342,U342+V342-W342,0),IF(AD342&lt;F342,AA342+AB342-AC342,0)))))</x:f>
        <x:v>0</x:v>
      </x:c>
      <x:c r="H342" s="6" t="n">
        <x:f>ROUND(MAX(0,C342+D342-E342-G342),2)</x:f>
        <x:v>0</x:v>
      </x:c>
      <x:c r="I342" s="6" t="n">
        <x:f>N341</x:f>
        <x:v>0</x:v>
      </x:c>
      <x:c r="J342" s="6" t="n">
        <x:f>ROUND(I342*'Debt strategy'!$D$10/12,2)</x:f>
        <x:v>0</x:v>
      </x:c>
      <x:c r="K342" s="6" t="n">
        <x:f>MIN(I342+J342,'Debt strategy'!$E$10)</x:f>
        <x:v>0</x:v>
      </x:c>
      <x:c r="L342" s="27" t="n">
        <x:f>IF(I342+J342-K342&lt;=0,99,1+SUM(IF(AND(C342+D342-E342&gt;0,OR(C342+D342-E342&lt;I342+J342-K342,AND(C342+D342-E342=I342+J342-K342,0&lt;1))),1,0),IF(AND(O342+P342-Q342&gt;0,OR(O342+P342-Q342&lt;I342+J342-K342,AND(O342+P342-Q342=I342+J342-K342,2&lt;1))),1,0),IF(AND(U342+V342-W342&gt;0,OR(U342+V342-W342&lt;I342+J342-K342,AND(U342+V342-W342=I342+J342-K342,3&lt;1))),1,0),IF(AND(AA342+AB342-AC342&gt;0,OR(AA342+AB342-AC342&lt;I342+J342-K342,AND(AA342+AB342-AC342=I342+J342-K342,4&lt;1))),1,0)))</x:f>
        <x:v>99</x:v>
      </x:c>
      <x:c r="M342" s="6" t="n">
        <x:f>IF('Debt strategy'!$C$16&gt;0,0,MIN(I342+J342-K342,MAX(0,'Debt strategy'!$C$5-SUM(E342,K342,Q342,W342,AC342)-SUM(IF(F342&lt;L342,C342+D342-E342,0),IF(R342&lt;L342,O342+P342-Q342,0),IF(X342&lt;L342,U342+V342-W342,0),IF(AD342&lt;L342,AA342+AB342-AC342,0)))))</x:f>
        <x:v>0</x:v>
      </x:c>
      <x:c r="N342" s="6" t="n">
        <x:f>ROUND(MAX(0,I342+J342-K342-M342),2)</x:f>
        <x:v>0</x:v>
      </x:c>
      <x:c r="O342" s="6" t="n">
        <x:f>T341</x:f>
        <x:v>0</x:v>
      </x:c>
      <x:c r="P342" s="6" t="n">
        <x:f>ROUND(O342*'Debt strategy'!$D$11/12,2)</x:f>
        <x:v>0</x:v>
      </x:c>
      <x:c r="Q342" s="6" t="n">
        <x:f>MIN(O342+P342,'Debt strategy'!$E$11)</x:f>
        <x:v>0</x:v>
      </x:c>
      <x:c r="R342" s="27" t="n">
        <x:f>IF(O342+P342-Q342&lt;=0,99,1+SUM(IF(AND(C342+D342-E342&gt;0,OR(C342+D342-E342&lt;O342+P342-Q342,AND(C342+D342-E342=O342+P342-Q342,0&lt;2))),1,0),IF(AND(I342+J342-K342&gt;0,OR(I342+J342-K342&lt;O342+P342-Q342,AND(I342+J342-K342=O342+P342-Q342,1&lt;2))),1,0),IF(AND(U342+V342-W342&gt;0,OR(U342+V342-W342&lt;O342+P342-Q342,AND(U342+V342-W342=O342+P342-Q342,3&lt;2))),1,0),IF(AND(AA342+AB342-AC342&gt;0,OR(AA342+AB342-AC342&lt;O342+P342-Q342,AND(AA342+AB342-AC342=O342+P342-Q342,4&lt;2))),1,0)))</x:f>
        <x:v>99</x:v>
      </x:c>
      <x:c r="S342" s="6" t="n">
        <x:f>IF('Debt strategy'!$C$16&gt;0,0,MIN(O342+P342-Q342,MAX(0,'Debt strategy'!$C$5-SUM(E342,K342,Q342,W342,AC342)-SUM(IF(F342&lt;R342,C342+D342-E342,0),IF(L342&lt;R342,I342+J342-K342,0),IF(X342&lt;R342,U342+V342-W342,0),IF(AD342&lt;R342,AA342+AB342-AC342,0)))))</x:f>
        <x:v>0</x:v>
      </x:c>
      <x:c r="T342" s="6" t="n">
        <x:f>ROUND(MAX(0,O342+P342-Q342-S342),2)</x:f>
        <x:v>0</x:v>
      </x:c>
      <x:c r="U342" s="6" t="n">
        <x:f>Z341</x:f>
        <x:v>0</x:v>
      </x:c>
      <x:c r="V342" s="6" t="n">
        <x:f>ROUND(U342*'Debt strategy'!$D$12/12,2)</x:f>
        <x:v>0</x:v>
      </x:c>
      <x:c r="W342" s="6" t="n">
        <x:f>MIN(U342+V342,'Debt strategy'!$E$12)</x:f>
        <x:v>0</x:v>
      </x:c>
      <x:c r="X342" s="27" t="n">
        <x:f>IF(U342+V342-W342&lt;=0,99,1+SUM(IF(AND(C342+D342-E342&gt;0,OR(C342+D342-E342&lt;U342+V342-W342,AND(C342+D342-E342=U342+V342-W342,0&lt;3))),1,0),IF(AND(I342+J342-K342&gt;0,OR(I342+J342-K342&lt;U342+V342-W342,AND(I342+J342-K342=U342+V342-W342,1&lt;3))),1,0),IF(AND(O342+P342-Q342&gt;0,OR(O342+P342-Q342&lt;U342+V342-W342,AND(O342+P342-Q342=U342+V342-W342,2&lt;3))),1,0),IF(AND(AA342+AB342-AC342&gt;0,OR(AA342+AB342-AC342&lt;U342+V342-W342,AND(AA342+AB342-AC342=U342+V342-W342,4&lt;3))),1,0)))</x:f>
        <x:v>99</x:v>
      </x:c>
      <x:c r="Y342" s="6" t="n">
        <x:f>IF('Debt strategy'!$C$16&gt;0,0,MIN(U342+V342-W342,MAX(0,'Debt strategy'!$C$5-SUM(E342,K342,Q342,W342,AC342)-SUM(IF(F342&lt;X342,C342+D342-E342,0),IF(L342&lt;X342,I342+J342-K342,0),IF(R342&lt;X342,O342+P342-Q342,0),IF(AD342&lt;X342,AA342+AB342-AC342,0)))))</x:f>
        <x:v>0</x:v>
      </x:c>
      <x:c r="Z342" s="6" t="n">
        <x:f>ROUND(MAX(0,U342+V342-W342-Y342),2)</x:f>
        <x:v>0</x:v>
      </x:c>
      <x:c r="AA342" s="6" t="n">
        <x:f>AF341</x:f>
        <x:v>0</x:v>
      </x:c>
      <x:c r="AB342" s="6" t="n">
        <x:f>ROUND(AA342*'Debt strategy'!$D$13/12,2)</x:f>
        <x:v>0</x:v>
      </x:c>
      <x:c r="AC342" s="6" t="n">
        <x:f>MIN(AA342+AB342,'Debt strategy'!$E$13)</x:f>
        <x:v>0</x:v>
      </x:c>
      <x:c r="AD342" s="27" t="n">
        <x:f>IF(AA342+AB342-AC342&lt;=0,99,1+SUM(IF(AND(C342+D342-E342&gt;0,OR(C342+D342-E342&lt;AA342+AB342-AC342,AND(C342+D342-E342=AA342+AB342-AC342,0&lt;4))),1,0),IF(AND(I342+J342-K342&gt;0,OR(I342+J342-K342&lt;AA342+AB342-AC342,AND(I342+J342-K342=AA342+AB342-AC342,1&lt;4))),1,0),IF(AND(O342+P342-Q342&gt;0,OR(O342+P342-Q342&lt;AA342+AB342-AC342,AND(O342+P342-Q342=AA342+AB342-AC342,2&lt;4))),1,0),IF(AND(U342+V342-W342&gt;0,OR(U342+V342-W342&lt;AA342+AB342-AC342,AND(U342+V342-W342=AA342+AB342-AC342,3&lt;4))),1,0)))</x:f>
        <x:v>99</x:v>
      </x:c>
      <x:c r="AE342" s="6" t="n">
        <x:f>IF('Debt strategy'!$C$16&gt;0,0,MIN(AA342+AB342-AC342,MAX(0,'Debt strategy'!$C$5-SUM(E342,K342,Q342,W342,AC342)-SUM(IF(F342&lt;AD342,C342+D342-E342,0),IF(L342&lt;AD342,I342+J342-K342,0),IF(R342&lt;AD342,O342+P342-Q342,0),IF(X342&lt;AD342,U342+V342-W342,0)))))</x:f>
        <x:v>0</x:v>
      </x:c>
      <x:c r="AF342" s="6" t="n">
        <x:f>ROUND(MAX(0,AA342+AB342-AC342-AE342),2)</x:f>
        <x:v>0</x:v>
      </x:c>
      <x:c r="AG342" s="6" t="n">
        <x:f>SUM(H342,N342,T342,Z342,AF342)</x:f>
        <x:v>0</x:v>
      </x:c>
      <x:c r="AH342" s="6" t="n">
        <x:f>SUM(D342,J342,P342,V342,AB342)+AH341</x:f>
        <x:v>1353.9499999999996</x:v>
      </x:c>
      <x:c r="AI342" s="2"/>
    </x:row>
    <x:row r="343" ht="23" customHeight="1">
      <x:c r="B343" s="2" t="n">
        <x:f>335</x:f>
        <x:v>335</x:v>
      </x:c>
      <x:c r="C343" s="6" t="n">
        <x:f>H342</x:f>
        <x:v>0</x:v>
      </x:c>
      <x:c r="D343" s="6" t="n">
        <x:f>ROUND(C343*'Debt strategy'!$D$9/12,2)</x:f>
        <x:v>0</x:v>
      </x:c>
      <x:c r="E343" s="6" t="n">
        <x:f>MIN(C343+D343,'Debt strategy'!$E$9)</x:f>
        <x:v>0</x:v>
      </x:c>
      <x:c r="F343" s="27" t="n">
        <x:f>IF(C343+D343-E343&lt;=0,99,1+SUM(IF(AND(I343+J343-K343&gt;0,OR(I343+J343-K343&lt;C343+D343-E343,AND(I343+J343-K343=C343+D343-E343,1&lt;0))),1,0),IF(AND(O343+P343-Q343&gt;0,OR(O343+P343-Q343&lt;C343+D343-E343,AND(O343+P343-Q343=C343+D343-E343,2&lt;0))),1,0),IF(AND(U343+V343-W343&gt;0,OR(U343+V343-W343&lt;C343+D343-E343,AND(U343+V343-W343=C343+D343-E343,3&lt;0))),1,0),IF(AND(AA343+AB343-AC343&gt;0,OR(AA343+AB343-AC343&lt;C343+D343-E343,AND(AA343+AB343-AC343=C343+D343-E343,4&lt;0))),1,0)))</x:f>
        <x:v>99</x:v>
      </x:c>
      <x:c r="G343" s="6" t="n">
        <x:f>IF('Debt strategy'!$C$16&gt;0,0,MIN(C343+D343-E343,MAX(0,'Debt strategy'!$C$5-SUM(E343,K343,Q343,W343,AC343)-SUM(IF(L343&lt;F343,I343+J343-K343,0),IF(R343&lt;F343,O343+P343-Q343,0),IF(X343&lt;F343,U343+V343-W343,0),IF(AD343&lt;F343,AA343+AB343-AC343,0)))))</x:f>
        <x:v>0</x:v>
      </x:c>
      <x:c r="H343" s="6" t="n">
        <x:f>ROUND(MAX(0,C343+D343-E343-G343),2)</x:f>
        <x:v>0</x:v>
      </x:c>
      <x:c r="I343" s="6" t="n">
        <x:f>N342</x:f>
        <x:v>0</x:v>
      </x:c>
      <x:c r="J343" s="6" t="n">
        <x:f>ROUND(I343*'Debt strategy'!$D$10/12,2)</x:f>
        <x:v>0</x:v>
      </x:c>
      <x:c r="K343" s="6" t="n">
        <x:f>MIN(I343+J343,'Debt strategy'!$E$10)</x:f>
        <x:v>0</x:v>
      </x:c>
      <x:c r="L343" s="27" t="n">
        <x:f>IF(I343+J343-K343&lt;=0,99,1+SUM(IF(AND(C343+D343-E343&gt;0,OR(C343+D343-E343&lt;I343+J343-K343,AND(C343+D343-E343=I343+J343-K343,0&lt;1))),1,0),IF(AND(O343+P343-Q343&gt;0,OR(O343+P343-Q343&lt;I343+J343-K343,AND(O343+P343-Q343=I343+J343-K343,2&lt;1))),1,0),IF(AND(U343+V343-W343&gt;0,OR(U343+V343-W343&lt;I343+J343-K343,AND(U343+V343-W343=I343+J343-K343,3&lt;1))),1,0),IF(AND(AA343+AB343-AC343&gt;0,OR(AA343+AB343-AC343&lt;I343+J343-K343,AND(AA343+AB343-AC343=I343+J343-K343,4&lt;1))),1,0)))</x:f>
        <x:v>99</x:v>
      </x:c>
      <x:c r="M343" s="6" t="n">
        <x:f>IF('Debt strategy'!$C$16&gt;0,0,MIN(I343+J343-K343,MAX(0,'Debt strategy'!$C$5-SUM(E343,K343,Q343,W343,AC343)-SUM(IF(F343&lt;L343,C343+D343-E343,0),IF(R343&lt;L343,O343+P343-Q343,0),IF(X343&lt;L343,U343+V343-W343,0),IF(AD343&lt;L343,AA343+AB343-AC343,0)))))</x:f>
        <x:v>0</x:v>
      </x:c>
      <x:c r="N343" s="6" t="n">
        <x:f>ROUND(MAX(0,I343+J343-K343-M343),2)</x:f>
        <x:v>0</x:v>
      </x:c>
      <x:c r="O343" s="6" t="n">
        <x:f>T342</x:f>
        <x:v>0</x:v>
      </x:c>
      <x:c r="P343" s="6" t="n">
        <x:f>ROUND(O343*'Debt strategy'!$D$11/12,2)</x:f>
        <x:v>0</x:v>
      </x:c>
      <x:c r="Q343" s="6" t="n">
        <x:f>MIN(O343+P343,'Debt strategy'!$E$11)</x:f>
        <x:v>0</x:v>
      </x:c>
      <x:c r="R343" s="27" t="n">
        <x:f>IF(O343+P343-Q343&lt;=0,99,1+SUM(IF(AND(C343+D343-E343&gt;0,OR(C343+D343-E343&lt;O343+P343-Q343,AND(C343+D343-E343=O343+P343-Q343,0&lt;2))),1,0),IF(AND(I343+J343-K343&gt;0,OR(I343+J343-K343&lt;O343+P343-Q343,AND(I343+J343-K343=O343+P343-Q343,1&lt;2))),1,0),IF(AND(U343+V343-W343&gt;0,OR(U343+V343-W343&lt;O343+P343-Q343,AND(U343+V343-W343=O343+P343-Q343,3&lt;2))),1,0),IF(AND(AA343+AB343-AC343&gt;0,OR(AA343+AB343-AC343&lt;O343+P343-Q343,AND(AA343+AB343-AC343=O343+P343-Q343,4&lt;2))),1,0)))</x:f>
        <x:v>99</x:v>
      </x:c>
      <x:c r="S343" s="6" t="n">
        <x:f>IF('Debt strategy'!$C$16&gt;0,0,MIN(O343+P343-Q343,MAX(0,'Debt strategy'!$C$5-SUM(E343,K343,Q343,W343,AC343)-SUM(IF(F343&lt;R343,C343+D343-E343,0),IF(L343&lt;R343,I343+J343-K343,0),IF(X343&lt;R343,U343+V343-W343,0),IF(AD343&lt;R343,AA343+AB343-AC343,0)))))</x:f>
        <x:v>0</x:v>
      </x:c>
      <x:c r="T343" s="6" t="n">
        <x:f>ROUND(MAX(0,O343+P343-Q343-S343),2)</x:f>
        <x:v>0</x:v>
      </x:c>
      <x:c r="U343" s="6" t="n">
        <x:f>Z342</x:f>
        <x:v>0</x:v>
      </x:c>
      <x:c r="V343" s="6" t="n">
        <x:f>ROUND(U343*'Debt strategy'!$D$12/12,2)</x:f>
        <x:v>0</x:v>
      </x:c>
      <x:c r="W343" s="6" t="n">
        <x:f>MIN(U343+V343,'Debt strategy'!$E$12)</x:f>
        <x:v>0</x:v>
      </x:c>
      <x:c r="X343" s="27" t="n">
        <x:f>IF(U343+V343-W343&lt;=0,99,1+SUM(IF(AND(C343+D343-E343&gt;0,OR(C343+D343-E343&lt;U343+V343-W343,AND(C343+D343-E343=U343+V343-W343,0&lt;3))),1,0),IF(AND(I343+J343-K343&gt;0,OR(I343+J343-K343&lt;U343+V343-W343,AND(I343+J343-K343=U343+V343-W343,1&lt;3))),1,0),IF(AND(O343+P343-Q343&gt;0,OR(O343+P343-Q343&lt;U343+V343-W343,AND(O343+P343-Q343=U343+V343-W343,2&lt;3))),1,0),IF(AND(AA343+AB343-AC343&gt;0,OR(AA343+AB343-AC343&lt;U343+V343-W343,AND(AA343+AB343-AC343=U343+V343-W343,4&lt;3))),1,0)))</x:f>
        <x:v>99</x:v>
      </x:c>
      <x:c r="Y343" s="6" t="n">
        <x:f>IF('Debt strategy'!$C$16&gt;0,0,MIN(U343+V343-W343,MAX(0,'Debt strategy'!$C$5-SUM(E343,K343,Q343,W343,AC343)-SUM(IF(F343&lt;X343,C343+D343-E343,0),IF(L343&lt;X343,I343+J343-K343,0),IF(R343&lt;X343,O343+P343-Q343,0),IF(AD343&lt;X343,AA343+AB343-AC343,0)))))</x:f>
        <x:v>0</x:v>
      </x:c>
      <x:c r="Z343" s="6" t="n">
        <x:f>ROUND(MAX(0,U343+V343-W343-Y343),2)</x:f>
        <x:v>0</x:v>
      </x:c>
      <x:c r="AA343" s="6" t="n">
        <x:f>AF342</x:f>
        <x:v>0</x:v>
      </x:c>
      <x:c r="AB343" s="6" t="n">
        <x:f>ROUND(AA343*'Debt strategy'!$D$13/12,2)</x:f>
        <x:v>0</x:v>
      </x:c>
      <x:c r="AC343" s="6" t="n">
        <x:f>MIN(AA343+AB343,'Debt strategy'!$E$13)</x:f>
        <x:v>0</x:v>
      </x:c>
      <x:c r="AD343" s="27" t="n">
        <x:f>IF(AA343+AB343-AC343&lt;=0,99,1+SUM(IF(AND(C343+D343-E343&gt;0,OR(C343+D343-E343&lt;AA343+AB343-AC343,AND(C343+D343-E343=AA343+AB343-AC343,0&lt;4))),1,0),IF(AND(I343+J343-K343&gt;0,OR(I343+J343-K343&lt;AA343+AB343-AC343,AND(I343+J343-K343=AA343+AB343-AC343,1&lt;4))),1,0),IF(AND(O343+P343-Q343&gt;0,OR(O343+P343-Q343&lt;AA343+AB343-AC343,AND(O343+P343-Q343=AA343+AB343-AC343,2&lt;4))),1,0),IF(AND(U343+V343-W343&gt;0,OR(U343+V343-W343&lt;AA343+AB343-AC343,AND(U343+V343-W343=AA343+AB343-AC343,3&lt;4))),1,0)))</x:f>
        <x:v>99</x:v>
      </x:c>
      <x:c r="AE343" s="6" t="n">
        <x:f>IF('Debt strategy'!$C$16&gt;0,0,MIN(AA343+AB343-AC343,MAX(0,'Debt strategy'!$C$5-SUM(E343,K343,Q343,W343,AC343)-SUM(IF(F343&lt;AD343,C343+D343-E343,0),IF(L343&lt;AD343,I343+J343-K343,0),IF(R343&lt;AD343,O343+P343-Q343,0),IF(X343&lt;AD343,U343+V343-W343,0)))))</x:f>
        <x:v>0</x:v>
      </x:c>
      <x:c r="AF343" s="6" t="n">
        <x:f>ROUND(MAX(0,AA343+AB343-AC343-AE343),2)</x:f>
        <x:v>0</x:v>
      </x:c>
      <x:c r="AG343" s="6" t="n">
        <x:f>SUM(H343,N343,T343,Z343,AF343)</x:f>
        <x:v>0</x:v>
      </x:c>
      <x:c r="AH343" s="6" t="n">
        <x:f>SUM(D343,J343,P343,V343,AB343)+AH342</x:f>
        <x:v>1353.9499999999996</x:v>
      </x:c>
      <x:c r="AI343" s="2"/>
    </x:row>
    <x:row r="344" ht="23" customHeight="1">
      <x:c r="B344" s="2" t="n">
        <x:f>336</x:f>
        <x:v>336</x:v>
      </x:c>
      <x:c r="C344" s="6" t="n">
        <x:f>H343</x:f>
        <x:v>0</x:v>
      </x:c>
      <x:c r="D344" s="6" t="n">
        <x:f>ROUND(C344*'Debt strategy'!$D$9/12,2)</x:f>
        <x:v>0</x:v>
      </x:c>
      <x:c r="E344" s="6" t="n">
        <x:f>MIN(C344+D344,'Debt strategy'!$E$9)</x:f>
        <x:v>0</x:v>
      </x:c>
      <x:c r="F344" s="27" t="n">
        <x:f>IF(C344+D344-E344&lt;=0,99,1+SUM(IF(AND(I344+J344-K344&gt;0,OR(I344+J344-K344&lt;C344+D344-E344,AND(I344+J344-K344=C344+D344-E344,1&lt;0))),1,0),IF(AND(O344+P344-Q344&gt;0,OR(O344+P344-Q344&lt;C344+D344-E344,AND(O344+P344-Q344=C344+D344-E344,2&lt;0))),1,0),IF(AND(U344+V344-W344&gt;0,OR(U344+V344-W344&lt;C344+D344-E344,AND(U344+V344-W344=C344+D344-E344,3&lt;0))),1,0),IF(AND(AA344+AB344-AC344&gt;0,OR(AA344+AB344-AC344&lt;C344+D344-E344,AND(AA344+AB344-AC344=C344+D344-E344,4&lt;0))),1,0)))</x:f>
        <x:v>99</x:v>
      </x:c>
      <x:c r="G344" s="6" t="n">
        <x:f>IF('Debt strategy'!$C$16&gt;0,0,MIN(C344+D344-E344,MAX(0,'Debt strategy'!$C$5-SUM(E344,K344,Q344,W344,AC344)-SUM(IF(L344&lt;F344,I344+J344-K344,0),IF(R344&lt;F344,O344+P344-Q344,0),IF(X344&lt;F344,U344+V344-W344,0),IF(AD344&lt;F344,AA344+AB344-AC344,0)))))</x:f>
        <x:v>0</x:v>
      </x:c>
      <x:c r="H344" s="6" t="n">
        <x:f>ROUND(MAX(0,C344+D344-E344-G344),2)</x:f>
        <x:v>0</x:v>
      </x:c>
      <x:c r="I344" s="6" t="n">
        <x:f>N343</x:f>
        <x:v>0</x:v>
      </x:c>
      <x:c r="J344" s="6" t="n">
        <x:f>ROUND(I344*'Debt strategy'!$D$10/12,2)</x:f>
        <x:v>0</x:v>
      </x:c>
      <x:c r="K344" s="6" t="n">
        <x:f>MIN(I344+J344,'Debt strategy'!$E$10)</x:f>
        <x:v>0</x:v>
      </x:c>
      <x:c r="L344" s="27" t="n">
        <x:f>IF(I344+J344-K344&lt;=0,99,1+SUM(IF(AND(C344+D344-E344&gt;0,OR(C344+D344-E344&lt;I344+J344-K344,AND(C344+D344-E344=I344+J344-K344,0&lt;1))),1,0),IF(AND(O344+P344-Q344&gt;0,OR(O344+P344-Q344&lt;I344+J344-K344,AND(O344+P344-Q344=I344+J344-K344,2&lt;1))),1,0),IF(AND(U344+V344-W344&gt;0,OR(U344+V344-W344&lt;I344+J344-K344,AND(U344+V344-W344=I344+J344-K344,3&lt;1))),1,0),IF(AND(AA344+AB344-AC344&gt;0,OR(AA344+AB344-AC344&lt;I344+J344-K344,AND(AA344+AB344-AC344=I344+J344-K344,4&lt;1))),1,0)))</x:f>
        <x:v>99</x:v>
      </x:c>
      <x:c r="M344" s="6" t="n">
        <x:f>IF('Debt strategy'!$C$16&gt;0,0,MIN(I344+J344-K344,MAX(0,'Debt strategy'!$C$5-SUM(E344,K344,Q344,W344,AC344)-SUM(IF(F344&lt;L344,C344+D344-E344,0),IF(R344&lt;L344,O344+P344-Q344,0),IF(X344&lt;L344,U344+V344-W344,0),IF(AD344&lt;L344,AA344+AB344-AC344,0)))))</x:f>
        <x:v>0</x:v>
      </x:c>
      <x:c r="N344" s="6" t="n">
        <x:f>ROUND(MAX(0,I344+J344-K344-M344),2)</x:f>
        <x:v>0</x:v>
      </x:c>
      <x:c r="O344" s="6" t="n">
        <x:f>T343</x:f>
        <x:v>0</x:v>
      </x:c>
      <x:c r="P344" s="6" t="n">
        <x:f>ROUND(O344*'Debt strategy'!$D$11/12,2)</x:f>
        <x:v>0</x:v>
      </x:c>
      <x:c r="Q344" s="6" t="n">
        <x:f>MIN(O344+P344,'Debt strategy'!$E$11)</x:f>
        <x:v>0</x:v>
      </x:c>
      <x:c r="R344" s="27" t="n">
        <x:f>IF(O344+P344-Q344&lt;=0,99,1+SUM(IF(AND(C344+D344-E344&gt;0,OR(C344+D344-E344&lt;O344+P344-Q344,AND(C344+D344-E344=O344+P344-Q344,0&lt;2))),1,0),IF(AND(I344+J344-K344&gt;0,OR(I344+J344-K344&lt;O344+P344-Q344,AND(I344+J344-K344=O344+P344-Q344,1&lt;2))),1,0),IF(AND(U344+V344-W344&gt;0,OR(U344+V344-W344&lt;O344+P344-Q344,AND(U344+V344-W344=O344+P344-Q344,3&lt;2))),1,0),IF(AND(AA344+AB344-AC344&gt;0,OR(AA344+AB344-AC344&lt;O344+P344-Q344,AND(AA344+AB344-AC344=O344+P344-Q344,4&lt;2))),1,0)))</x:f>
        <x:v>99</x:v>
      </x:c>
      <x:c r="S344" s="6" t="n">
        <x:f>IF('Debt strategy'!$C$16&gt;0,0,MIN(O344+P344-Q344,MAX(0,'Debt strategy'!$C$5-SUM(E344,K344,Q344,W344,AC344)-SUM(IF(F344&lt;R344,C344+D344-E344,0),IF(L344&lt;R344,I344+J344-K344,0),IF(X344&lt;R344,U344+V344-W344,0),IF(AD344&lt;R344,AA344+AB344-AC344,0)))))</x:f>
        <x:v>0</x:v>
      </x:c>
      <x:c r="T344" s="6" t="n">
        <x:f>ROUND(MAX(0,O344+P344-Q344-S344),2)</x:f>
        <x:v>0</x:v>
      </x:c>
      <x:c r="U344" s="6" t="n">
        <x:f>Z343</x:f>
        <x:v>0</x:v>
      </x:c>
      <x:c r="V344" s="6" t="n">
        <x:f>ROUND(U344*'Debt strategy'!$D$12/12,2)</x:f>
        <x:v>0</x:v>
      </x:c>
      <x:c r="W344" s="6" t="n">
        <x:f>MIN(U344+V344,'Debt strategy'!$E$12)</x:f>
        <x:v>0</x:v>
      </x:c>
      <x:c r="X344" s="27" t="n">
        <x:f>IF(U344+V344-W344&lt;=0,99,1+SUM(IF(AND(C344+D344-E344&gt;0,OR(C344+D344-E344&lt;U344+V344-W344,AND(C344+D344-E344=U344+V344-W344,0&lt;3))),1,0),IF(AND(I344+J344-K344&gt;0,OR(I344+J344-K344&lt;U344+V344-W344,AND(I344+J344-K344=U344+V344-W344,1&lt;3))),1,0),IF(AND(O344+P344-Q344&gt;0,OR(O344+P344-Q344&lt;U344+V344-W344,AND(O344+P344-Q344=U344+V344-W344,2&lt;3))),1,0),IF(AND(AA344+AB344-AC344&gt;0,OR(AA344+AB344-AC344&lt;U344+V344-W344,AND(AA344+AB344-AC344=U344+V344-W344,4&lt;3))),1,0)))</x:f>
        <x:v>99</x:v>
      </x:c>
      <x:c r="Y344" s="6" t="n">
        <x:f>IF('Debt strategy'!$C$16&gt;0,0,MIN(U344+V344-W344,MAX(0,'Debt strategy'!$C$5-SUM(E344,K344,Q344,W344,AC344)-SUM(IF(F344&lt;X344,C344+D344-E344,0),IF(L344&lt;X344,I344+J344-K344,0),IF(R344&lt;X344,O344+P344-Q344,0),IF(AD344&lt;X344,AA344+AB344-AC344,0)))))</x:f>
        <x:v>0</x:v>
      </x:c>
      <x:c r="Z344" s="6" t="n">
        <x:f>ROUND(MAX(0,U344+V344-W344-Y344),2)</x:f>
        <x:v>0</x:v>
      </x:c>
      <x:c r="AA344" s="6" t="n">
        <x:f>AF343</x:f>
        <x:v>0</x:v>
      </x:c>
      <x:c r="AB344" s="6" t="n">
        <x:f>ROUND(AA344*'Debt strategy'!$D$13/12,2)</x:f>
        <x:v>0</x:v>
      </x:c>
      <x:c r="AC344" s="6" t="n">
        <x:f>MIN(AA344+AB344,'Debt strategy'!$E$13)</x:f>
        <x:v>0</x:v>
      </x:c>
      <x:c r="AD344" s="27" t="n">
        <x:f>IF(AA344+AB344-AC344&lt;=0,99,1+SUM(IF(AND(C344+D344-E344&gt;0,OR(C344+D344-E344&lt;AA344+AB344-AC344,AND(C344+D344-E344=AA344+AB344-AC344,0&lt;4))),1,0),IF(AND(I344+J344-K344&gt;0,OR(I344+J344-K344&lt;AA344+AB344-AC344,AND(I344+J344-K344=AA344+AB344-AC344,1&lt;4))),1,0),IF(AND(O344+P344-Q344&gt;0,OR(O344+P344-Q344&lt;AA344+AB344-AC344,AND(O344+P344-Q344=AA344+AB344-AC344,2&lt;4))),1,0),IF(AND(U344+V344-W344&gt;0,OR(U344+V344-W344&lt;AA344+AB344-AC344,AND(U344+V344-W344=AA344+AB344-AC344,3&lt;4))),1,0)))</x:f>
        <x:v>99</x:v>
      </x:c>
      <x:c r="AE344" s="6" t="n">
        <x:f>IF('Debt strategy'!$C$16&gt;0,0,MIN(AA344+AB344-AC344,MAX(0,'Debt strategy'!$C$5-SUM(E344,K344,Q344,W344,AC344)-SUM(IF(F344&lt;AD344,C344+D344-E344,0),IF(L344&lt;AD344,I344+J344-K344,0),IF(R344&lt;AD344,O344+P344-Q344,0),IF(X344&lt;AD344,U344+V344-W344,0)))))</x:f>
        <x:v>0</x:v>
      </x:c>
      <x:c r="AF344" s="6" t="n">
        <x:f>ROUND(MAX(0,AA344+AB344-AC344-AE344),2)</x:f>
        <x:v>0</x:v>
      </x:c>
      <x:c r="AG344" s="6" t="n">
        <x:f>SUM(H344,N344,T344,Z344,AF344)</x:f>
        <x:v>0</x:v>
      </x:c>
      <x:c r="AH344" s="6" t="n">
        <x:f>SUM(D344,J344,P344,V344,AB344)+AH343</x:f>
        <x:v>1353.9499999999996</x:v>
      </x:c>
      <x:c r="AI344" s="2"/>
    </x:row>
    <x:row r="345" ht="23" customHeight="1">
      <x:c r="B345" s="2" t="n">
        <x:f>337</x:f>
        <x:v>337</x:v>
      </x:c>
      <x:c r="C345" s="6" t="n">
        <x:f>H344</x:f>
        <x:v>0</x:v>
      </x:c>
      <x:c r="D345" s="6" t="n">
        <x:f>ROUND(C345*'Debt strategy'!$D$9/12,2)</x:f>
        <x:v>0</x:v>
      </x:c>
      <x:c r="E345" s="6" t="n">
        <x:f>MIN(C345+D345,'Debt strategy'!$E$9)</x:f>
        <x:v>0</x:v>
      </x:c>
      <x:c r="F345" s="27" t="n">
        <x:f>IF(C345+D345-E345&lt;=0,99,1+SUM(IF(AND(I345+J345-K345&gt;0,OR(I345+J345-K345&lt;C345+D345-E345,AND(I345+J345-K345=C345+D345-E345,1&lt;0))),1,0),IF(AND(O345+P345-Q345&gt;0,OR(O345+P345-Q345&lt;C345+D345-E345,AND(O345+P345-Q345=C345+D345-E345,2&lt;0))),1,0),IF(AND(U345+V345-W345&gt;0,OR(U345+V345-W345&lt;C345+D345-E345,AND(U345+V345-W345=C345+D345-E345,3&lt;0))),1,0),IF(AND(AA345+AB345-AC345&gt;0,OR(AA345+AB345-AC345&lt;C345+D345-E345,AND(AA345+AB345-AC345=C345+D345-E345,4&lt;0))),1,0)))</x:f>
        <x:v>99</x:v>
      </x:c>
      <x:c r="G345" s="6" t="n">
        <x:f>IF('Debt strategy'!$C$16&gt;0,0,MIN(C345+D345-E345,MAX(0,'Debt strategy'!$C$5-SUM(E345,K345,Q345,W345,AC345)-SUM(IF(L345&lt;F345,I345+J345-K345,0),IF(R345&lt;F345,O345+P345-Q345,0),IF(X345&lt;F345,U345+V345-W345,0),IF(AD345&lt;F345,AA345+AB345-AC345,0)))))</x:f>
        <x:v>0</x:v>
      </x:c>
      <x:c r="H345" s="6" t="n">
        <x:f>ROUND(MAX(0,C345+D345-E345-G345),2)</x:f>
        <x:v>0</x:v>
      </x:c>
      <x:c r="I345" s="6" t="n">
        <x:f>N344</x:f>
        <x:v>0</x:v>
      </x:c>
      <x:c r="J345" s="6" t="n">
        <x:f>ROUND(I345*'Debt strategy'!$D$10/12,2)</x:f>
        <x:v>0</x:v>
      </x:c>
      <x:c r="K345" s="6" t="n">
        <x:f>MIN(I345+J345,'Debt strategy'!$E$10)</x:f>
        <x:v>0</x:v>
      </x:c>
      <x:c r="L345" s="27" t="n">
        <x:f>IF(I345+J345-K345&lt;=0,99,1+SUM(IF(AND(C345+D345-E345&gt;0,OR(C345+D345-E345&lt;I345+J345-K345,AND(C345+D345-E345=I345+J345-K345,0&lt;1))),1,0),IF(AND(O345+P345-Q345&gt;0,OR(O345+P345-Q345&lt;I345+J345-K345,AND(O345+P345-Q345=I345+J345-K345,2&lt;1))),1,0),IF(AND(U345+V345-W345&gt;0,OR(U345+V345-W345&lt;I345+J345-K345,AND(U345+V345-W345=I345+J345-K345,3&lt;1))),1,0),IF(AND(AA345+AB345-AC345&gt;0,OR(AA345+AB345-AC345&lt;I345+J345-K345,AND(AA345+AB345-AC345=I345+J345-K345,4&lt;1))),1,0)))</x:f>
        <x:v>99</x:v>
      </x:c>
      <x:c r="M345" s="6" t="n">
        <x:f>IF('Debt strategy'!$C$16&gt;0,0,MIN(I345+J345-K345,MAX(0,'Debt strategy'!$C$5-SUM(E345,K345,Q345,W345,AC345)-SUM(IF(F345&lt;L345,C345+D345-E345,0),IF(R345&lt;L345,O345+P345-Q345,0),IF(X345&lt;L345,U345+V345-W345,0),IF(AD345&lt;L345,AA345+AB345-AC345,0)))))</x:f>
        <x:v>0</x:v>
      </x:c>
      <x:c r="N345" s="6" t="n">
        <x:f>ROUND(MAX(0,I345+J345-K345-M345),2)</x:f>
        <x:v>0</x:v>
      </x:c>
      <x:c r="O345" s="6" t="n">
        <x:f>T344</x:f>
        <x:v>0</x:v>
      </x:c>
      <x:c r="P345" s="6" t="n">
        <x:f>ROUND(O345*'Debt strategy'!$D$11/12,2)</x:f>
        <x:v>0</x:v>
      </x:c>
      <x:c r="Q345" s="6" t="n">
        <x:f>MIN(O345+P345,'Debt strategy'!$E$11)</x:f>
        <x:v>0</x:v>
      </x:c>
      <x:c r="R345" s="27" t="n">
        <x:f>IF(O345+P345-Q345&lt;=0,99,1+SUM(IF(AND(C345+D345-E345&gt;0,OR(C345+D345-E345&lt;O345+P345-Q345,AND(C345+D345-E345=O345+P345-Q345,0&lt;2))),1,0),IF(AND(I345+J345-K345&gt;0,OR(I345+J345-K345&lt;O345+P345-Q345,AND(I345+J345-K345=O345+P345-Q345,1&lt;2))),1,0),IF(AND(U345+V345-W345&gt;0,OR(U345+V345-W345&lt;O345+P345-Q345,AND(U345+V345-W345=O345+P345-Q345,3&lt;2))),1,0),IF(AND(AA345+AB345-AC345&gt;0,OR(AA345+AB345-AC345&lt;O345+P345-Q345,AND(AA345+AB345-AC345=O345+P345-Q345,4&lt;2))),1,0)))</x:f>
        <x:v>99</x:v>
      </x:c>
      <x:c r="S345" s="6" t="n">
        <x:f>IF('Debt strategy'!$C$16&gt;0,0,MIN(O345+P345-Q345,MAX(0,'Debt strategy'!$C$5-SUM(E345,K345,Q345,W345,AC345)-SUM(IF(F345&lt;R345,C345+D345-E345,0),IF(L345&lt;R345,I345+J345-K345,0),IF(X345&lt;R345,U345+V345-W345,0),IF(AD345&lt;R345,AA345+AB345-AC345,0)))))</x:f>
        <x:v>0</x:v>
      </x:c>
      <x:c r="T345" s="6" t="n">
        <x:f>ROUND(MAX(0,O345+P345-Q345-S345),2)</x:f>
        <x:v>0</x:v>
      </x:c>
      <x:c r="U345" s="6" t="n">
        <x:f>Z344</x:f>
        <x:v>0</x:v>
      </x:c>
      <x:c r="V345" s="6" t="n">
        <x:f>ROUND(U345*'Debt strategy'!$D$12/12,2)</x:f>
        <x:v>0</x:v>
      </x:c>
      <x:c r="W345" s="6" t="n">
        <x:f>MIN(U345+V345,'Debt strategy'!$E$12)</x:f>
        <x:v>0</x:v>
      </x:c>
      <x:c r="X345" s="27" t="n">
        <x:f>IF(U345+V345-W345&lt;=0,99,1+SUM(IF(AND(C345+D345-E345&gt;0,OR(C345+D345-E345&lt;U345+V345-W345,AND(C345+D345-E345=U345+V345-W345,0&lt;3))),1,0),IF(AND(I345+J345-K345&gt;0,OR(I345+J345-K345&lt;U345+V345-W345,AND(I345+J345-K345=U345+V345-W345,1&lt;3))),1,0),IF(AND(O345+P345-Q345&gt;0,OR(O345+P345-Q345&lt;U345+V345-W345,AND(O345+P345-Q345=U345+V345-W345,2&lt;3))),1,0),IF(AND(AA345+AB345-AC345&gt;0,OR(AA345+AB345-AC345&lt;U345+V345-W345,AND(AA345+AB345-AC345=U345+V345-W345,4&lt;3))),1,0)))</x:f>
        <x:v>99</x:v>
      </x:c>
      <x:c r="Y345" s="6" t="n">
        <x:f>IF('Debt strategy'!$C$16&gt;0,0,MIN(U345+V345-W345,MAX(0,'Debt strategy'!$C$5-SUM(E345,K345,Q345,W345,AC345)-SUM(IF(F345&lt;X345,C345+D345-E345,0),IF(L345&lt;X345,I345+J345-K345,0),IF(R345&lt;X345,O345+P345-Q345,0),IF(AD345&lt;X345,AA345+AB345-AC345,0)))))</x:f>
        <x:v>0</x:v>
      </x:c>
      <x:c r="Z345" s="6" t="n">
        <x:f>ROUND(MAX(0,U345+V345-W345-Y345),2)</x:f>
        <x:v>0</x:v>
      </x:c>
      <x:c r="AA345" s="6" t="n">
        <x:f>AF344</x:f>
        <x:v>0</x:v>
      </x:c>
      <x:c r="AB345" s="6" t="n">
        <x:f>ROUND(AA345*'Debt strategy'!$D$13/12,2)</x:f>
        <x:v>0</x:v>
      </x:c>
      <x:c r="AC345" s="6" t="n">
        <x:f>MIN(AA345+AB345,'Debt strategy'!$E$13)</x:f>
        <x:v>0</x:v>
      </x:c>
      <x:c r="AD345" s="27" t="n">
        <x:f>IF(AA345+AB345-AC345&lt;=0,99,1+SUM(IF(AND(C345+D345-E345&gt;0,OR(C345+D345-E345&lt;AA345+AB345-AC345,AND(C345+D345-E345=AA345+AB345-AC345,0&lt;4))),1,0),IF(AND(I345+J345-K345&gt;0,OR(I345+J345-K345&lt;AA345+AB345-AC345,AND(I345+J345-K345=AA345+AB345-AC345,1&lt;4))),1,0),IF(AND(O345+P345-Q345&gt;0,OR(O345+P345-Q345&lt;AA345+AB345-AC345,AND(O345+P345-Q345=AA345+AB345-AC345,2&lt;4))),1,0),IF(AND(U345+V345-W345&gt;0,OR(U345+V345-W345&lt;AA345+AB345-AC345,AND(U345+V345-W345=AA345+AB345-AC345,3&lt;4))),1,0)))</x:f>
        <x:v>99</x:v>
      </x:c>
      <x:c r="AE345" s="6" t="n">
        <x:f>IF('Debt strategy'!$C$16&gt;0,0,MIN(AA345+AB345-AC345,MAX(0,'Debt strategy'!$C$5-SUM(E345,K345,Q345,W345,AC345)-SUM(IF(F345&lt;AD345,C345+D345-E345,0),IF(L345&lt;AD345,I345+J345-K345,0),IF(R345&lt;AD345,O345+P345-Q345,0),IF(X345&lt;AD345,U345+V345-W345,0)))))</x:f>
        <x:v>0</x:v>
      </x:c>
      <x:c r="AF345" s="6" t="n">
        <x:f>ROUND(MAX(0,AA345+AB345-AC345-AE345),2)</x:f>
        <x:v>0</x:v>
      </x:c>
      <x:c r="AG345" s="6" t="n">
        <x:f>SUM(H345,N345,T345,Z345,AF345)</x:f>
        <x:v>0</x:v>
      </x:c>
      <x:c r="AH345" s="6" t="n">
        <x:f>SUM(D345,J345,P345,V345,AB345)+AH344</x:f>
        <x:v>1353.9499999999996</x:v>
      </x:c>
      <x:c r="AI345" s="2"/>
    </x:row>
    <x:row r="346" ht="23" customHeight="1">
      <x:c r="B346" s="2" t="n">
        <x:f>338</x:f>
        <x:v>338</x:v>
      </x:c>
      <x:c r="C346" s="6" t="n">
        <x:f>H345</x:f>
        <x:v>0</x:v>
      </x:c>
      <x:c r="D346" s="6" t="n">
        <x:f>ROUND(C346*'Debt strategy'!$D$9/12,2)</x:f>
        <x:v>0</x:v>
      </x:c>
      <x:c r="E346" s="6" t="n">
        <x:f>MIN(C346+D346,'Debt strategy'!$E$9)</x:f>
        <x:v>0</x:v>
      </x:c>
      <x:c r="F346" s="27" t="n">
        <x:f>IF(C346+D346-E346&lt;=0,99,1+SUM(IF(AND(I346+J346-K346&gt;0,OR(I346+J346-K346&lt;C346+D346-E346,AND(I346+J346-K346=C346+D346-E346,1&lt;0))),1,0),IF(AND(O346+P346-Q346&gt;0,OR(O346+P346-Q346&lt;C346+D346-E346,AND(O346+P346-Q346=C346+D346-E346,2&lt;0))),1,0),IF(AND(U346+V346-W346&gt;0,OR(U346+V346-W346&lt;C346+D346-E346,AND(U346+V346-W346=C346+D346-E346,3&lt;0))),1,0),IF(AND(AA346+AB346-AC346&gt;0,OR(AA346+AB346-AC346&lt;C346+D346-E346,AND(AA346+AB346-AC346=C346+D346-E346,4&lt;0))),1,0)))</x:f>
        <x:v>99</x:v>
      </x:c>
      <x:c r="G346" s="6" t="n">
        <x:f>IF('Debt strategy'!$C$16&gt;0,0,MIN(C346+D346-E346,MAX(0,'Debt strategy'!$C$5-SUM(E346,K346,Q346,W346,AC346)-SUM(IF(L346&lt;F346,I346+J346-K346,0),IF(R346&lt;F346,O346+P346-Q346,0),IF(X346&lt;F346,U346+V346-W346,0),IF(AD346&lt;F346,AA346+AB346-AC346,0)))))</x:f>
        <x:v>0</x:v>
      </x:c>
      <x:c r="H346" s="6" t="n">
        <x:f>ROUND(MAX(0,C346+D346-E346-G346),2)</x:f>
        <x:v>0</x:v>
      </x:c>
      <x:c r="I346" s="6" t="n">
        <x:f>N345</x:f>
        <x:v>0</x:v>
      </x:c>
      <x:c r="J346" s="6" t="n">
        <x:f>ROUND(I346*'Debt strategy'!$D$10/12,2)</x:f>
        <x:v>0</x:v>
      </x:c>
      <x:c r="K346" s="6" t="n">
        <x:f>MIN(I346+J346,'Debt strategy'!$E$10)</x:f>
        <x:v>0</x:v>
      </x:c>
      <x:c r="L346" s="27" t="n">
        <x:f>IF(I346+J346-K346&lt;=0,99,1+SUM(IF(AND(C346+D346-E346&gt;0,OR(C346+D346-E346&lt;I346+J346-K346,AND(C346+D346-E346=I346+J346-K346,0&lt;1))),1,0),IF(AND(O346+P346-Q346&gt;0,OR(O346+P346-Q346&lt;I346+J346-K346,AND(O346+P346-Q346=I346+J346-K346,2&lt;1))),1,0),IF(AND(U346+V346-W346&gt;0,OR(U346+V346-W346&lt;I346+J346-K346,AND(U346+V346-W346=I346+J346-K346,3&lt;1))),1,0),IF(AND(AA346+AB346-AC346&gt;0,OR(AA346+AB346-AC346&lt;I346+J346-K346,AND(AA346+AB346-AC346=I346+J346-K346,4&lt;1))),1,0)))</x:f>
        <x:v>99</x:v>
      </x:c>
      <x:c r="M346" s="6" t="n">
        <x:f>IF('Debt strategy'!$C$16&gt;0,0,MIN(I346+J346-K346,MAX(0,'Debt strategy'!$C$5-SUM(E346,K346,Q346,W346,AC346)-SUM(IF(F346&lt;L346,C346+D346-E346,0),IF(R346&lt;L346,O346+P346-Q346,0),IF(X346&lt;L346,U346+V346-W346,0),IF(AD346&lt;L346,AA346+AB346-AC346,0)))))</x:f>
        <x:v>0</x:v>
      </x:c>
      <x:c r="N346" s="6" t="n">
        <x:f>ROUND(MAX(0,I346+J346-K346-M346),2)</x:f>
        <x:v>0</x:v>
      </x:c>
      <x:c r="O346" s="6" t="n">
        <x:f>T345</x:f>
        <x:v>0</x:v>
      </x:c>
      <x:c r="P346" s="6" t="n">
        <x:f>ROUND(O346*'Debt strategy'!$D$11/12,2)</x:f>
        <x:v>0</x:v>
      </x:c>
      <x:c r="Q346" s="6" t="n">
        <x:f>MIN(O346+P346,'Debt strategy'!$E$11)</x:f>
        <x:v>0</x:v>
      </x:c>
      <x:c r="R346" s="27" t="n">
        <x:f>IF(O346+P346-Q346&lt;=0,99,1+SUM(IF(AND(C346+D346-E346&gt;0,OR(C346+D346-E346&lt;O346+P346-Q346,AND(C346+D346-E346=O346+P346-Q346,0&lt;2))),1,0),IF(AND(I346+J346-K346&gt;0,OR(I346+J346-K346&lt;O346+P346-Q346,AND(I346+J346-K346=O346+P346-Q346,1&lt;2))),1,0),IF(AND(U346+V346-W346&gt;0,OR(U346+V346-W346&lt;O346+P346-Q346,AND(U346+V346-W346=O346+P346-Q346,3&lt;2))),1,0),IF(AND(AA346+AB346-AC346&gt;0,OR(AA346+AB346-AC346&lt;O346+P346-Q346,AND(AA346+AB346-AC346=O346+P346-Q346,4&lt;2))),1,0)))</x:f>
        <x:v>99</x:v>
      </x:c>
      <x:c r="S346" s="6" t="n">
        <x:f>IF('Debt strategy'!$C$16&gt;0,0,MIN(O346+P346-Q346,MAX(0,'Debt strategy'!$C$5-SUM(E346,K346,Q346,W346,AC346)-SUM(IF(F346&lt;R346,C346+D346-E346,0),IF(L346&lt;R346,I346+J346-K346,0),IF(X346&lt;R346,U346+V346-W346,0),IF(AD346&lt;R346,AA346+AB346-AC346,0)))))</x:f>
        <x:v>0</x:v>
      </x:c>
      <x:c r="T346" s="6" t="n">
        <x:f>ROUND(MAX(0,O346+P346-Q346-S346),2)</x:f>
        <x:v>0</x:v>
      </x:c>
      <x:c r="U346" s="6" t="n">
        <x:f>Z345</x:f>
        <x:v>0</x:v>
      </x:c>
      <x:c r="V346" s="6" t="n">
        <x:f>ROUND(U346*'Debt strategy'!$D$12/12,2)</x:f>
        <x:v>0</x:v>
      </x:c>
      <x:c r="W346" s="6" t="n">
        <x:f>MIN(U346+V346,'Debt strategy'!$E$12)</x:f>
        <x:v>0</x:v>
      </x:c>
      <x:c r="X346" s="27" t="n">
        <x:f>IF(U346+V346-W346&lt;=0,99,1+SUM(IF(AND(C346+D346-E346&gt;0,OR(C346+D346-E346&lt;U346+V346-W346,AND(C346+D346-E346=U346+V346-W346,0&lt;3))),1,0),IF(AND(I346+J346-K346&gt;0,OR(I346+J346-K346&lt;U346+V346-W346,AND(I346+J346-K346=U346+V346-W346,1&lt;3))),1,0),IF(AND(O346+P346-Q346&gt;0,OR(O346+P346-Q346&lt;U346+V346-W346,AND(O346+P346-Q346=U346+V346-W346,2&lt;3))),1,0),IF(AND(AA346+AB346-AC346&gt;0,OR(AA346+AB346-AC346&lt;U346+V346-W346,AND(AA346+AB346-AC346=U346+V346-W346,4&lt;3))),1,0)))</x:f>
        <x:v>99</x:v>
      </x:c>
      <x:c r="Y346" s="6" t="n">
        <x:f>IF('Debt strategy'!$C$16&gt;0,0,MIN(U346+V346-W346,MAX(0,'Debt strategy'!$C$5-SUM(E346,K346,Q346,W346,AC346)-SUM(IF(F346&lt;X346,C346+D346-E346,0),IF(L346&lt;X346,I346+J346-K346,0),IF(R346&lt;X346,O346+P346-Q346,0),IF(AD346&lt;X346,AA346+AB346-AC346,0)))))</x:f>
        <x:v>0</x:v>
      </x:c>
      <x:c r="Z346" s="6" t="n">
        <x:f>ROUND(MAX(0,U346+V346-W346-Y346),2)</x:f>
        <x:v>0</x:v>
      </x:c>
      <x:c r="AA346" s="6" t="n">
        <x:f>AF345</x:f>
        <x:v>0</x:v>
      </x:c>
      <x:c r="AB346" s="6" t="n">
        <x:f>ROUND(AA346*'Debt strategy'!$D$13/12,2)</x:f>
        <x:v>0</x:v>
      </x:c>
      <x:c r="AC346" s="6" t="n">
        <x:f>MIN(AA346+AB346,'Debt strategy'!$E$13)</x:f>
        <x:v>0</x:v>
      </x:c>
      <x:c r="AD346" s="27" t="n">
        <x:f>IF(AA346+AB346-AC346&lt;=0,99,1+SUM(IF(AND(C346+D346-E346&gt;0,OR(C346+D346-E346&lt;AA346+AB346-AC346,AND(C346+D346-E346=AA346+AB346-AC346,0&lt;4))),1,0),IF(AND(I346+J346-K346&gt;0,OR(I346+J346-K346&lt;AA346+AB346-AC346,AND(I346+J346-K346=AA346+AB346-AC346,1&lt;4))),1,0),IF(AND(O346+P346-Q346&gt;0,OR(O346+P346-Q346&lt;AA346+AB346-AC346,AND(O346+P346-Q346=AA346+AB346-AC346,2&lt;4))),1,0),IF(AND(U346+V346-W346&gt;0,OR(U346+V346-W346&lt;AA346+AB346-AC346,AND(U346+V346-W346=AA346+AB346-AC346,3&lt;4))),1,0)))</x:f>
        <x:v>99</x:v>
      </x:c>
      <x:c r="AE346" s="6" t="n">
        <x:f>IF('Debt strategy'!$C$16&gt;0,0,MIN(AA346+AB346-AC346,MAX(0,'Debt strategy'!$C$5-SUM(E346,K346,Q346,W346,AC346)-SUM(IF(F346&lt;AD346,C346+D346-E346,0),IF(L346&lt;AD346,I346+J346-K346,0),IF(R346&lt;AD346,O346+P346-Q346,0),IF(X346&lt;AD346,U346+V346-W346,0)))))</x:f>
        <x:v>0</x:v>
      </x:c>
      <x:c r="AF346" s="6" t="n">
        <x:f>ROUND(MAX(0,AA346+AB346-AC346-AE346),2)</x:f>
        <x:v>0</x:v>
      </x:c>
      <x:c r="AG346" s="6" t="n">
        <x:f>SUM(H346,N346,T346,Z346,AF346)</x:f>
        <x:v>0</x:v>
      </x:c>
      <x:c r="AH346" s="6" t="n">
        <x:f>SUM(D346,J346,P346,V346,AB346)+AH345</x:f>
        <x:v>1353.9499999999996</x:v>
      </x:c>
      <x:c r="AI346" s="2"/>
    </x:row>
    <x:row r="347" ht="23" customHeight="1">
      <x:c r="B347" s="2" t="n">
        <x:f>339</x:f>
        <x:v>339</x:v>
      </x:c>
      <x:c r="C347" s="6" t="n">
        <x:f>H346</x:f>
        <x:v>0</x:v>
      </x:c>
      <x:c r="D347" s="6" t="n">
        <x:f>ROUND(C347*'Debt strategy'!$D$9/12,2)</x:f>
        <x:v>0</x:v>
      </x:c>
      <x:c r="E347" s="6" t="n">
        <x:f>MIN(C347+D347,'Debt strategy'!$E$9)</x:f>
        <x:v>0</x:v>
      </x:c>
      <x:c r="F347" s="27" t="n">
        <x:f>IF(C347+D347-E347&lt;=0,99,1+SUM(IF(AND(I347+J347-K347&gt;0,OR(I347+J347-K347&lt;C347+D347-E347,AND(I347+J347-K347=C347+D347-E347,1&lt;0))),1,0),IF(AND(O347+P347-Q347&gt;0,OR(O347+P347-Q347&lt;C347+D347-E347,AND(O347+P347-Q347=C347+D347-E347,2&lt;0))),1,0),IF(AND(U347+V347-W347&gt;0,OR(U347+V347-W347&lt;C347+D347-E347,AND(U347+V347-W347=C347+D347-E347,3&lt;0))),1,0),IF(AND(AA347+AB347-AC347&gt;0,OR(AA347+AB347-AC347&lt;C347+D347-E347,AND(AA347+AB347-AC347=C347+D347-E347,4&lt;0))),1,0)))</x:f>
        <x:v>99</x:v>
      </x:c>
      <x:c r="G347" s="6" t="n">
        <x:f>IF('Debt strategy'!$C$16&gt;0,0,MIN(C347+D347-E347,MAX(0,'Debt strategy'!$C$5-SUM(E347,K347,Q347,W347,AC347)-SUM(IF(L347&lt;F347,I347+J347-K347,0),IF(R347&lt;F347,O347+P347-Q347,0),IF(X347&lt;F347,U347+V347-W347,0),IF(AD347&lt;F347,AA347+AB347-AC347,0)))))</x:f>
        <x:v>0</x:v>
      </x:c>
      <x:c r="H347" s="6" t="n">
        <x:f>ROUND(MAX(0,C347+D347-E347-G347),2)</x:f>
        <x:v>0</x:v>
      </x:c>
      <x:c r="I347" s="6" t="n">
        <x:f>N346</x:f>
        <x:v>0</x:v>
      </x:c>
      <x:c r="J347" s="6" t="n">
        <x:f>ROUND(I347*'Debt strategy'!$D$10/12,2)</x:f>
        <x:v>0</x:v>
      </x:c>
      <x:c r="K347" s="6" t="n">
        <x:f>MIN(I347+J347,'Debt strategy'!$E$10)</x:f>
        <x:v>0</x:v>
      </x:c>
      <x:c r="L347" s="27" t="n">
        <x:f>IF(I347+J347-K347&lt;=0,99,1+SUM(IF(AND(C347+D347-E347&gt;0,OR(C347+D347-E347&lt;I347+J347-K347,AND(C347+D347-E347=I347+J347-K347,0&lt;1))),1,0),IF(AND(O347+P347-Q347&gt;0,OR(O347+P347-Q347&lt;I347+J347-K347,AND(O347+P347-Q347=I347+J347-K347,2&lt;1))),1,0),IF(AND(U347+V347-W347&gt;0,OR(U347+V347-W347&lt;I347+J347-K347,AND(U347+V347-W347=I347+J347-K347,3&lt;1))),1,0),IF(AND(AA347+AB347-AC347&gt;0,OR(AA347+AB347-AC347&lt;I347+J347-K347,AND(AA347+AB347-AC347=I347+J347-K347,4&lt;1))),1,0)))</x:f>
        <x:v>99</x:v>
      </x:c>
      <x:c r="M347" s="6" t="n">
        <x:f>IF('Debt strategy'!$C$16&gt;0,0,MIN(I347+J347-K347,MAX(0,'Debt strategy'!$C$5-SUM(E347,K347,Q347,W347,AC347)-SUM(IF(F347&lt;L347,C347+D347-E347,0),IF(R347&lt;L347,O347+P347-Q347,0),IF(X347&lt;L347,U347+V347-W347,0),IF(AD347&lt;L347,AA347+AB347-AC347,0)))))</x:f>
        <x:v>0</x:v>
      </x:c>
      <x:c r="N347" s="6" t="n">
        <x:f>ROUND(MAX(0,I347+J347-K347-M347),2)</x:f>
        <x:v>0</x:v>
      </x:c>
      <x:c r="O347" s="6" t="n">
        <x:f>T346</x:f>
        <x:v>0</x:v>
      </x:c>
      <x:c r="P347" s="6" t="n">
        <x:f>ROUND(O347*'Debt strategy'!$D$11/12,2)</x:f>
        <x:v>0</x:v>
      </x:c>
      <x:c r="Q347" s="6" t="n">
        <x:f>MIN(O347+P347,'Debt strategy'!$E$11)</x:f>
        <x:v>0</x:v>
      </x:c>
      <x:c r="R347" s="27" t="n">
        <x:f>IF(O347+P347-Q347&lt;=0,99,1+SUM(IF(AND(C347+D347-E347&gt;0,OR(C347+D347-E347&lt;O347+P347-Q347,AND(C347+D347-E347=O347+P347-Q347,0&lt;2))),1,0),IF(AND(I347+J347-K347&gt;0,OR(I347+J347-K347&lt;O347+P347-Q347,AND(I347+J347-K347=O347+P347-Q347,1&lt;2))),1,0),IF(AND(U347+V347-W347&gt;0,OR(U347+V347-W347&lt;O347+P347-Q347,AND(U347+V347-W347=O347+P347-Q347,3&lt;2))),1,0),IF(AND(AA347+AB347-AC347&gt;0,OR(AA347+AB347-AC347&lt;O347+P347-Q347,AND(AA347+AB347-AC347=O347+P347-Q347,4&lt;2))),1,0)))</x:f>
        <x:v>99</x:v>
      </x:c>
      <x:c r="S347" s="6" t="n">
        <x:f>IF('Debt strategy'!$C$16&gt;0,0,MIN(O347+P347-Q347,MAX(0,'Debt strategy'!$C$5-SUM(E347,K347,Q347,W347,AC347)-SUM(IF(F347&lt;R347,C347+D347-E347,0),IF(L347&lt;R347,I347+J347-K347,0),IF(X347&lt;R347,U347+V347-W347,0),IF(AD347&lt;R347,AA347+AB347-AC347,0)))))</x:f>
        <x:v>0</x:v>
      </x:c>
      <x:c r="T347" s="6" t="n">
        <x:f>ROUND(MAX(0,O347+P347-Q347-S347),2)</x:f>
        <x:v>0</x:v>
      </x:c>
      <x:c r="U347" s="6" t="n">
        <x:f>Z346</x:f>
        <x:v>0</x:v>
      </x:c>
      <x:c r="V347" s="6" t="n">
        <x:f>ROUND(U347*'Debt strategy'!$D$12/12,2)</x:f>
        <x:v>0</x:v>
      </x:c>
      <x:c r="W347" s="6" t="n">
        <x:f>MIN(U347+V347,'Debt strategy'!$E$12)</x:f>
        <x:v>0</x:v>
      </x:c>
      <x:c r="X347" s="27" t="n">
        <x:f>IF(U347+V347-W347&lt;=0,99,1+SUM(IF(AND(C347+D347-E347&gt;0,OR(C347+D347-E347&lt;U347+V347-W347,AND(C347+D347-E347=U347+V347-W347,0&lt;3))),1,0),IF(AND(I347+J347-K347&gt;0,OR(I347+J347-K347&lt;U347+V347-W347,AND(I347+J347-K347=U347+V347-W347,1&lt;3))),1,0),IF(AND(O347+P347-Q347&gt;0,OR(O347+P347-Q347&lt;U347+V347-W347,AND(O347+P347-Q347=U347+V347-W347,2&lt;3))),1,0),IF(AND(AA347+AB347-AC347&gt;0,OR(AA347+AB347-AC347&lt;U347+V347-W347,AND(AA347+AB347-AC347=U347+V347-W347,4&lt;3))),1,0)))</x:f>
        <x:v>99</x:v>
      </x:c>
      <x:c r="Y347" s="6" t="n">
        <x:f>IF('Debt strategy'!$C$16&gt;0,0,MIN(U347+V347-W347,MAX(0,'Debt strategy'!$C$5-SUM(E347,K347,Q347,W347,AC347)-SUM(IF(F347&lt;X347,C347+D347-E347,0),IF(L347&lt;X347,I347+J347-K347,0),IF(R347&lt;X347,O347+P347-Q347,0),IF(AD347&lt;X347,AA347+AB347-AC347,0)))))</x:f>
        <x:v>0</x:v>
      </x:c>
      <x:c r="Z347" s="6" t="n">
        <x:f>ROUND(MAX(0,U347+V347-W347-Y347),2)</x:f>
        <x:v>0</x:v>
      </x:c>
      <x:c r="AA347" s="6" t="n">
        <x:f>AF346</x:f>
        <x:v>0</x:v>
      </x:c>
      <x:c r="AB347" s="6" t="n">
        <x:f>ROUND(AA347*'Debt strategy'!$D$13/12,2)</x:f>
        <x:v>0</x:v>
      </x:c>
      <x:c r="AC347" s="6" t="n">
        <x:f>MIN(AA347+AB347,'Debt strategy'!$E$13)</x:f>
        <x:v>0</x:v>
      </x:c>
      <x:c r="AD347" s="27" t="n">
        <x:f>IF(AA347+AB347-AC347&lt;=0,99,1+SUM(IF(AND(C347+D347-E347&gt;0,OR(C347+D347-E347&lt;AA347+AB347-AC347,AND(C347+D347-E347=AA347+AB347-AC347,0&lt;4))),1,0),IF(AND(I347+J347-K347&gt;0,OR(I347+J347-K347&lt;AA347+AB347-AC347,AND(I347+J347-K347=AA347+AB347-AC347,1&lt;4))),1,0),IF(AND(O347+P347-Q347&gt;0,OR(O347+P347-Q347&lt;AA347+AB347-AC347,AND(O347+P347-Q347=AA347+AB347-AC347,2&lt;4))),1,0),IF(AND(U347+V347-W347&gt;0,OR(U347+V347-W347&lt;AA347+AB347-AC347,AND(U347+V347-W347=AA347+AB347-AC347,3&lt;4))),1,0)))</x:f>
        <x:v>99</x:v>
      </x:c>
      <x:c r="AE347" s="6" t="n">
        <x:f>IF('Debt strategy'!$C$16&gt;0,0,MIN(AA347+AB347-AC347,MAX(0,'Debt strategy'!$C$5-SUM(E347,K347,Q347,W347,AC347)-SUM(IF(F347&lt;AD347,C347+D347-E347,0),IF(L347&lt;AD347,I347+J347-K347,0),IF(R347&lt;AD347,O347+P347-Q347,0),IF(X347&lt;AD347,U347+V347-W347,0)))))</x:f>
        <x:v>0</x:v>
      </x:c>
      <x:c r="AF347" s="6" t="n">
        <x:f>ROUND(MAX(0,AA347+AB347-AC347-AE347),2)</x:f>
        <x:v>0</x:v>
      </x:c>
      <x:c r="AG347" s="6" t="n">
        <x:f>SUM(H347,N347,T347,Z347,AF347)</x:f>
        <x:v>0</x:v>
      </x:c>
      <x:c r="AH347" s="6" t="n">
        <x:f>SUM(D347,J347,P347,V347,AB347)+AH346</x:f>
        <x:v>1353.9499999999996</x:v>
      </x:c>
      <x:c r="AI347" s="2"/>
    </x:row>
    <x:row r="348" ht="23" customHeight="1">
      <x:c r="B348" s="2" t="n">
        <x:f>340</x:f>
        <x:v>340</x:v>
      </x:c>
      <x:c r="C348" s="6" t="n">
        <x:f>H347</x:f>
        <x:v>0</x:v>
      </x:c>
      <x:c r="D348" s="6" t="n">
        <x:f>ROUND(C348*'Debt strategy'!$D$9/12,2)</x:f>
        <x:v>0</x:v>
      </x:c>
      <x:c r="E348" s="6" t="n">
        <x:f>MIN(C348+D348,'Debt strategy'!$E$9)</x:f>
        <x:v>0</x:v>
      </x:c>
      <x:c r="F348" s="27" t="n">
        <x:f>IF(C348+D348-E348&lt;=0,99,1+SUM(IF(AND(I348+J348-K348&gt;0,OR(I348+J348-K348&lt;C348+D348-E348,AND(I348+J348-K348=C348+D348-E348,1&lt;0))),1,0),IF(AND(O348+P348-Q348&gt;0,OR(O348+P348-Q348&lt;C348+D348-E348,AND(O348+P348-Q348=C348+D348-E348,2&lt;0))),1,0),IF(AND(U348+V348-W348&gt;0,OR(U348+V348-W348&lt;C348+D348-E348,AND(U348+V348-W348=C348+D348-E348,3&lt;0))),1,0),IF(AND(AA348+AB348-AC348&gt;0,OR(AA348+AB348-AC348&lt;C348+D348-E348,AND(AA348+AB348-AC348=C348+D348-E348,4&lt;0))),1,0)))</x:f>
        <x:v>99</x:v>
      </x:c>
      <x:c r="G348" s="6" t="n">
        <x:f>IF('Debt strategy'!$C$16&gt;0,0,MIN(C348+D348-E348,MAX(0,'Debt strategy'!$C$5-SUM(E348,K348,Q348,W348,AC348)-SUM(IF(L348&lt;F348,I348+J348-K348,0),IF(R348&lt;F348,O348+P348-Q348,0),IF(X348&lt;F348,U348+V348-W348,0),IF(AD348&lt;F348,AA348+AB348-AC348,0)))))</x:f>
        <x:v>0</x:v>
      </x:c>
      <x:c r="H348" s="6" t="n">
        <x:f>ROUND(MAX(0,C348+D348-E348-G348),2)</x:f>
        <x:v>0</x:v>
      </x:c>
      <x:c r="I348" s="6" t="n">
        <x:f>N347</x:f>
        <x:v>0</x:v>
      </x:c>
      <x:c r="J348" s="6" t="n">
        <x:f>ROUND(I348*'Debt strategy'!$D$10/12,2)</x:f>
        <x:v>0</x:v>
      </x:c>
      <x:c r="K348" s="6" t="n">
        <x:f>MIN(I348+J348,'Debt strategy'!$E$10)</x:f>
        <x:v>0</x:v>
      </x:c>
      <x:c r="L348" s="27" t="n">
        <x:f>IF(I348+J348-K348&lt;=0,99,1+SUM(IF(AND(C348+D348-E348&gt;0,OR(C348+D348-E348&lt;I348+J348-K348,AND(C348+D348-E348=I348+J348-K348,0&lt;1))),1,0),IF(AND(O348+P348-Q348&gt;0,OR(O348+P348-Q348&lt;I348+J348-K348,AND(O348+P348-Q348=I348+J348-K348,2&lt;1))),1,0),IF(AND(U348+V348-W348&gt;0,OR(U348+V348-W348&lt;I348+J348-K348,AND(U348+V348-W348=I348+J348-K348,3&lt;1))),1,0),IF(AND(AA348+AB348-AC348&gt;0,OR(AA348+AB348-AC348&lt;I348+J348-K348,AND(AA348+AB348-AC348=I348+J348-K348,4&lt;1))),1,0)))</x:f>
        <x:v>99</x:v>
      </x:c>
      <x:c r="M348" s="6" t="n">
        <x:f>IF('Debt strategy'!$C$16&gt;0,0,MIN(I348+J348-K348,MAX(0,'Debt strategy'!$C$5-SUM(E348,K348,Q348,W348,AC348)-SUM(IF(F348&lt;L348,C348+D348-E348,0),IF(R348&lt;L348,O348+P348-Q348,0),IF(X348&lt;L348,U348+V348-W348,0),IF(AD348&lt;L348,AA348+AB348-AC348,0)))))</x:f>
        <x:v>0</x:v>
      </x:c>
      <x:c r="N348" s="6" t="n">
        <x:f>ROUND(MAX(0,I348+J348-K348-M348),2)</x:f>
        <x:v>0</x:v>
      </x:c>
      <x:c r="O348" s="6" t="n">
        <x:f>T347</x:f>
        <x:v>0</x:v>
      </x:c>
      <x:c r="P348" s="6" t="n">
        <x:f>ROUND(O348*'Debt strategy'!$D$11/12,2)</x:f>
        <x:v>0</x:v>
      </x:c>
      <x:c r="Q348" s="6" t="n">
        <x:f>MIN(O348+P348,'Debt strategy'!$E$11)</x:f>
        <x:v>0</x:v>
      </x:c>
      <x:c r="R348" s="27" t="n">
        <x:f>IF(O348+P348-Q348&lt;=0,99,1+SUM(IF(AND(C348+D348-E348&gt;0,OR(C348+D348-E348&lt;O348+P348-Q348,AND(C348+D348-E348=O348+P348-Q348,0&lt;2))),1,0),IF(AND(I348+J348-K348&gt;0,OR(I348+J348-K348&lt;O348+P348-Q348,AND(I348+J348-K348=O348+P348-Q348,1&lt;2))),1,0),IF(AND(U348+V348-W348&gt;0,OR(U348+V348-W348&lt;O348+P348-Q348,AND(U348+V348-W348=O348+P348-Q348,3&lt;2))),1,0),IF(AND(AA348+AB348-AC348&gt;0,OR(AA348+AB348-AC348&lt;O348+P348-Q348,AND(AA348+AB348-AC348=O348+P348-Q348,4&lt;2))),1,0)))</x:f>
        <x:v>99</x:v>
      </x:c>
      <x:c r="S348" s="6" t="n">
        <x:f>IF('Debt strategy'!$C$16&gt;0,0,MIN(O348+P348-Q348,MAX(0,'Debt strategy'!$C$5-SUM(E348,K348,Q348,W348,AC348)-SUM(IF(F348&lt;R348,C348+D348-E348,0),IF(L348&lt;R348,I348+J348-K348,0),IF(X348&lt;R348,U348+V348-W348,0),IF(AD348&lt;R348,AA348+AB348-AC348,0)))))</x:f>
        <x:v>0</x:v>
      </x:c>
      <x:c r="T348" s="6" t="n">
        <x:f>ROUND(MAX(0,O348+P348-Q348-S348),2)</x:f>
        <x:v>0</x:v>
      </x:c>
      <x:c r="U348" s="6" t="n">
        <x:f>Z347</x:f>
        <x:v>0</x:v>
      </x:c>
      <x:c r="V348" s="6" t="n">
        <x:f>ROUND(U348*'Debt strategy'!$D$12/12,2)</x:f>
        <x:v>0</x:v>
      </x:c>
      <x:c r="W348" s="6" t="n">
        <x:f>MIN(U348+V348,'Debt strategy'!$E$12)</x:f>
        <x:v>0</x:v>
      </x:c>
      <x:c r="X348" s="27" t="n">
        <x:f>IF(U348+V348-W348&lt;=0,99,1+SUM(IF(AND(C348+D348-E348&gt;0,OR(C348+D348-E348&lt;U348+V348-W348,AND(C348+D348-E348=U348+V348-W348,0&lt;3))),1,0),IF(AND(I348+J348-K348&gt;0,OR(I348+J348-K348&lt;U348+V348-W348,AND(I348+J348-K348=U348+V348-W348,1&lt;3))),1,0),IF(AND(O348+P348-Q348&gt;0,OR(O348+P348-Q348&lt;U348+V348-W348,AND(O348+P348-Q348=U348+V348-W348,2&lt;3))),1,0),IF(AND(AA348+AB348-AC348&gt;0,OR(AA348+AB348-AC348&lt;U348+V348-W348,AND(AA348+AB348-AC348=U348+V348-W348,4&lt;3))),1,0)))</x:f>
        <x:v>99</x:v>
      </x:c>
      <x:c r="Y348" s="6" t="n">
        <x:f>IF('Debt strategy'!$C$16&gt;0,0,MIN(U348+V348-W348,MAX(0,'Debt strategy'!$C$5-SUM(E348,K348,Q348,W348,AC348)-SUM(IF(F348&lt;X348,C348+D348-E348,0),IF(L348&lt;X348,I348+J348-K348,0),IF(R348&lt;X348,O348+P348-Q348,0),IF(AD348&lt;X348,AA348+AB348-AC348,0)))))</x:f>
        <x:v>0</x:v>
      </x:c>
      <x:c r="Z348" s="6" t="n">
        <x:f>ROUND(MAX(0,U348+V348-W348-Y348),2)</x:f>
        <x:v>0</x:v>
      </x:c>
      <x:c r="AA348" s="6" t="n">
        <x:f>AF347</x:f>
        <x:v>0</x:v>
      </x:c>
      <x:c r="AB348" s="6" t="n">
        <x:f>ROUND(AA348*'Debt strategy'!$D$13/12,2)</x:f>
        <x:v>0</x:v>
      </x:c>
      <x:c r="AC348" s="6" t="n">
        <x:f>MIN(AA348+AB348,'Debt strategy'!$E$13)</x:f>
        <x:v>0</x:v>
      </x:c>
      <x:c r="AD348" s="27" t="n">
        <x:f>IF(AA348+AB348-AC348&lt;=0,99,1+SUM(IF(AND(C348+D348-E348&gt;0,OR(C348+D348-E348&lt;AA348+AB348-AC348,AND(C348+D348-E348=AA348+AB348-AC348,0&lt;4))),1,0),IF(AND(I348+J348-K348&gt;0,OR(I348+J348-K348&lt;AA348+AB348-AC348,AND(I348+J348-K348=AA348+AB348-AC348,1&lt;4))),1,0),IF(AND(O348+P348-Q348&gt;0,OR(O348+P348-Q348&lt;AA348+AB348-AC348,AND(O348+P348-Q348=AA348+AB348-AC348,2&lt;4))),1,0),IF(AND(U348+V348-W348&gt;0,OR(U348+V348-W348&lt;AA348+AB348-AC348,AND(U348+V348-W348=AA348+AB348-AC348,3&lt;4))),1,0)))</x:f>
        <x:v>99</x:v>
      </x:c>
      <x:c r="AE348" s="6" t="n">
        <x:f>IF('Debt strategy'!$C$16&gt;0,0,MIN(AA348+AB348-AC348,MAX(0,'Debt strategy'!$C$5-SUM(E348,K348,Q348,W348,AC348)-SUM(IF(F348&lt;AD348,C348+D348-E348,0),IF(L348&lt;AD348,I348+J348-K348,0),IF(R348&lt;AD348,O348+P348-Q348,0),IF(X348&lt;AD348,U348+V348-W348,0)))))</x:f>
        <x:v>0</x:v>
      </x:c>
      <x:c r="AF348" s="6" t="n">
        <x:f>ROUND(MAX(0,AA348+AB348-AC348-AE348),2)</x:f>
        <x:v>0</x:v>
      </x:c>
      <x:c r="AG348" s="6" t="n">
        <x:f>SUM(H348,N348,T348,Z348,AF348)</x:f>
        <x:v>0</x:v>
      </x:c>
      <x:c r="AH348" s="6" t="n">
        <x:f>SUM(D348,J348,P348,V348,AB348)+AH347</x:f>
        <x:v>1353.9499999999996</x:v>
      </x:c>
      <x:c r="AI348" s="2"/>
    </x:row>
    <x:row r="349" ht="23" customHeight="1">
      <x:c r="B349" s="2" t="n">
        <x:f>341</x:f>
        <x:v>341</x:v>
      </x:c>
      <x:c r="C349" s="6" t="n">
        <x:f>H348</x:f>
        <x:v>0</x:v>
      </x:c>
      <x:c r="D349" s="6" t="n">
        <x:f>ROUND(C349*'Debt strategy'!$D$9/12,2)</x:f>
        <x:v>0</x:v>
      </x:c>
      <x:c r="E349" s="6" t="n">
        <x:f>MIN(C349+D349,'Debt strategy'!$E$9)</x:f>
        <x:v>0</x:v>
      </x:c>
      <x:c r="F349" s="27" t="n">
        <x:f>IF(C349+D349-E349&lt;=0,99,1+SUM(IF(AND(I349+J349-K349&gt;0,OR(I349+J349-K349&lt;C349+D349-E349,AND(I349+J349-K349=C349+D349-E349,1&lt;0))),1,0),IF(AND(O349+P349-Q349&gt;0,OR(O349+P349-Q349&lt;C349+D349-E349,AND(O349+P349-Q349=C349+D349-E349,2&lt;0))),1,0),IF(AND(U349+V349-W349&gt;0,OR(U349+V349-W349&lt;C349+D349-E349,AND(U349+V349-W349=C349+D349-E349,3&lt;0))),1,0),IF(AND(AA349+AB349-AC349&gt;0,OR(AA349+AB349-AC349&lt;C349+D349-E349,AND(AA349+AB349-AC349=C349+D349-E349,4&lt;0))),1,0)))</x:f>
        <x:v>99</x:v>
      </x:c>
      <x:c r="G349" s="6" t="n">
        <x:f>IF('Debt strategy'!$C$16&gt;0,0,MIN(C349+D349-E349,MAX(0,'Debt strategy'!$C$5-SUM(E349,K349,Q349,W349,AC349)-SUM(IF(L349&lt;F349,I349+J349-K349,0),IF(R349&lt;F349,O349+P349-Q349,0),IF(X349&lt;F349,U349+V349-W349,0),IF(AD349&lt;F349,AA349+AB349-AC349,0)))))</x:f>
        <x:v>0</x:v>
      </x:c>
      <x:c r="H349" s="6" t="n">
        <x:f>ROUND(MAX(0,C349+D349-E349-G349),2)</x:f>
        <x:v>0</x:v>
      </x:c>
      <x:c r="I349" s="6" t="n">
        <x:f>N348</x:f>
        <x:v>0</x:v>
      </x:c>
      <x:c r="J349" s="6" t="n">
        <x:f>ROUND(I349*'Debt strategy'!$D$10/12,2)</x:f>
        <x:v>0</x:v>
      </x:c>
      <x:c r="K349" s="6" t="n">
        <x:f>MIN(I349+J349,'Debt strategy'!$E$10)</x:f>
        <x:v>0</x:v>
      </x:c>
      <x:c r="L349" s="27" t="n">
        <x:f>IF(I349+J349-K349&lt;=0,99,1+SUM(IF(AND(C349+D349-E349&gt;0,OR(C349+D349-E349&lt;I349+J349-K349,AND(C349+D349-E349=I349+J349-K349,0&lt;1))),1,0),IF(AND(O349+P349-Q349&gt;0,OR(O349+P349-Q349&lt;I349+J349-K349,AND(O349+P349-Q349=I349+J349-K349,2&lt;1))),1,0),IF(AND(U349+V349-W349&gt;0,OR(U349+V349-W349&lt;I349+J349-K349,AND(U349+V349-W349=I349+J349-K349,3&lt;1))),1,0),IF(AND(AA349+AB349-AC349&gt;0,OR(AA349+AB349-AC349&lt;I349+J349-K349,AND(AA349+AB349-AC349=I349+J349-K349,4&lt;1))),1,0)))</x:f>
        <x:v>99</x:v>
      </x:c>
      <x:c r="M349" s="6" t="n">
        <x:f>IF('Debt strategy'!$C$16&gt;0,0,MIN(I349+J349-K349,MAX(0,'Debt strategy'!$C$5-SUM(E349,K349,Q349,W349,AC349)-SUM(IF(F349&lt;L349,C349+D349-E349,0),IF(R349&lt;L349,O349+P349-Q349,0),IF(X349&lt;L349,U349+V349-W349,0),IF(AD349&lt;L349,AA349+AB349-AC349,0)))))</x:f>
        <x:v>0</x:v>
      </x:c>
      <x:c r="N349" s="6" t="n">
        <x:f>ROUND(MAX(0,I349+J349-K349-M349),2)</x:f>
        <x:v>0</x:v>
      </x:c>
      <x:c r="O349" s="6" t="n">
        <x:f>T348</x:f>
        <x:v>0</x:v>
      </x:c>
      <x:c r="P349" s="6" t="n">
        <x:f>ROUND(O349*'Debt strategy'!$D$11/12,2)</x:f>
        <x:v>0</x:v>
      </x:c>
      <x:c r="Q349" s="6" t="n">
        <x:f>MIN(O349+P349,'Debt strategy'!$E$11)</x:f>
        <x:v>0</x:v>
      </x:c>
      <x:c r="R349" s="27" t="n">
        <x:f>IF(O349+P349-Q349&lt;=0,99,1+SUM(IF(AND(C349+D349-E349&gt;0,OR(C349+D349-E349&lt;O349+P349-Q349,AND(C349+D349-E349=O349+P349-Q349,0&lt;2))),1,0),IF(AND(I349+J349-K349&gt;0,OR(I349+J349-K349&lt;O349+P349-Q349,AND(I349+J349-K349=O349+P349-Q349,1&lt;2))),1,0),IF(AND(U349+V349-W349&gt;0,OR(U349+V349-W349&lt;O349+P349-Q349,AND(U349+V349-W349=O349+P349-Q349,3&lt;2))),1,0),IF(AND(AA349+AB349-AC349&gt;0,OR(AA349+AB349-AC349&lt;O349+P349-Q349,AND(AA349+AB349-AC349=O349+P349-Q349,4&lt;2))),1,0)))</x:f>
        <x:v>99</x:v>
      </x:c>
      <x:c r="S349" s="6" t="n">
        <x:f>IF('Debt strategy'!$C$16&gt;0,0,MIN(O349+P349-Q349,MAX(0,'Debt strategy'!$C$5-SUM(E349,K349,Q349,W349,AC349)-SUM(IF(F349&lt;R349,C349+D349-E349,0),IF(L349&lt;R349,I349+J349-K349,0),IF(X349&lt;R349,U349+V349-W349,0),IF(AD349&lt;R349,AA349+AB349-AC349,0)))))</x:f>
        <x:v>0</x:v>
      </x:c>
      <x:c r="T349" s="6" t="n">
        <x:f>ROUND(MAX(0,O349+P349-Q349-S349),2)</x:f>
        <x:v>0</x:v>
      </x:c>
      <x:c r="U349" s="6" t="n">
        <x:f>Z348</x:f>
        <x:v>0</x:v>
      </x:c>
      <x:c r="V349" s="6" t="n">
        <x:f>ROUND(U349*'Debt strategy'!$D$12/12,2)</x:f>
        <x:v>0</x:v>
      </x:c>
      <x:c r="W349" s="6" t="n">
        <x:f>MIN(U349+V349,'Debt strategy'!$E$12)</x:f>
        <x:v>0</x:v>
      </x:c>
      <x:c r="X349" s="27" t="n">
        <x:f>IF(U349+V349-W349&lt;=0,99,1+SUM(IF(AND(C349+D349-E349&gt;0,OR(C349+D349-E349&lt;U349+V349-W349,AND(C349+D349-E349=U349+V349-W349,0&lt;3))),1,0),IF(AND(I349+J349-K349&gt;0,OR(I349+J349-K349&lt;U349+V349-W349,AND(I349+J349-K349=U349+V349-W349,1&lt;3))),1,0),IF(AND(O349+P349-Q349&gt;0,OR(O349+P349-Q349&lt;U349+V349-W349,AND(O349+P349-Q349=U349+V349-W349,2&lt;3))),1,0),IF(AND(AA349+AB349-AC349&gt;0,OR(AA349+AB349-AC349&lt;U349+V349-W349,AND(AA349+AB349-AC349=U349+V349-W349,4&lt;3))),1,0)))</x:f>
        <x:v>99</x:v>
      </x:c>
      <x:c r="Y349" s="6" t="n">
        <x:f>IF('Debt strategy'!$C$16&gt;0,0,MIN(U349+V349-W349,MAX(0,'Debt strategy'!$C$5-SUM(E349,K349,Q349,W349,AC349)-SUM(IF(F349&lt;X349,C349+D349-E349,0),IF(L349&lt;X349,I349+J349-K349,0),IF(R349&lt;X349,O349+P349-Q349,0),IF(AD349&lt;X349,AA349+AB349-AC349,0)))))</x:f>
        <x:v>0</x:v>
      </x:c>
      <x:c r="Z349" s="6" t="n">
        <x:f>ROUND(MAX(0,U349+V349-W349-Y349),2)</x:f>
        <x:v>0</x:v>
      </x:c>
      <x:c r="AA349" s="6" t="n">
        <x:f>AF348</x:f>
        <x:v>0</x:v>
      </x:c>
      <x:c r="AB349" s="6" t="n">
        <x:f>ROUND(AA349*'Debt strategy'!$D$13/12,2)</x:f>
        <x:v>0</x:v>
      </x:c>
      <x:c r="AC349" s="6" t="n">
        <x:f>MIN(AA349+AB349,'Debt strategy'!$E$13)</x:f>
        <x:v>0</x:v>
      </x:c>
      <x:c r="AD349" s="27" t="n">
        <x:f>IF(AA349+AB349-AC349&lt;=0,99,1+SUM(IF(AND(C349+D349-E349&gt;0,OR(C349+D349-E349&lt;AA349+AB349-AC349,AND(C349+D349-E349=AA349+AB349-AC349,0&lt;4))),1,0),IF(AND(I349+J349-K349&gt;0,OR(I349+J349-K349&lt;AA349+AB349-AC349,AND(I349+J349-K349=AA349+AB349-AC349,1&lt;4))),1,0),IF(AND(O349+P349-Q349&gt;0,OR(O349+P349-Q349&lt;AA349+AB349-AC349,AND(O349+P349-Q349=AA349+AB349-AC349,2&lt;4))),1,0),IF(AND(U349+V349-W349&gt;0,OR(U349+V349-W349&lt;AA349+AB349-AC349,AND(U349+V349-W349=AA349+AB349-AC349,3&lt;4))),1,0)))</x:f>
        <x:v>99</x:v>
      </x:c>
      <x:c r="AE349" s="6" t="n">
        <x:f>IF('Debt strategy'!$C$16&gt;0,0,MIN(AA349+AB349-AC349,MAX(0,'Debt strategy'!$C$5-SUM(E349,K349,Q349,W349,AC349)-SUM(IF(F349&lt;AD349,C349+D349-E349,0),IF(L349&lt;AD349,I349+J349-K349,0),IF(R349&lt;AD349,O349+P349-Q349,0),IF(X349&lt;AD349,U349+V349-W349,0)))))</x:f>
        <x:v>0</x:v>
      </x:c>
      <x:c r="AF349" s="6" t="n">
        <x:f>ROUND(MAX(0,AA349+AB349-AC349-AE349),2)</x:f>
        <x:v>0</x:v>
      </x:c>
      <x:c r="AG349" s="6" t="n">
        <x:f>SUM(H349,N349,T349,Z349,AF349)</x:f>
        <x:v>0</x:v>
      </x:c>
      <x:c r="AH349" s="6" t="n">
        <x:f>SUM(D349,J349,P349,V349,AB349)+AH348</x:f>
        <x:v>1353.9499999999996</x:v>
      </x:c>
      <x:c r="AI349" s="2"/>
    </x:row>
    <x:row r="350" ht="23" customHeight="1">
      <x:c r="B350" s="2" t="n">
        <x:f>342</x:f>
        <x:v>342</x:v>
      </x:c>
      <x:c r="C350" s="6" t="n">
        <x:f>H349</x:f>
        <x:v>0</x:v>
      </x:c>
      <x:c r="D350" s="6" t="n">
        <x:f>ROUND(C350*'Debt strategy'!$D$9/12,2)</x:f>
        <x:v>0</x:v>
      </x:c>
      <x:c r="E350" s="6" t="n">
        <x:f>MIN(C350+D350,'Debt strategy'!$E$9)</x:f>
        <x:v>0</x:v>
      </x:c>
      <x:c r="F350" s="27" t="n">
        <x:f>IF(C350+D350-E350&lt;=0,99,1+SUM(IF(AND(I350+J350-K350&gt;0,OR(I350+J350-K350&lt;C350+D350-E350,AND(I350+J350-K350=C350+D350-E350,1&lt;0))),1,0),IF(AND(O350+P350-Q350&gt;0,OR(O350+P350-Q350&lt;C350+D350-E350,AND(O350+P350-Q350=C350+D350-E350,2&lt;0))),1,0),IF(AND(U350+V350-W350&gt;0,OR(U350+V350-W350&lt;C350+D350-E350,AND(U350+V350-W350=C350+D350-E350,3&lt;0))),1,0),IF(AND(AA350+AB350-AC350&gt;0,OR(AA350+AB350-AC350&lt;C350+D350-E350,AND(AA350+AB350-AC350=C350+D350-E350,4&lt;0))),1,0)))</x:f>
        <x:v>99</x:v>
      </x:c>
      <x:c r="G350" s="6" t="n">
        <x:f>IF('Debt strategy'!$C$16&gt;0,0,MIN(C350+D350-E350,MAX(0,'Debt strategy'!$C$5-SUM(E350,K350,Q350,W350,AC350)-SUM(IF(L350&lt;F350,I350+J350-K350,0),IF(R350&lt;F350,O350+P350-Q350,0),IF(X350&lt;F350,U350+V350-W350,0),IF(AD350&lt;F350,AA350+AB350-AC350,0)))))</x:f>
        <x:v>0</x:v>
      </x:c>
      <x:c r="H350" s="6" t="n">
        <x:f>ROUND(MAX(0,C350+D350-E350-G350),2)</x:f>
        <x:v>0</x:v>
      </x:c>
      <x:c r="I350" s="6" t="n">
        <x:f>N349</x:f>
        <x:v>0</x:v>
      </x:c>
      <x:c r="J350" s="6" t="n">
        <x:f>ROUND(I350*'Debt strategy'!$D$10/12,2)</x:f>
        <x:v>0</x:v>
      </x:c>
      <x:c r="K350" s="6" t="n">
        <x:f>MIN(I350+J350,'Debt strategy'!$E$10)</x:f>
        <x:v>0</x:v>
      </x:c>
      <x:c r="L350" s="27" t="n">
        <x:f>IF(I350+J350-K350&lt;=0,99,1+SUM(IF(AND(C350+D350-E350&gt;0,OR(C350+D350-E350&lt;I350+J350-K350,AND(C350+D350-E350=I350+J350-K350,0&lt;1))),1,0),IF(AND(O350+P350-Q350&gt;0,OR(O350+P350-Q350&lt;I350+J350-K350,AND(O350+P350-Q350=I350+J350-K350,2&lt;1))),1,0),IF(AND(U350+V350-W350&gt;0,OR(U350+V350-W350&lt;I350+J350-K350,AND(U350+V350-W350=I350+J350-K350,3&lt;1))),1,0),IF(AND(AA350+AB350-AC350&gt;0,OR(AA350+AB350-AC350&lt;I350+J350-K350,AND(AA350+AB350-AC350=I350+J350-K350,4&lt;1))),1,0)))</x:f>
        <x:v>99</x:v>
      </x:c>
      <x:c r="M350" s="6" t="n">
        <x:f>IF('Debt strategy'!$C$16&gt;0,0,MIN(I350+J350-K350,MAX(0,'Debt strategy'!$C$5-SUM(E350,K350,Q350,W350,AC350)-SUM(IF(F350&lt;L350,C350+D350-E350,0),IF(R350&lt;L350,O350+P350-Q350,0),IF(X350&lt;L350,U350+V350-W350,0),IF(AD350&lt;L350,AA350+AB350-AC350,0)))))</x:f>
        <x:v>0</x:v>
      </x:c>
      <x:c r="N350" s="6" t="n">
        <x:f>ROUND(MAX(0,I350+J350-K350-M350),2)</x:f>
        <x:v>0</x:v>
      </x:c>
      <x:c r="O350" s="6" t="n">
        <x:f>T349</x:f>
        <x:v>0</x:v>
      </x:c>
      <x:c r="P350" s="6" t="n">
        <x:f>ROUND(O350*'Debt strategy'!$D$11/12,2)</x:f>
        <x:v>0</x:v>
      </x:c>
      <x:c r="Q350" s="6" t="n">
        <x:f>MIN(O350+P350,'Debt strategy'!$E$11)</x:f>
        <x:v>0</x:v>
      </x:c>
      <x:c r="R350" s="27" t="n">
        <x:f>IF(O350+P350-Q350&lt;=0,99,1+SUM(IF(AND(C350+D350-E350&gt;0,OR(C350+D350-E350&lt;O350+P350-Q350,AND(C350+D350-E350=O350+P350-Q350,0&lt;2))),1,0),IF(AND(I350+J350-K350&gt;0,OR(I350+J350-K350&lt;O350+P350-Q350,AND(I350+J350-K350=O350+P350-Q350,1&lt;2))),1,0),IF(AND(U350+V350-W350&gt;0,OR(U350+V350-W350&lt;O350+P350-Q350,AND(U350+V350-W350=O350+P350-Q350,3&lt;2))),1,0),IF(AND(AA350+AB350-AC350&gt;0,OR(AA350+AB350-AC350&lt;O350+P350-Q350,AND(AA350+AB350-AC350=O350+P350-Q350,4&lt;2))),1,0)))</x:f>
        <x:v>99</x:v>
      </x:c>
      <x:c r="S350" s="6" t="n">
        <x:f>IF('Debt strategy'!$C$16&gt;0,0,MIN(O350+P350-Q350,MAX(0,'Debt strategy'!$C$5-SUM(E350,K350,Q350,W350,AC350)-SUM(IF(F350&lt;R350,C350+D350-E350,0),IF(L350&lt;R350,I350+J350-K350,0),IF(X350&lt;R350,U350+V350-W350,0),IF(AD350&lt;R350,AA350+AB350-AC350,0)))))</x:f>
        <x:v>0</x:v>
      </x:c>
      <x:c r="T350" s="6" t="n">
        <x:f>ROUND(MAX(0,O350+P350-Q350-S350),2)</x:f>
        <x:v>0</x:v>
      </x:c>
      <x:c r="U350" s="6" t="n">
        <x:f>Z349</x:f>
        <x:v>0</x:v>
      </x:c>
      <x:c r="V350" s="6" t="n">
        <x:f>ROUND(U350*'Debt strategy'!$D$12/12,2)</x:f>
        <x:v>0</x:v>
      </x:c>
      <x:c r="W350" s="6" t="n">
        <x:f>MIN(U350+V350,'Debt strategy'!$E$12)</x:f>
        <x:v>0</x:v>
      </x:c>
      <x:c r="X350" s="27" t="n">
        <x:f>IF(U350+V350-W350&lt;=0,99,1+SUM(IF(AND(C350+D350-E350&gt;0,OR(C350+D350-E350&lt;U350+V350-W350,AND(C350+D350-E350=U350+V350-W350,0&lt;3))),1,0),IF(AND(I350+J350-K350&gt;0,OR(I350+J350-K350&lt;U350+V350-W350,AND(I350+J350-K350=U350+V350-W350,1&lt;3))),1,0),IF(AND(O350+P350-Q350&gt;0,OR(O350+P350-Q350&lt;U350+V350-W350,AND(O350+P350-Q350=U350+V350-W350,2&lt;3))),1,0),IF(AND(AA350+AB350-AC350&gt;0,OR(AA350+AB350-AC350&lt;U350+V350-W350,AND(AA350+AB350-AC350=U350+V350-W350,4&lt;3))),1,0)))</x:f>
        <x:v>99</x:v>
      </x:c>
      <x:c r="Y350" s="6" t="n">
        <x:f>IF('Debt strategy'!$C$16&gt;0,0,MIN(U350+V350-W350,MAX(0,'Debt strategy'!$C$5-SUM(E350,K350,Q350,W350,AC350)-SUM(IF(F350&lt;X350,C350+D350-E350,0),IF(L350&lt;X350,I350+J350-K350,0),IF(R350&lt;X350,O350+P350-Q350,0),IF(AD350&lt;X350,AA350+AB350-AC350,0)))))</x:f>
        <x:v>0</x:v>
      </x:c>
      <x:c r="Z350" s="6" t="n">
        <x:f>ROUND(MAX(0,U350+V350-W350-Y350),2)</x:f>
        <x:v>0</x:v>
      </x:c>
      <x:c r="AA350" s="6" t="n">
        <x:f>AF349</x:f>
        <x:v>0</x:v>
      </x:c>
      <x:c r="AB350" s="6" t="n">
        <x:f>ROUND(AA350*'Debt strategy'!$D$13/12,2)</x:f>
        <x:v>0</x:v>
      </x:c>
      <x:c r="AC350" s="6" t="n">
        <x:f>MIN(AA350+AB350,'Debt strategy'!$E$13)</x:f>
        <x:v>0</x:v>
      </x:c>
      <x:c r="AD350" s="27" t="n">
        <x:f>IF(AA350+AB350-AC350&lt;=0,99,1+SUM(IF(AND(C350+D350-E350&gt;0,OR(C350+D350-E350&lt;AA350+AB350-AC350,AND(C350+D350-E350=AA350+AB350-AC350,0&lt;4))),1,0),IF(AND(I350+J350-K350&gt;0,OR(I350+J350-K350&lt;AA350+AB350-AC350,AND(I350+J350-K350=AA350+AB350-AC350,1&lt;4))),1,0),IF(AND(O350+P350-Q350&gt;0,OR(O350+P350-Q350&lt;AA350+AB350-AC350,AND(O350+P350-Q350=AA350+AB350-AC350,2&lt;4))),1,0),IF(AND(U350+V350-W350&gt;0,OR(U350+V350-W350&lt;AA350+AB350-AC350,AND(U350+V350-W350=AA350+AB350-AC350,3&lt;4))),1,0)))</x:f>
        <x:v>99</x:v>
      </x:c>
      <x:c r="AE350" s="6" t="n">
        <x:f>IF('Debt strategy'!$C$16&gt;0,0,MIN(AA350+AB350-AC350,MAX(0,'Debt strategy'!$C$5-SUM(E350,K350,Q350,W350,AC350)-SUM(IF(F350&lt;AD350,C350+D350-E350,0),IF(L350&lt;AD350,I350+J350-K350,0),IF(R350&lt;AD350,O350+P350-Q350,0),IF(X350&lt;AD350,U350+V350-W350,0)))))</x:f>
        <x:v>0</x:v>
      </x:c>
      <x:c r="AF350" s="6" t="n">
        <x:f>ROUND(MAX(0,AA350+AB350-AC350-AE350),2)</x:f>
        <x:v>0</x:v>
      </x:c>
      <x:c r="AG350" s="6" t="n">
        <x:f>SUM(H350,N350,T350,Z350,AF350)</x:f>
        <x:v>0</x:v>
      </x:c>
      <x:c r="AH350" s="6" t="n">
        <x:f>SUM(D350,J350,P350,V350,AB350)+AH349</x:f>
        <x:v>1353.9499999999996</x:v>
      </x:c>
      <x:c r="AI350" s="2"/>
    </x:row>
    <x:row r="351" ht="23" customHeight="1">
      <x:c r="B351" s="2" t="n">
        <x:f>343</x:f>
        <x:v>343</x:v>
      </x:c>
      <x:c r="C351" s="6" t="n">
        <x:f>H350</x:f>
        <x:v>0</x:v>
      </x:c>
      <x:c r="D351" s="6" t="n">
        <x:f>ROUND(C351*'Debt strategy'!$D$9/12,2)</x:f>
        <x:v>0</x:v>
      </x:c>
      <x:c r="E351" s="6" t="n">
        <x:f>MIN(C351+D351,'Debt strategy'!$E$9)</x:f>
        <x:v>0</x:v>
      </x:c>
      <x:c r="F351" s="27" t="n">
        <x:f>IF(C351+D351-E351&lt;=0,99,1+SUM(IF(AND(I351+J351-K351&gt;0,OR(I351+J351-K351&lt;C351+D351-E351,AND(I351+J351-K351=C351+D351-E351,1&lt;0))),1,0),IF(AND(O351+P351-Q351&gt;0,OR(O351+P351-Q351&lt;C351+D351-E351,AND(O351+P351-Q351=C351+D351-E351,2&lt;0))),1,0),IF(AND(U351+V351-W351&gt;0,OR(U351+V351-W351&lt;C351+D351-E351,AND(U351+V351-W351=C351+D351-E351,3&lt;0))),1,0),IF(AND(AA351+AB351-AC351&gt;0,OR(AA351+AB351-AC351&lt;C351+D351-E351,AND(AA351+AB351-AC351=C351+D351-E351,4&lt;0))),1,0)))</x:f>
        <x:v>99</x:v>
      </x:c>
      <x:c r="G351" s="6" t="n">
        <x:f>IF('Debt strategy'!$C$16&gt;0,0,MIN(C351+D351-E351,MAX(0,'Debt strategy'!$C$5-SUM(E351,K351,Q351,W351,AC351)-SUM(IF(L351&lt;F351,I351+J351-K351,0),IF(R351&lt;F351,O351+P351-Q351,0),IF(X351&lt;F351,U351+V351-W351,0),IF(AD351&lt;F351,AA351+AB351-AC351,0)))))</x:f>
        <x:v>0</x:v>
      </x:c>
      <x:c r="H351" s="6" t="n">
        <x:f>ROUND(MAX(0,C351+D351-E351-G351),2)</x:f>
        <x:v>0</x:v>
      </x:c>
      <x:c r="I351" s="6" t="n">
        <x:f>N350</x:f>
        <x:v>0</x:v>
      </x:c>
      <x:c r="J351" s="6" t="n">
        <x:f>ROUND(I351*'Debt strategy'!$D$10/12,2)</x:f>
        <x:v>0</x:v>
      </x:c>
      <x:c r="K351" s="6" t="n">
        <x:f>MIN(I351+J351,'Debt strategy'!$E$10)</x:f>
        <x:v>0</x:v>
      </x:c>
      <x:c r="L351" s="27" t="n">
        <x:f>IF(I351+J351-K351&lt;=0,99,1+SUM(IF(AND(C351+D351-E351&gt;0,OR(C351+D351-E351&lt;I351+J351-K351,AND(C351+D351-E351=I351+J351-K351,0&lt;1))),1,0),IF(AND(O351+P351-Q351&gt;0,OR(O351+P351-Q351&lt;I351+J351-K351,AND(O351+P351-Q351=I351+J351-K351,2&lt;1))),1,0),IF(AND(U351+V351-W351&gt;0,OR(U351+V351-W351&lt;I351+J351-K351,AND(U351+V351-W351=I351+J351-K351,3&lt;1))),1,0),IF(AND(AA351+AB351-AC351&gt;0,OR(AA351+AB351-AC351&lt;I351+J351-K351,AND(AA351+AB351-AC351=I351+J351-K351,4&lt;1))),1,0)))</x:f>
        <x:v>99</x:v>
      </x:c>
      <x:c r="M351" s="6" t="n">
        <x:f>IF('Debt strategy'!$C$16&gt;0,0,MIN(I351+J351-K351,MAX(0,'Debt strategy'!$C$5-SUM(E351,K351,Q351,W351,AC351)-SUM(IF(F351&lt;L351,C351+D351-E351,0),IF(R351&lt;L351,O351+P351-Q351,0),IF(X351&lt;L351,U351+V351-W351,0),IF(AD351&lt;L351,AA351+AB351-AC351,0)))))</x:f>
        <x:v>0</x:v>
      </x:c>
      <x:c r="N351" s="6" t="n">
        <x:f>ROUND(MAX(0,I351+J351-K351-M351),2)</x:f>
        <x:v>0</x:v>
      </x:c>
      <x:c r="O351" s="6" t="n">
        <x:f>T350</x:f>
        <x:v>0</x:v>
      </x:c>
      <x:c r="P351" s="6" t="n">
        <x:f>ROUND(O351*'Debt strategy'!$D$11/12,2)</x:f>
        <x:v>0</x:v>
      </x:c>
      <x:c r="Q351" s="6" t="n">
        <x:f>MIN(O351+P351,'Debt strategy'!$E$11)</x:f>
        <x:v>0</x:v>
      </x:c>
      <x:c r="R351" s="27" t="n">
        <x:f>IF(O351+P351-Q351&lt;=0,99,1+SUM(IF(AND(C351+D351-E351&gt;0,OR(C351+D351-E351&lt;O351+P351-Q351,AND(C351+D351-E351=O351+P351-Q351,0&lt;2))),1,0),IF(AND(I351+J351-K351&gt;0,OR(I351+J351-K351&lt;O351+P351-Q351,AND(I351+J351-K351=O351+P351-Q351,1&lt;2))),1,0),IF(AND(U351+V351-W351&gt;0,OR(U351+V351-W351&lt;O351+P351-Q351,AND(U351+V351-W351=O351+P351-Q351,3&lt;2))),1,0),IF(AND(AA351+AB351-AC351&gt;0,OR(AA351+AB351-AC351&lt;O351+P351-Q351,AND(AA351+AB351-AC351=O351+P351-Q351,4&lt;2))),1,0)))</x:f>
        <x:v>99</x:v>
      </x:c>
      <x:c r="S351" s="6" t="n">
        <x:f>IF('Debt strategy'!$C$16&gt;0,0,MIN(O351+P351-Q351,MAX(0,'Debt strategy'!$C$5-SUM(E351,K351,Q351,W351,AC351)-SUM(IF(F351&lt;R351,C351+D351-E351,0),IF(L351&lt;R351,I351+J351-K351,0),IF(X351&lt;R351,U351+V351-W351,0),IF(AD351&lt;R351,AA351+AB351-AC351,0)))))</x:f>
        <x:v>0</x:v>
      </x:c>
      <x:c r="T351" s="6" t="n">
        <x:f>ROUND(MAX(0,O351+P351-Q351-S351),2)</x:f>
        <x:v>0</x:v>
      </x:c>
      <x:c r="U351" s="6" t="n">
        <x:f>Z350</x:f>
        <x:v>0</x:v>
      </x:c>
      <x:c r="V351" s="6" t="n">
        <x:f>ROUND(U351*'Debt strategy'!$D$12/12,2)</x:f>
        <x:v>0</x:v>
      </x:c>
      <x:c r="W351" s="6" t="n">
        <x:f>MIN(U351+V351,'Debt strategy'!$E$12)</x:f>
        <x:v>0</x:v>
      </x:c>
      <x:c r="X351" s="27" t="n">
        <x:f>IF(U351+V351-W351&lt;=0,99,1+SUM(IF(AND(C351+D351-E351&gt;0,OR(C351+D351-E351&lt;U351+V351-W351,AND(C351+D351-E351=U351+V351-W351,0&lt;3))),1,0),IF(AND(I351+J351-K351&gt;0,OR(I351+J351-K351&lt;U351+V351-W351,AND(I351+J351-K351=U351+V351-W351,1&lt;3))),1,0),IF(AND(O351+P351-Q351&gt;0,OR(O351+P351-Q351&lt;U351+V351-W351,AND(O351+P351-Q351=U351+V351-W351,2&lt;3))),1,0),IF(AND(AA351+AB351-AC351&gt;0,OR(AA351+AB351-AC351&lt;U351+V351-W351,AND(AA351+AB351-AC351=U351+V351-W351,4&lt;3))),1,0)))</x:f>
        <x:v>99</x:v>
      </x:c>
      <x:c r="Y351" s="6" t="n">
        <x:f>IF('Debt strategy'!$C$16&gt;0,0,MIN(U351+V351-W351,MAX(0,'Debt strategy'!$C$5-SUM(E351,K351,Q351,W351,AC351)-SUM(IF(F351&lt;X351,C351+D351-E351,0),IF(L351&lt;X351,I351+J351-K351,0),IF(R351&lt;X351,O351+P351-Q351,0),IF(AD351&lt;X351,AA351+AB351-AC351,0)))))</x:f>
        <x:v>0</x:v>
      </x:c>
      <x:c r="Z351" s="6" t="n">
        <x:f>ROUND(MAX(0,U351+V351-W351-Y351),2)</x:f>
        <x:v>0</x:v>
      </x:c>
      <x:c r="AA351" s="6" t="n">
        <x:f>AF350</x:f>
        <x:v>0</x:v>
      </x:c>
      <x:c r="AB351" s="6" t="n">
        <x:f>ROUND(AA351*'Debt strategy'!$D$13/12,2)</x:f>
        <x:v>0</x:v>
      </x:c>
      <x:c r="AC351" s="6" t="n">
        <x:f>MIN(AA351+AB351,'Debt strategy'!$E$13)</x:f>
        <x:v>0</x:v>
      </x:c>
      <x:c r="AD351" s="27" t="n">
        <x:f>IF(AA351+AB351-AC351&lt;=0,99,1+SUM(IF(AND(C351+D351-E351&gt;0,OR(C351+D351-E351&lt;AA351+AB351-AC351,AND(C351+D351-E351=AA351+AB351-AC351,0&lt;4))),1,0),IF(AND(I351+J351-K351&gt;0,OR(I351+J351-K351&lt;AA351+AB351-AC351,AND(I351+J351-K351=AA351+AB351-AC351,1&lt;4))),1,0),IF(AND(O351+P351-Q351&gt;0,OR(O351+P351-Q351&lt;AA351+AB351-AC351,AND(O351+P351-Q351=AA351+AB351-AC351,2&lt;4))),1,0),IF(AND(U351+V351-W351&gt;0,OR(U351+V351-W351&lt;AA351+AB351-AC351,AND(U351+V351-W351=AA351+AB351-AC351,3&lt;4))),1,0)))</x:f>
        <x:v>99</x:v>
      </x:c>
      <x:c r="AE351" s="6" t="n">
        <x:f>IF('Debt strategy'!$C$16&gt;0,0,MIN(AA351+AB351-AC351,MAX(0,'Debt strategy'!$C$5-SUM(E351,K351,Q351,W351,AC351)-SUM(IF(F351&lt;AD351,C351+D351-E351,0),IF(L351&lt;AD351,I351+J351-K351,0),IF(R351&lt;AD351,O351+P351-Q351,0),IF(X351&lt;AD351,U351+V351-W351,0)))))</x:f>
        <x:v>0</x:v>
      </x:c>
      <x:c r="AF351" s="6" t="n">
        <x:f>ROUND(MAX(0,AA351+AB351-AC351-AE351),2)</x:f>
        <x:v>0</x:v>
      </x:c>
      <x:c r="AG351" s="6" t="n">
        <x:f>SUM(H351,N351,T351,Z351,AF351)</x:f>
        <x:v>0</x:v>
      </x:c>
      <x:c r="AH351" s="6" t="n">
        <x:f>SUM(D351,J351,P351,V351,AB351)+AH350</x:f>
        <x:v>1353.9499999999996</x:v>
      </x:c>
      <x:c r="AI351" s="2"/>
    </x:row>
    <x:row r="352" ht="23" customHeight="1">
      <x:c r="B352" s="2" t="n">
        <x:f>344</x:f>
        <x:v>344</x:v>
      </x:c>
      <x:c r="C352" s="6" t="n">
        <x:f>H351</x:f>
        <x:v>0</x:v>
      </x:c>
      <x:c r="D352" s="6" t="n">
        <x:f>ROUND(C352*'Debt strategy'!$D$9/12,2)</x:f>
        <x:v>0</x:v>
      </x:c>
      <x:c r="E352" s="6" t="n">
        <x:f>MIN(C352+D352,'Debt strategy'!$E$9)</x:f>
        <x:v>0</x:v>
      </x:c>
      <x:c r="F352" s="27" t="n">
        <x:f>IF(C352+D352-E352&lt;=0,99,1+SUM(IF(AND(I352+J352-K352&gt;0,OR(I352+J352-K352&lt;C352+D352-E352,AND(I352+J352-K352=C352+D352-E352,1&lt;0))),1,0),IF(AND(O352+P352-Q352&gt;0,OR(O352+P352-Q352&lt;C352+D352-E352,AND(O352+P352-Q352=C352+D352-E352,2&lt;0))),1,0),IF(AND(U352+V352-W352&gt;0,OR(U352+V352-W352&lt;C352+D352-E352,AND(U352+V352-W352=C352+D352-E352,3&lt;0))),1,0),IF(AND(AA352+AB352-AC352&gt;0,OR(AA352+AB352-AC352&lt;C352+D352-E352,AND(AA352+AB352-AC352=C352+D352-E352,4&lt;0))),1,0)))</x:f>
        <x:v>99</x:v>
      </x:c>
      <x:c r="G352" s="6" t="n">
        <x:f>IF('Debt strategy'!$C$16&gt;0,0,MIN(C352+D352-E352,MAX(0,'Debt strategy'!$C$5-SUM(E352,K352,Q352,W352,AC352)-SUM(IF(L352&lt;F352,I352+J352-K352,0),IF(R352&lt;F352,O352+P352-Q352,0),IF(X352&lt;F352,U352+V352-W352,0),IF(AD352&lt;F352,AA352+AB352-AC352,0)))))</x:f>
        <x:v>0</x:v>
      </x:c>
      <x:c r="H352" s="6" t="n">
        <x:f>ROUND(MAX(0,C352+D352-E352-G352),2)</x:f>
        <x:v>0</x:v>
      </x:c>
      <x:c r="I352" s="6" t="n">
        <x:f>N351</x:f>
        <x:v>0</x:v>
      </x:c>
      <x:c r="J352" s="6" t="n">
        <x:f>ROUND(I352*'Debt strategy'!$D$10/12,2)</x:f>
        <x:v>0</x:v>
      </x:c>
      <x:c r="K352" s="6" t="n">
        <x:f>MIN(I352+J352,'Debt strategy'!$E$10)</x:f>
        <x:v>0</x:v>
      </x:c>
      <x:c r="L352" s="27" t="n">
        <x:f>IF(I352+J352-K352&lt;=0,99,1+SUM(IF(AND(C352+D352-E352&gt;0,OR(C352+D352-E352&lt;I352+J352-K352,AND(C352+D352-E352=I352+J352-K352,0&lt;1))),1,0),IF(AND(O352+P352-Q352&gt;0,OR(O352+P352-Q352&lt;I352+J352-K352,AND(O352+P352-Q352=I352+J352-K352,2&lt;1))),1,0),IF(AND(U352+V352-W352&gt;0,OR(U352+V352-W352&lt;I352+J352-K352,AND(U352+V352-W352=I352+J352-K352,3&lt;1))),1,0),IF(AND(AA352+AB352-AC352&gt;0,OR(AA352+AB352-AC352&lt;I352+J352-K352,AND(AA352+AB352-AC352=I352+J352-K352,4&lt;1))),1,0)))</x:f>
        <x:v>99</x:v>
      </x:c>
      <x:c r="M352" s="6" t="n">
        <x:f>IF('Debt strategy'!$C$16&gt;0,0,MIN(I352+J352-K352,MAX(0,'Debt strategy'!$C$5-SUM(E352,K352,Q352,W352,AC352)-SUM(IF(F352&lt;L352,C352+D352-E352,0),IF(R352&lt;L352,O352+P352-Q352,0),IF(X352&lt;L352,U352+V352-W352,0),IF(AD352&lt;L352,AA352+AB352-AC352,0)))))</x:f>
        <x:v>0</x:v>
      </x:c>
      <x:c r="N352" s="6" t="n">
        <x:f>ROUND(MAX(0,I352+J352-K352-M352),2)</x:f>
        <x:v>0</x:v>
      </x:c>
      <x:c r="O352" s="6" t="n">
        <x:f>T351</x:f>
        <x:v>0</x:v>
      </x:c>
      <x:c r="P352" s="6" t="n">
        <x:f>ROUND(O352*'Debt strategy'!$D$11/12,2)</x:f>
        <x:v>0</x:v>
      </x:c>
      <x:c r="Q352" s="6" t="n">
        <x:f>MIN(O352+P352,'Debt strategy'!$E$11)</x:f>
        <x:v>0</x:v>
      </x:c>
      <x:c r="R352" s="27" t="n">
        <x:f>IF(O352+P352-Q352&lt;=0,99,1+SUM(IF(AND(C352+D352-E352&gt;0,OR(C352+D352-E352&lt;O352+P352-Q352,AND(C352+D352-E352=O352+P352-Q352,0&lt;2))),1,0),IF(AND(I352+J352-K352&gt;0,OR(I352+J352-K352&lt;O352+P352-Q352,AND(I352+J352-K352=O352+P352-Q352,1&lt;2))),1,0),IF(AND(U352+V352-W352&gt;0,OR(U352+V352-W352&lt;O352+P352-Q352,AND(U352+V352-W352=O352+P352-Q352,3&lt;2))),1,0),IF(AND(AA352+AB352-AC352&gt;0,OR(AA352+AB352-AC352&lt;O352+P352-Q352,AND(AA352+AB352-AC352=O352+P352-Q352,4&lt;2))),1,0)))</x:f>
        <x:v>99</x:v>
      </x:c>
      <x:c r="S352" s="6" t="n">
        <x:f>IF('Debt strategy'!$C$16&gt;0,0,MIN(O352+P352-Q352,MAX(0,'Debt strategy'!$C$5-SUM(E352,K352,Q352,W352,AC352)-SUM(IF(F352&lt;R352,C352+D352-E352,0),IF(L352&lt;R352,I352+J352-K352,0),IF(X352&lt;R352,U352+V352-W352,0),IF(AD352&lt;R352,AA352+AB352-AC352,0)))))</x:f>
        <x:v>0</x:v>
      </x:c>
      <x:c r="T352" s="6" t="n">
        <x:f>ROUND(MAX(0,O352+P352-Q352-S352),2)</x:f>
        <x:v>0</x:v>
      </x:c>
      <x:c r="U352" s="6" t="n">
        <x:f>Z351</x:f>
        <x:v>0</x:v>
      </x:c>
      <x:c r="V352" s="6" t="n">
        <x:f>ROUND(U352*'Debt strategy'!$D$12/12,2)</x:f>
        <x:v>0</x:v>
      </x:c>
      <x:c r="W352" s="6" t="n">
        <x:f>MIN(U352+V352,'Debt strategy'!$E$12)</x:f>
        <x:v>0</x:v>
      </x:c>
      <x:c r="X352" s="27" t="n">
        <x:f>IF(U352+V352-W352&lt;=0,99,1+SUM(IF(AND(C352+D352-E352&gt;0,OR(C352+D352-E352&lt;U352+V352-W352,AND(C352+D352-E352=U352+V352-W352,0&lt;3))),1,0),IF(AND(I352+J352-K352&gt;0,OR(I352+J352-K352&lt;U352+V352-W352,AND(I352+J352-K352=U352+V352-W352,1&lt;3))),1,0),IF(AND(O352+P352-Q352&gt;0,OR(O352+P352-Q352&lt;U352+V352-W352,AND(O352+P352-Q352=U352+V352-W352,2&lt;3))),1,0),IF(AND(AA352+AB352-AC352&gt;0,OR(AA352+AB352-AC352&lt;U352+V352-W352,AND(AA352+AB352-AC352=U352+V352-W352,4&lt;3))),1,0)))</x:f>
        <x:v>99</x:v>
      </x:c>
      <x:c r="Y352" s="6" t="n">
        <x:f>IF('Debt strategy'!$C$16&gt;0,0,MIN(U352+V352-W352,MAX(0,'Debt strategy'!$C$5-SUM(E352,K352,Q352,W352,AC352)-SUM(IF(F352&lt;X352,C352+D352-E352,0),IF(L352&lt;X352,I352+J352-K352,0),IF(R352&lt;X352,O352+P352-Q352,0),IF(AD352&lt;X352,AA352+AB352-AC352,0)))))</x:f>
        <x:v>0</x:v>
      </x:c>
      <x:c r="Z352" s="6" t="n">
        <x:f>ROUND(MAX(0,U352+V352-W352-Y352),2)</x:f>
        <x:v>0</x:v>
      </x:c>
      <x:c r="AA352" s="6" t="n">
        <x:f>AF351</x:f>
        <x:v>0</x:v>
      </x:c>
      <x:c r="AB352" s="6" t="n">
        <x:f>ROUND(AA352*'Debt strategy'!$D$13/12,2)</x:f>
        <x:v>0</x:v>
      </x:c>
      <x:c r="AC352" s="6" t="n">
        <x:f>MIN(AA352+AB352,'Debt strategy'!$E$13)</x:f>
        <x:v>0</x:v>
      </x:c>
      <x:c r="AD352" s="27" t="n">
        <x:f>IF(AA352+AB352-AC352&lt;=0,99,1+SUM(IF(AND(C352+D352-E352&gt;0,OR(C352+D352-E352&lt;AA352+AB352-AC352,AND(C352+D352-E352=AA352+AB352-AC352,0&lt;4))),1,0),IF(AND(I352+J352-K352&gt;0,OR(I352+J352-K352&lt;AA352+AB352-AC352,AND(I352+J352-K352=AA352+AB352-AC352,1&lt;4))),1,0),IF(AND(O352+P352-Q352&gt;0,OR(O352+P352-Q352&lt;AA352+AB352-AC352,AND(O352+P352-Q352=AA352+AB352-AC352,2&lt;4))),1,0),IF(AND(U352+V352-W352&gt;0,OR(U352+V352-W352&lt;AA352+AB352-AC352,AND(U352+V352-W352=AA352+AB352-AC352,3&lt;4))),1,0)))</x:f>
        <x:v>99</x:v>
      </x:c>
      <x:c r="AE352" s="6" t="n">
        <x:f>IF('Debt strategy'!$C$16&gt;0,0,MIN(AA352+AB352-AC352,MAX(0,'Debt strategy'!$C$5-SUM(E352,K352,Q352,W352,AC352)-SUM(IF(F352&lt;AD352,C352+D352-E352,0),IF(L352&lt;AD352,I352+J352-K352,0),IF(R352&lt;AD352,O352+P352-Q352,0),IF(X352&lt;AD352,U352+V352-W352,0)))))</x:f>
        <x:v>0</x:v>
      </x:c>
      <x:c r="AF352" s="6" t="n">
        <x:f>ROUND(MAX(0,AA352+AB352-AC352-AE352),2)</x:f>
        <x:v>0</x:v>
      </x:c>
      <x:c r="AG352" s="6" t="n">
        <x:f>SUM(H352,N352,T352,Z352,AF352)</x:f>
        <x:v>0</x:v>
      </x:c>
      <x:c r="AH352" s="6" t="n">
        <x:f>SUM(D352,J352,P352,V352,AB352)+AH351</x:f>
        <x:v>1353.9499999999996</x:v>
      </x:c>
      <x:c r="AI352" s="2"/>
    </x:row>
    <x:row r="353" ht="23" customHeight="1">
      <x:c r="B353" s="2" t="n">
        <x:f>345</x:f>
        <x:v>345</x:v>
      </x:c>
      <x:c r="C353" s="6" t="n">
        <x:f>H352</x:f>
        <x:v>0</x:v>
      </x:c>
      <x:c r="D353" s="6" t="n">
        <x:f>ROUND(C353*'Debt strategy'!$D$9/12,2)</x:f>
        <x:v>0</x:v>
      </x:c>
      <x:c r="E353" s="6" t="n">
        <x:f>MIN(C353+D353,'Debt strategy'!$E$9)</x:f>
        <x:v>0</x:v>
      </x:c>
      <x:c r="F353" s="27" t="n">
        <x:f>IF(C353+D353-E353&lt;=0,99,1+SUM(IF(AND(I353+J353-K353&gt;0,OR(I353+J353-K353&lt;C353+D353-E353,AND(I353+J353-K353=C353+D353-E353,1&lt;0))),1,0),IF(AND(O353+P353-Q353&gt;0,OR(O353+P353-Q353&lt;C353+D353-E353,AND(O353+P353-Q353=C353+D353-E353,2&lt;0))),1,0),IF(AND(U353+V353-W353&gt;0,OR(U353+V353-W353&lt;C353+D353-E353,AND(U353+V353-W353=C353+D353-E353,3&lt;0))),1,0),IF(AND(AA353+AB353-AC353&gt;0,OR(AA353+AB353-AC353&lt;C353+D353-E353,AND(AA353+AB353-AC353=C353+D353-E353,4&lt;0))),1,0)))</x:f>
        <x:v>99</x:v>
      </x:c>
      <x:c r="G353" s="6" t="n">
        <x:f>IF('Debt strategy'!$C$16&gt;0,0,MIN(C353+D353-E353,MAX(0,'Debt strategy'!$C$5-SUM(E353,K353,Q353,W353,AC353)-SUM(IF(L353&lt;F353,I353+J353-K353,0),IF(R353&lt;F353,O353+P353-Q353,0),IF(X353&lt;F353,U353+V353-W353,0),IF(AD353&lt;F353,AA353+AB353-AC353,0)))))</x:f>
        <x:v>0</x:v>
      </x:c>
      <x:c r="H353" s="6" t="n">
        <x:f>ROUND(MAX(0,C353+D353-E353-G353),2)</x:f>
        <x:v>0</x:v>
      </x:c>
      <x:c r="I353" s="6" t="n">
        <x:f>N352</x:f>
        <x:v>0</x:v>
      </x:c>
      <x:c r="J353" s="6" t="n">
        <x:f>ROUND(I353*'Debt strategy'!$D$10/12,2)</x:f>
        <x:v>0</x:v>
      </x:c>
      <x:c r="K353" s="6" t="n">
        <x:f>MIN(I353+J353,'Debt strategy'!$E$10)</x:f>
        <x:v>0</x:v>
      </x:c>
      <x:c r="L353" s="27" t="n">
        <x:f>IF(I353+J353-K353&lt;=0,99,1+SUM(IF(AND(C353+D353-E353&gt;0,OR(C353+D353-E353&lt;I353+J353-K353,AND(C353+D353-E353=I353+J353-K353,0&lt;1))),1,0),IF(AND(O353+P353-Q353&gt;0,OR(O353+P353-Q353&lt;I353+J353-K353,AND(O353+P353-Q353=I353+J353-K353,2&lt;1))),1,0),IF(AND(U353+V353-W353&gt;0,OR(U353+V353-W353&lt;I353+J353-K353,AND(U353+V353-W353=I353+J353-K353,3&lt;1))),1,0),IF(AND(AA353+AB353-AC353&gt;0,OR(AA353+AB353-AC353&lt;I353+J353-K353,AND(AA353+AB353-AC353=I353+J353-K353,4&lt;1))),1,0)))</x:f>
        <x:v>99</x:v>
      </x:c>
      <x:c r="M353" s="6" t="n">
        <x:f>IF('Debt strategy'!$C$16&gt;0,0,MIN(I353+J353-K353,MAX(0,'Debt strategy'!$C$5-SUM(E353,K353,Q353,W353,AC353)-SUM(IF(F353&lt;L353,C353+D353-E353,0),IF(R353&lt;L353,O353+P353-Q353,0),IF(X353&lt;L353,U353+V353-W353,0),IF(AD353&lt;L353,AA353+AB353-AC353,0)))))</x:f>
        <x:v>0</x:v>
      </x:c>
      <x:c r="N353" s="6" t="n">
        <x:f>ROUND(MAX(0,I353+J353-K353-M353),2)</x:f>
        <x:v>0</x:v>
      </x:c>
      <x:c r="O353" s="6" t="n">
        <x:f>T352</x:f>
        <x:v>0</x:v>
      </x:c>
      <x:c r="P353" s="6" t="n">
        <x:f>ROUND(O353*'Debt strategy'!$D$11/12,2)</x:f>
        <x:v>0</x:v>
      </x:c>
      <x:c r="Q353" s="6" t="n">
        <x:f>MIN(O353+P353,'Debt strategy'!$E$11)</x:f>
        <x:v>0</x:v>
      </x:c>
      <x:c r="R353" s="27" t="n">
        <x:f>IF(O353+P353-Q353&lt;=0,99,1+SUM(IF(AND(C353+D353-E353&gt;0,OR(C353+D353-E353&lt;O353+P353-Q353,AND(C353+D353-E353=O353+P353-Q353,0&lt;2))),1,0),IF(AND(I353+J353-K353&gt;0,OR(I353+J353-K353&lt;O353+P353-Q353,AND(I353+J353-K353=O353+P353-Q353,1&lt;2))),1,0),IF(AND(U353+V353-W353&gt;0,OR(U353+V353-W353&lt;O353+P353-Q353,AND(U353+V353-W353=O353+P353-Q353,3&lt;2))),1,0),IF(AND(AA353+AB353-AC353&gt;0,OR(AA353+AB353-AC353&lt;O353+P353-Q353,AND(AA353+AB353-AC353=O353+P353-Q353,4&lt;2))),1,0)))</x:f>
        <x:v>99</x:v>
      </x:c>
      <x:c r="S353" s="6" t="n">
        <x:f>IF('Debt strategy'!$C$16&gt;0,0,MIN(O353+P353-Q353,MAX(0,'Debt strategy'!$C$5-SUM(E353,K353,Q353,W353,AC353)-SUM(IF(F353&lt;R353,C353+D353-E353,0),IF(L353&lt;R353,I353+J353-K353,0),IF(X353&lt;R353,U353+V353-W353,0),IF(AD353&lt;R353,AA353+AB353-AC353,0)))))</x:f>
        <x:v>0</x:v>
      </x:c>
      <x:c r="T353" s="6" t="n">
        <x:f>ROUND(MAX(0,O353+P353-Q353-S353),2)</x:f>
        <x:v>0</x:v>
      </x:c>
      <x:c r="U353" s="6" t="n">
        <x:f>Z352</x:f>
        <x:v>0</x:v>
      </x:c>
      <x:c r="V353" s="6" t="n">
        <x:f>ROUND(U353*'Debt strategy'!$D$12/12,2)</x:f>
        <x:v>0</x:v>
      </x:c>
      <x:c r="W353" s="6" t="n">
        <x:f>MIN(U353+V353,'Debt strategy'!$E$12)</x:f>
        <x:v>0</x:v>
      </x:c>
      <x:c r="X353" s="27" t="n">
        <x:f>IF(U353+V353-W353&lt;=0,99,1+SUM(IF(AND(C353+D353-E353&gt;0,OR(C353+D353-E353&lt;U353+V353-W353,AND(C353+D353-E353=U353+V353-W353,0&lt;3))),1,0),IF(AND(I353+J353-K353&gt;0,OR(I353+J353-K353&lt;U353+V353-W353,AND(I353+J353-K353=U353+V353-W353,1&lt;3))),1,0),IF(AND(O353+P353-Q353&gt;0,OR(O353+P353-Q353&lt;U353+V353-W353,AND(O353+P353-Q353=U353+V353-W353,2&lt;3))),1,0),IF(AND(AA353+AB353-AC353&gt;0,OR(AA353+AB353-AC353&lt;U353+V353-W353,AND(AA353+AB353-AC353=U353+V353-W353,4&lt;3))),1,0)))</x:f>
        <x:v>99</x:v>
      </x:c>
      <x:c r="Y353" s="6" t="n">
        <x:f>IF('Debt strategy'!$C$16&gt;0,0,MIN(U353+V353-W353,MAX(0,'Debt strategy'!$C$5-SUM(E353,K353,Q353,W353,AC353)-SUM(IF(F353&lt;X353,C353+D353-E353,0),IF(L353&lt;X353,I353+J353-K353,0),IF(R353&lt;X353,O353+P353-Q353,0),IF(AD353&lt;X353,AA353+AB353-AC353,0)))))</x:f>
        <x:v>0</x:v>
      </x:c>
      <x:c r="Z353" s="6" t="n">
        <x:f>ROUND(MAX(0,U353+V353-W353-Y353),2)</x:f>
        <x:v>0</x:v>
      </x:c>
      <x:c r="AA353" s="6" t="n">
        <x:f>AF352</x:f>
        <x:v>0</x:v>
      </x:c>
      <x:c r="AB353" s="6" t="n">
        <x:f>ROUND(AA353*'Debt strategy'!$D$13/12,2)</x:f>
        <x:v>0</x:v>
      </x:c>
      <x:c r="AC353" s="6" t="n">
        <x:f>MIN(AA353+AB353,'Debt strategy'!$E$13)</x:f>
        <x:v>0</x:v>
      </x:c>
      <x:c r="AD353" s="27" t="n">
        <x:f>IF(AA353+AB353-AC353&lt;=0,99,1+SUM(IF(AND(C353+D353-E353&gt;0,OR(C353+D353-E353&lt;AA353+AB353-AC353,AND(C353+D353-E353=AA353+AB353-AC353,0&lt;4))),1,0),IF(AND(I353+J353-K353&gt;0,OR(I353+J353-K353&lt;AA353+AB353-AC353,AND(I353+J353-K353=AA353+AB353-AC353,1&lt;4))),1,0),IF(AND(O353+P353-Q353&gt;0,OR(O353+P353-Q353&lt;AA353+AB353-AC353,AND(O353+P353-Q353=AA353+AB353-AC353,2&lt;4))),1,0),IF(AND(U353+V353-W353&gt;0,OR(U353+V353-W353&lt;AA353+AB353-AC353,AND(U353+V353-W353=AA353+AB353-AC353,3&lt;4))),1,0)))</x:f>
        <x:v>99</x:v>
      </x:c>
      <x:c r="AE353" s="6" t="n">
        <x:f>IF('Debt strategy'!$C$16&gt;0,0,MIN(AA353+AB353-AC353,MAX(0,'Debt strategy'!$C$5-SUM(E353,K353,Q353,W353,AC353)-SUM(IF(F353&lt;AD353,C353+D353-E353,0),IF(L353&lt;AD353,I353+J353-K353,0),IF(R353&lt;AD353,O353+P353-Q353,0),IF(X353&lt;AD353,U353+V353-W353,0)))))</x:f>
        <x:v>0</x:v>
      </x:c>
      <x:c r="AF353" s="6" t="n">
        <x:f>ROUND(MAX(0,AA353+AB353-AC353-AE353),2)</x:f>
        <x:v>0</x:v>
      </x:c>
      <x:c r="AG353" s="6" t="n">
        <x:f>SUM(H353,N353,T353,Z353,AF353)</x:f>
        <x:v>0</x:v>
      </x:c>
      <x:c r="AH353" s="6" t="n">
        <x:f>SUM(D353,J353,P353,V353,AB353)+AH352</x:f>
        <x:v>1353.9499999999996</x:v>
      </x:c>
      <x:c r="AI353" s="2"/>
    </x:row>
    <x:row r="354" ht="23" customHeight="1">
      <x:c r="B354" s="2" t="n">
        <x:f>346</x:f>
        <x:v>346</x:v>
      </x:c>
      <x:c r="C354" s="6" t="n">
        <x:f>H353</x:f>
        <x:v>0</x:v>
      </x:c>
      <x:c r="D354" s="6" t="n">
        <x:f>ROUND(C354*'Debt strategy'!$D$9/12,2)</x:f>
        <x:v>0</x:v>
      </x:c>
      <x:c r="E354" s="6" t="n">
        <x:f>MIN(C354+D354,'Debt strategy'!$E$9)</x:f>
        <x:v>0</x:v>
      </x:c>
      <x:c r="F354" s="27" t="n">
        <x:f>IF(C354+D354-E354&lt;=0,99,1+SUM(IF(AND(I354+J354-K354&gt;0,OR(I354+J354-K354&lt;C354+D354-E354,AND(I354+J354-K354=C354+D354-E354,1&lt;0))),1,0),IF(AND(O354+P354-Q354&gt;0,OR(O354+P354-Q354&lt;C354+D354-E354,AND(O354+P354-Q354=C354+D354-E354,2&lt;0))),1,0),IF(AND(U354+V354-W354&gt;0,OR(U354+V354-W354&lt;C354+D354-E354,AND(U354+V354-W354=C354+D354-E354,3&lt;0))),1,0),IF(AND(AA354+AB354-AC354&gt;0,OR(AA354+AB354-AC354&lt;C354+D354-E354,AND(AA354+AB354-AC354=C354+D354-E354,4&lt;0))),1,0)))</x:f>
        <x:v>99</x:v>
      </x:c>
      <x:c r="G354" s="6" t="n">
        <x:f>IF('Debt strategy'!$C$16&gt;0,0,MIN(C354+D354-E354,MAX(0,'Debt strategy'!$C$5-SUM(E354,K354,Q354,W354,AC354)-SUM(IF(L354&lt;F354,I354+J354-K354,0),IF(R354&lt;F354,O354+P354-Q354,0),IF(X354&lt;F354,U354+V354-W354,0),IF(AD354&lt;F354,AA354+AB354-AC354,0)))))</x:f>
        <x:v>0</x:v>
      </x:c>
      <x:c r="H354" s="6" t="n">
        <x:f>ROUND(MAX(0,C354+D354-E354-G354),2)</x:f>
        <x:v>0</x:v>
      </x:c>
      <x:c r="I354" s="6" t="n">
        <x:f>N353</x:f>
        <x:v>0</x:v>
      </x:c>
      <x:c r="J354" s="6" t="n">
        <x:f>ROUND(I354*'Debt strategy'!$D$10/12,2)</x:f>
        <x:v>0</x:v>
      </x:c>
      <x:c r="K354" s="6" t="n">
        <x:f>MIN(I354+J354,'Debt strategy'!$E$10)</x:f>
        <x:v>0</x:v>
      </x:c>
      <x:c r="L354" s="27" t="n">
        <x:f>IF(I354+J354-K354&lt;=0,99,1+SUM(IF(AND(C354+D354-E354&gt;0,OR(C354+D354-E354&lt;I354+J354-K354,AND(C354+D354-E354=I354+J354-K354,0&lt;1))),1,0),IF(AND(O354+P354-Q354&gt;0,OR(O354+P354-Q354&lt;I354+J354-K354,AND(O354+P354-Q354=I354+J354-K354,2&lt;1))),1,0),IF(AND(U354+V354-W354&gt;0,OR(U354+V354-W354&lt;I354+J354-K354,AND(U354+V354-W354=I354+J354-K354,3&lt;1))),1,0),IF(AND(AA354+AB354-AC354&gt;0,OR(AA354+AB354-AC354&lt;I354+J354-K354,AND(AA354+AB354-AC354=I354+J354-K354,4&lt;1))),1,0)))</x:f>
        <x:v>99</x:v>
      </x:c>
      <x:c r="M354" s="6" t="n">
        <x:f>IF('Debt strategy'!$C$16&gt;0,0,MIN(I354+J354-K354,MAX(0,'Debt strategy'!$C$5-SUM(E354,K354,Q354,W354,AC354)-SUM(IF(F354&lt;L354,C354+D354-E354,0),IF(R354&lt;L354,O354+P354-Q354,0),IF(X354&lt;L354,U354+V354-W354,0),IF(AD354&lt;L354,AA354+AB354-AC354,0)))))</x:f>
        <x:v>0</x:v>
      </x:c>
      <x:c r="N354" s="6" t="n">
        <x:f>ROUND(MAX(0,I354+J354-K354-M354),2)</x:f>
        <x:v>0</x:v>
      </x:c>
      <x:c r="O354" s="6" t="n">
        <x:f>T353</x:f>
        <x:v>0</x:v>
      </x:c>
      <x:c r="P354" s="6" t="n">
        <x:f>ROUND(O354*'Debt strategy'!$D$11/12,2)</x:f>
        <x:v>0</x:v>
      </x:c>
      <x:c r="Q354" s="6" t="n">
        <x:f>MIN(O354+P354,'Debt strategy'!$E$11)</x:f>
        <x:v>0</x:v>
      </x:c>
      <x:c r="R354" s="27" t="n">
        <x:f>IF(O354+P354-Q354&lt;=0,99,1+SUM(IF(AND(C354+D354-E354&gt;0,OR(C354+D354-E354&lt;O354+P354-Q354,AND(C354+D354-E354=O354+P354-Q354,0&lt;2))),1,0),IF(AND(I354+J354-K354&gt;0,OR(I354+J354-K354&lt;O354+P354-Q354,AND(I354+J354-K354=O354+P354-Q354,1&lt;2))),1,0),IF(AND(U354+V354-W354&gt;0,OR(U354+V354-W354&lt;O354+P354-Q354,AND(U354+V354-W354=O354+P354-Q354,3&lt;2))),1,0),IF(AND(AA354+AB354-AC354&gt;0,OR(AA354+AB354-AC354&lt;O354+P354-Q354,AND(AA354+AB354-AC354=O354+P354-Q354,4&lt;2))),1,0)))</x:f>
        <x:v>99</x:v>
      </x:c>
      <x:c r="S354" s="6" t="n">
        <x:f>IF('Debt strategy'!$C$16&gt;0,0,MIN(O354+P354-Q354,MAX(0,'Debt strategy'!$C$5-SUM(E354,K354,Q354,W354,AC354)-SUM(IF(F354&lt;R354,C354+D354-E354,0),IF(L354&lt;R354,I354+J354-K354,0),IF(X354&lt;R354,U354+V354-W354,0),IF(AD354&lt;R354,AA354+AB354-AC354,0)))))</x:f>
        <x:v>0</x:v>
      </x:c>
      <x:c r="T354" s="6" t="n">
        <x:f>ROUND(MAX(0,O354+P354-Q354-S354),2)</x:f>
        <x:v>0</x:v>
      </x:c>
      <x:c r="U354" s="6" t="n">
        <x:f>Z353</x:f>
        <x:v>0</x:v>
      </x:c>
      <x:c r="V354" s="6" t="n">
        <x:f>ROUND(U354*'Debt strategy'!$D$12/12,2)</x:f>
        <x:v>0</x:v>
      </x:c>
      <x:c r="W354" s="6" t="n">
        <x:f>MIN(U354+V354,'Debt strategy'!$E$12)</x:f>
        <x:v>0</x:v>
      </x:c>
      <x:c r="X354" s="27" t="n">
        <x:f>IF(U354+V354-W354&lt;=0,99,1+SUM(IF(AND(C354+D354-E354&gt;0,OR(C354+D354-E354&lt;U354+V354-W354,AND(C354+D354-E354=U354+V354-W354,0&lt;3))),1,0),IF(AND(I354+J354-K354&gt;0,OR(I354+J354-K354&lt;U354+V354-W354,AND(I354+J354-K354=U354+V354-W354,1&lt;3))),1,0),IF(AND(O354+P354-Q354&gt;0,OR(O354+P354-Q354&lt;U354+V354-W354,AND(O354+P354-Q354=U354+V354-W354,2&lt;3))),1,0),IF(AND(AA354+AB354-AC354&gt;0,OR(AA354+AB354-AC354&lt;U354+V354-W354,AND(AA354+AB354-AC354=U354+V354-W354,4&lt;3))),1,0)))</x:f>
        <x:v>99</x:v>
      </x:c>
      <x:c r="Y354" s="6" t="n">
        <x:f>IF('Debt strategy'!$C$16&gt;0,0,MIN(U354+V354-W354,MAX(0,'Debt strategy'!$C$5-SUM(E354,K354,Q354,W354,AC354)-SUM(IF(F354&lt;X354,C354+D354-E354,0),IF(L354&lt;X354,I354+J354-K354,0),IF(R354&lt;X354,O354+P354-Q354,0),IF(AD354&lt;X354,AA354+AB354-AC354,0)))))</x:f>
        <x:v>0</x:v>
      </x:c>
      <x:c r="Z354" s="6" t="n">
        <x:f>ROUND(MAX(0,U354+V354-W354-Y354),2)</x:f>
        <x:v>0</x:v>
      </x:c>
      <x:c r="AA354" s="6" t="n">
        <x:f>AF353</x:f>
        <x:v>0</x:v>
      </x:c>
      <x:c r="AB354" s="6" t="n">
        <x:f>ROUND(AA354*'Debt strategy'!$D$13/12,2)</x:f>
        <x:v>0</x:v>
      </x:c>
      <x:c r="AC354" s="6" t="n">
        <x:f>MIN(AA354+AB354,'Debt strategy'!$E$13)</x:f>
        <x:v>0</x:v>
      </x:c>
      <x:c r="AD354" s="27" t="n">
        <x:f>IF(AA354+AB354-AC354&lt;=0,99,1+SUM(IF(AND(C354+D354-E354&gt;0,OR(C354+D354-E354&lt;AA354+AB354-AC354,AND(C354+D354-E354=AA354+AB354-AC354,0&lt;4))),1,0),IF(AND(I354+J354-K354&gt;0,OR(I354+J354-K354&lt;AA354+AB354-AC354,AND(I354+J354-K354=AA354+AB354-AC354,1&lt;4))),1,0),IF(AND(O354+P354-Q354&gt;0,OR(O354+P354-Q354&lt;AA354+AB354-AC354,AND(O354+P354-Q354=AA354+AB354-AC354,2&lt;4))),1,0),IF(AND(U354+V354-W354&gt;0,OR(U354+V354-W354&lt;AA354+AB354-AC354,AND(U354+V354-W354=AA354+AB354-AC354,3&lt;4))),1,0)))</x:f>
        <x:v>99</x:v>
      </x:c>
      <x:c r="AE354" s="6" t="n">
        <x:f>IF('Debt strategy'!$C$16&gt;0,0,MIN(AA354+AB354-AC354,MAX(0,'Debt strategy'!$C$5-SUM(E354,K354,Q354,W354,AC354)-SUM(IF(F354&lt;AD354,C354+D354-E354,0),IF(L354&lt;AD354,I354+J354-K354,0),IF(R354&lt;AD354,O354+P354-Q354,0),IF(X354&lt;AD354,U354+V354-W354,0)))))</x:f>
        <x:v>0</x:v>
      </x:c>
      <x:c r="AF354" s="6" t="n">
        <x:f>ROUND(MAX(0,AA354+AB354-AC354-AE354),2)</x:f>
        <x:v>0</x:v>
      </x:c>
      <x:c r="AG354" s="6" t="n">
        <x:f>SUM(H354,N354,T354,Z354,AF354)</x:f>
        <x:v>0</x:v>
      </x:c>
      <x:c r="AH354" s="6" t="n">
        <x:f>SUM(D354,J354,P354,V354,AB354)+AH353</x:f>
        <x:v>1353.9499999999996</x:v>
      </x:c>
      <x:c r="AI354" s="2"/>
    </x:row>
    <x:row r="355" ht="23" customHeight="1">
      <x:c r="B355" s="2" t="n">
        <x:f>347</x:f>
        <x:v>347</x:v>
      </x:c>
      <x:c r="C355" s="6" t="n">
        <x:f>H354</x:f>
        <x:v>0</x:v>
      </x:c>
      <x:c r="D355" s="6" t="n">
        <x:f>ROUND(C355*'Debt strategy'!$D$9/12,2)</x:f>
        <x:v>0</x:v>
      </x:c>
      <x:c r="E355" s="6" t="n">
        <x:f>MIN(C355+D355,'Debt strategy'!$E$9)</x:f>
        <x:v>0</x:v>
      </x:c>
      <x:c r="F355" s="27" t="n">
        <x:f>IF(C355+D355-E355&lt;=0,99,1+SUM(IF(AND(I355+J355-K355&gt;0,OR(I355+J355-K355&lt;C355+D355-E355,AND(I355+J355-K355=C355+D355-E355,1&lt;0))),1,0),IF(AND(O355+P355-Q355&gt;0,OR(O355+P355-Q355&lt;C355+D355-E355,AND(O355+P355-Q355=C355+D355-E355,2&lt;0))),1,0),IF(AND(U355+V355-W355&gt;0,OR(U355+V355-W355&lt;C355+D355-E355,AND(U355+V355-W355=C355+D355-E355,3&lt;0))),1,0),IF(AND(AA355+AB355-AC355&gt;0,OR(AA355+AB355-AC355&lt;C355+D355-E355,AND(AA355+AB355-AC355=C355+D355-E355,4&lt;0))),1,0)))</x:f>
        <x:v>99</x:v>
      </x:c>
      <x:c r="G355" s="6" t="n">
        <x:f>IF('Debt strategy'!$C$16&gt;0,0,MIN(C355+D355-E355,MAX(0,'Debt strategy'!$C$5-SUM(E355,K355,Q355,W355,AC355)-SUM(IF(L355&lt;F355,I355+J355-K355,0),IF(R355&lt;F355,O355+P355-Q355,0),IF(X355&lt;F355,U355+V355-W355,0),IF(AD355&lt;F355,AA355+AB355-AC355,0)))))</x:f>
        <x:v>0</x:v>
      </x:c>
      <x:c r="H355" s="6" t="n">
        <x:f>ROUND(MAX(0,C355+D355-E355-G355),2)</x:f>
        <x:v>0</x:v>
      </x:c>
      <x:c r="I355" s="6" t="n">
        <x:f>N354</x:f>
        <x:v>0</x:v>
      </x:c>
      <x:c r="J355" s="6" t="n">
        <x:f>ROUND(I355*'Debt strategy'!$D$10/12,2)</x:f>
        <x:v>0</x:v>
      </x:c>
      <x:c r="K355" s="6" t="n">
        <x:f>MIN(I355+J355,'Debt strategy'!$E$10)</x:f>
        <x:v>0</x:v>
      </x:c>
      <x:c r="L355" s="27" t="n">
        <x:f>IF(I355+J355-K355&lt;=0,99,1+SUM(IF(AND(C355+D355-E355&gt;0,OR(C355+D355-E355&lt;I355+J355-K355,AND(C355+D355-E355=I355+J355-K355,0&lt;1))),1,0),IF(AND(O355+P355-Q355&gt;0,OR(O355+P355-Q355&lt;I355+J355-K355,AND(O355+P355-Q355=I355+J355-K355,2&lt;1))),1,0),IF(AND(U355+V355-W355&gt;0,OR(U355+V355-W355&lt;I355+J355-K355,AND(U355+V355-W355=I355+J355-K355,3&lt;1))),1,0),IF(AND(AA355+AB355-AC355&gt;0,OR(AA355+AB355-AC355&lt;I355+J355-K355,AND(AA355+AB355-AC355=I355+J355-K355,4&lt;1))),1,0)))</x:f>
        <x:v>99</x:v>
      </x:c>
      <x:c r="M355" s="6" t="n">
        <x:f>IF('Debt strategy'!$C$16&gt;0,0,MIN(I355+J355-K355,MAX(0,'Debt strategy'!$C$5-SUM(E355,K355,Q355,W355,AC355)-SUM(IF(F355&lt;L355,C355+D355-E355,0),IF(R355&lt;L355,O355+P355-Q355,0),IF(X355&lt;L355,U355+V355-W355,0),IF(AD355&lt;L355,AA355+AB355-AC355,0)))))</x:f>
        <x:v>0</x:v>
      </x:c>
      <x:c r="N355" s="6" t="n">
        <x:f>ROUND(MAX(0,I355+J355-K355-M355),2)</x:f>
        <x:v>0</x:v>
      </x:c>
      <x:c r="O355" s="6" t="n">
        <x:f>T354</x:f>
        <x:v>0</x:v>
      </x:c>
      <x:c r="P355" s="6" t="n">
        <x:f>ROUND(O355*'Debt strategy'!$D$11/12,2)</x:f>
        <x:v>0</x:v>
      </x:c>
      <x:c r="Q355" s="6" t="n">
        <x:f>MIN(O355+P355,'Debt strategy'!$E$11)</x:f>
        <x:v>0</x:v>
      </x:c>
      <x:c r="R355" s="27" t="n">
        <x:f>IF(O355+P355-Q355&lt;=0,99,1+SUM(IF(AND(C355+D355-E355&gt;0,OR(C355+D355-E355&lt;O355+P355-Q355,AND(C355+D355-E355=O355+P355-Q355,0&lt;2))),1,0),IF(AND(I355+J355-K355&gt;0,OR(I355+J355-K355&lt;O355+P355-Q355,AND(I355+J355-K355=O355+P355-Q355,1&lt;2))),1,0),IF(AND(U355+V355-W355&gt;0,OR(U355+V355-W355&lt;O355+P355-Q355,AND(U355+V355-W355=O355+P355-Q355,3&lt;2))),1,0),IF(AND(AA355+AB355-AC355&gt;0,OR(AA355+AB355-AC355&lt;O355+P355-Q355,AND(AA355+AB355-AC355=O355+P355-Q355,4&lt;2))),1,0)))</x:f>
        <x:v>99</x:v>
      </x:c>
      <x:c r="S355" s="6" t="n">
        <x:f>IF('Debt strategy'!$C$16&gt;0,0,MIN(O355+P355-Q355,MAX(0,'Debt strategy'!$C$5-SUM(E355,K355,Q355,W355,AC355)-SUM(IF(F355&lt;R355,C355+D355-E355,0),IF(L355&lt;R355,I355+J355-K355,0),IF(X355&lt;R355,U355+V355-W355,0),IF(AD355&lt;R355,AA355+AB355-AC355,0)))))</x:f>
        <x:v>0</x:v>
      </x:c>
      <x:c r="T355" s="6" t="n">
        <x:f>ROUND(MAX(0,O355+P355-Q355-S355),2)</x:f>
        <x:v>0</x:v>
      </x:c>
      <x:c r="U355" s="6" t="n">
        <x:f>Z354</x:f>
        <x:v>0</x:v>
      </x:c>
      <x:c r="V355" s="6" t="n">
        <x:f>ROUND(U355*'Debt strategy'!$D$12/12,2)</x:f>
        <x:v>0</x:v>
      </x:c>
      <x:c r="W355" s="6" t="n">
        <x:f>MIN(U355+V355,'Debt strategy'!$E$12)</x:f>
        <x:v>0</x:v>
      </x:c>
      <x:c r="X355" s="27" t="n">
        <x:f>IF(U355+V355-W355&lt;=0,99,1+SUM(IF(AND(C355+D355-E355&gt;0,OR(C355+D355-E355&lt;U355+V355-W355,AND(C355+D355-E355=U355+V355-W355,0&lt;3))),1,0),IF(AND(I355+J355-K355&gt;0,OR(I355+J355-K355&lt;U355+V355-W355,AND(I355+J355-K355=U355+V355-W355,1&lt;3))),1,0),IF(AND(O355+P355-Q355&gt;0,OR(O355+P355-Q355&lt;U355+V355-W355,AND(O355+P355-Q355=U355+V355-W355,2&lt;3))),1,0),IF(AND(AA355+AB355-AC355&gt;0,OR(AA355+AB355-AC355&lt;U355+V355-W355,AND(AA355+AB355-AC355=U355+V355-W355,4&lt;3))),1,0)))</x:f>
        <x:v>99</x:v>
      </x:c>
      <x:c r="Y355" s="6" t="n">
        <x:f>IF('Debt strategy'!$C$16&gt;0,0,MIN(U355+V355-W355,MAX(0,'Debt strategy'!$C$5-SUM(E355,K355,Q355,W355,AC355)-SUM(IF(F355&lt;X355,C355+D355-E355,0),IF(L355&lt;X355,I355+J355-K355,0),IF(R355&lt;X355,O355+P355-Q355,0),IF(AD355&lt;X355,AA355+AB355-AC355,0)))))</x:f>
        <x:v>0</x:v>
      </x:c>
      <x:c r="Z355" s="6" t="n">
        <x:f>ROUND(MAX(0,U355+V355-W355-Y355),2)</x:f>
        <x:v>0</x:v>
      </x:c>
      <x:c r="AA355" s="6" t="n">
        <x:f>AF354</x:f>
        <x:v>0</x:v>
      </x:c>
      <x:c r="AB355" s="6" t="n">
        <x:f>ROUND(AA355*'Debt strategy'!$D$13/12,2)</x:f>
        <x:v>0</x:v>
      </x:c>
      <x:c r="AC355" s="6" t="n">
        <x:f>MIN(AA355+AB355,'Debt strategy'!$E$13)</x:f>
        <x:v>0</x:v>
      </x:c>
      <x:c r="AD355" s="27" t="n">
        <x:f>IF(AA355+AB355-AC355&lt;=0,99,1+SUM(IF(AND(C355+D355-E355&gt;0,OR(C355+D355-E355&lt;AA355+AB355-AC355,AND(C355+D355-E355=AA355+AB355-AC355,0&lt;4))),1,0),IF(AND(I355+J355-K355&gt;0,OR(I355+J355-K355&lt;AA355+AB355-AC355,AND(I355+J355-K355=AA355+AB355-AC355,1&lt;4))),1,0),IF(AND(O355+P355-Q355&gt;0,OR(O355+P355-Q355&lt;AA355+AB355-AC355,AND(O355+P355-Q355=AA355+AB355-AC355,2&lt;4))),1,0),IF(AND(U355+V355-W355&gt;0,OR(U355+V355-W355&lt;AA355+AB355-AC355,AND(U355+V355-W355=AA355+AB355-AC355,3&lt;4))),1,0)))</x:f>
        <x:v>99</x:v>
      </x:c>
      <x:c r="AE355" s="6" t="n">
        <x:f>IF('Debt strategy'!$C$16&gt;0,0,MIN(AA355+AB355-AC355,MAX(0,'Debt strategy'!$C$5-SUM(E355,K355,Q355,W355,AC355)-SUM(IF(F355&lt;AD355,C355+D355-E355,0),IF(L355&lt;AD355,I355+J355-K355,0),IF(R355&lt;AD355,O355+P355-Q355,0),IF(X355&lt;AD355,U355+V355-W355,0)))))</x:f>
        <x:v>0</x:v>
      </x:c>
      <x:c r="AF355" s="6" t="n">
        <x:f>ROUND(MAX(0,AA355+AB355-AC355-AE355),2)</x:f>
        <x:v>0</x:v>
      </x:c>
      <x:c r="AG355" s="6" t="n">
        <x:f>SUM(H355,N355,T355,Z355,AF355)</x:f>
        <x:v>0</x:v>
      </x:c>
      <x:c r="AH355" s="6" t="n">
        <x:f>SUM(D355,J355,P355,V355,AB355)+AH354</x:f>
        <x:v>1353.9499999999996</x:v>
      </x:c>
      <x:c r="AI355" s="2"/>
    </x:row>
    <x:row r="356" ht="23" customHeight="1">
      <x:c r="B356" s="2" t="n">
        <x:f>348</x:f>
        <x:v>348</x:v>
      </x:c>
      <x:c r="C356" s="6" t="n">
        <x:f>H355</x:f>
        <x:v>0</x:v>
      </x:c>
      <x:c r="D356" s="6" t="n">
        <x:f>ROUND(C356*'Debt strategy'!$D$9/12,2)</x:f>
        <x:v>0</x:v>
      </x:c>
      <x:c r="E356" s="6" t="n">
        <x:f>MIN(C356+D356,'Debt strategy'!$E$9)</x:f>
        <x:v>0</x:v>
      </x:c>
      <x:c r="F356" s="27" t="n">
        <x:f>IF(C356+D356-E356&lt;=0,99,1+SUM(IF(AND(I356+J356-K356&gt;0,OR(I356+J356-K356&lt;C356+D356-E356,AND(I356+J356-K356=C356+D356-E356,1&lt;0))),1,0),IF(AND(O356+P356-Q356&gt;0,OR(O356+P356-Q356&lt;C356+D356-E356,AND(O356+P356-Q356=C356+D356-E356,2&lt;0))),1,0),IF(AND(U356+V356-W356&gt;0,OR(U356+V356-W356&lt;C356+D356-E356,AND(U356+V356-W356=C356+D356-E356,3&lt;0))),1,0),IF(AND(AA356+AB356-AC356&gt;0,OR(AA356+AB356-AC356&lt;C356+D356-E356,AND(AA356+AB356-AC356=C356+D356-E356,4&lt;0))),1,0)))</x:f>
        <x:v>99</x:v>
      </x:c>
      <x:c r="G356" s="6" t="n">
        <x:f>IF('Debt strategy'!$C$16&gt;0,0,MIN(C356+D356-E356,MAX(0,'Debt strategy'!$C$5-SUM(E356,K356,Q356,W356,AC356)-SUM(IF(L356&lt;F356,I356+J356-K356,0),IF(R356&lt;F356,O356+P356-Q356,0),IF(X356&lt;F356,U356+V356-W356,0),IF(AD356&lt;F356,AA356+AB356-AC356,0)))))</x:f>
        <x:v>0</x:v>
      </x:c>
      <x:c r="H356" s="6" t="n">
        <x:f>ROUND(MAX(0,C356+D356-E356-G356),2)</x:f>
        <x:v>0</x:v>
      </x:c>
      <x:c r="I356" s="6" t="n">
        <x:f>N355</x:f>
        <x:v>0</x:v>
      </x:c>
      <x:c r="J356" s="6" t="n">
        <x:f>ROUND(I356*'Debt strategy'!$D$10/12,2)</x:f>
        <x:v>0</x:v>
      </x:c>
      <x:c r="K356" s="6" t="n">
        <x:f>MIN(I356+J356,'Debt strategy'!$E$10)</x:f>
        <x:v>0</x:v>
      </x:c>
      <x:c r="L356" s="27" t="n">
        <x:f>IF(I356+J356-K356&lt;=0,99,1+SUM(IF(AND(C356+D356-E356&gt;0,OR(C356+D356-E356&lt;I356+J356-K356,AND(C356+D356-E356=I356+J356-K356,0&lt;1))),1,0),IF(AND(O356+P356-Q356&gt;0,OR(O356+P356-Q356&lt;I356+J356-K356,AND(O356+P356-Q356=I356+J356-K356,2&lt;1))),1,0),IF(AND(U356+V356-W356&gt;0,OR(U356+V356-W356&lt;I356+J356-K356,AND(U356+V356-W356=I356+J356-K356,3&lt;1))),1,0),IF(AND(AA356+AB356-AC356&gt;0,OR(AA356+AB356-AC356&lt;I356+J356-K356,AND(AA356+AB356-AC356=I356+J356-K356,4&lt;1))),1,0)))</x:f>
        <x:v>99</x:v>
      </x:c>
      <x:c r="M356" s="6" t="n">
        <x:f>IF('Debt strategy'!$C$16&gt;0,0,MIN(I356+J356-K356,MAX(0,'Debt strategy'!$C$5-SUM(E356,K356,Q356,W356,AC356)-SUM(IF(F356&lt;L356,C356+D356-E356,0),IF(R356&lt;L356,O356+P356-Q356,0),IF(X356&lt;L356,U356+V356-W356,0),IF(AD356&lt;L356,AA356+AB356-AC356,0)))))</x:f>
        <x:v>0</x:v>
      </x:c>
      <x:c r="N356" s="6" t="n">
        <x:f>ROUND(MAX(0,I356+J356-K356-M356),2)</x:f>
        <x:v>0</x:v>
      </x:c>
      <x:c r="O356" s="6" t="n">
        <x:f>T355</x:f>
        <x:v>0</x:v>
      </x:c>
      <x:c r="P356" s="6" t="n">
        <x:f>ROUND(O356*'Debt strategy'!$D$11/12,2)</x:f>
        <x:v>0</x:v>
      </x:c>
      <x:c r="Q356" s="6" t="n">
        <x:f>MIN(O356+P356,'Debt strategy'!$E$11)</x:f>
        <x:v>0</x:v>
      </x:c>
      <x:c r="R356" s="27" t="n">
        <x:f>IF(O356+P356-Q356&lt;=0,99,1+SUM(IF(AND(C356+D356-E356&gt;0,OR(C356+D356-E356&lt;O356+P356-Q356,AND(C356+D356-E356=O356+P356-Q356,0&lt;2))),1,0),IF(AND(I356+J356-K356&gt;0,OR(I356+J356-K356&lt;O356+P356-Q356,AND(I356+J356-K356=O356+P356-Q356,1&lt;2))),1,0),IF(AND(U356+V356-W356&gt;0,OR(U356+V356-W356&lt;O356+P356-Q356,AND(U356+V356-W356=O356+P356-Q356,3&lt;2))),1,0),IF(AND(AA356+AB356-AC356&gt;0,OR(AA356+AB356-AC356&lt;O356+P356-Q356,AND(AA356+AB356-AC356=O356+P356-Q356,4&lt;2))),1,0)))</x:f>
        <x:v>99</x:v>
      </x:c>
      <x:c r="S356" s="6" t="n">
        <x:f>IF('Debt strategy'!$C$16&gt;0,0,MIN(O356+P356-Q356,MAX(0,'Debt strategy'!$C$5-SUM(E356,K356,Q356,W356,AC356)-SUM(IF(F356&lt;R356,C356+D356-E356,0),IF(L356&lt;R356,I356+J356-K356,0),IF(X356&lt;R356,U356+V356-W356,0),IF(AD356&lt;R356,AA356+AB356-AC356,0)))))</x:f>
        <x:v>0</x:v>
      </x:c>
      <x:c r="T356" s="6" t="n">
        <x:f>ROUND(MAX(0,O356+P356-Q356-S356),2)</x:f>
        <x:v>0</x:v>
      </x:c>
      <x:c r="U356" s="6" t="n">
        <x:f>Z355</x:f>
        <x:v>0</x:v>
      </x:c>
      <x:c r="V356" s="6" t="n">
        <x:f>ROUND(U356*'Debt strategy'!$D$12/12,2)</x:f>
        <x:v>0</x:v>
      </x:c>
      <x:c r="W356" s="6" t="n">
        <x:f>MIN(U356+V356,'Debt strategy'!$E$12)</x:f>
        <x:v>0</x:v>
      </x:c>
      <x:c r="X356" s="27" t="n">
        <x:f>IF(U356+V356-W356&lt;=0,99,1+SUM(IF(AND(C356+D356-E356&gt;0,OR(C356+D356-E356&lt;U356+V356-W356,AND(C356+D356-E356=U356+V356-W356,0&lt;3))),1,0),IF(AND(I356+J356-K356&gt;0,OR(I356+J356-K356&lt;U356+V356-W356,AND(I356+J356-K356=U356+V356-W356,1&lt;3))),1,0),IF(AND(O356+P356-Q356&gt;0,OR(O356+P356-Q356&lt;U356+V356-W356,AND(O356+P356-Q356=U356+V356-W356,2&lt;3))),1,0),IF(AND(AA356+AB356-AC356&gt;0,OR(AA356+AB356-AC356&lt;U356+V356-W356,AND(AA356+AB356-AC356=U356+V356-W356,4&lt;3))),1,0)))</x:f>
        <x:v>99</x:v>
      </x:c>
      <x:c r="Y356" s="6" t="n">
        <x:f>IF('Debt strategy'!$C$16&gt;0,0,MIN(U356+V356-W356,MAX(0,'Debt strategy'!$C$5-SUM(E356,K356,Q356,W356,AC356)-SUM(IF(F356&lt;X356,C356+D356-E356,0),IF(L356&lt;X356,I356+J356-K356,0),IF(R356&lt;X356,O356+P356-Q356,0),IF(AD356&lt;X356,AA356+AB356-AC356,0)))))</x:f>
        <x:v>0</x:v>
      </x:c>
      <x:c r="Z356" s="6" t="n">
        <x:f>ROUND(MAX(0,U356+V356-W356-Y356),2)</x:f>
        <x:v>0</x:v>
      </x:c>
      <x:c r="AA356" s="6" t="n">
        <x:f>AF355</x:f>
        <x:v>0</x:v>
      </x:c>
      <x:c r="AB356" s="6" t="n">
        <x:f>ROUND(AA356*'Debt strategy'!$D$13/12,2)</x:f>
        <x:v>0</x:v>
      </x:c>
      <x:c r="AC356" s="6" t="n">
        <x:f>MIN(AA356+AB356,'Debt strategy'!$E$13)</x:f>
        <x:v>0</x:v>
      </x:c>
      <x:c r="AD356" s="27" t="n">
        <x:f>IF(AA356+AB356-AC356&lt;=0,99,1+SUM(IF(AND(C356+D356-E356&gt;0,OR(C356+D356-E356&lt;AA356+AB356-AC356,AND(C356+D356-E356=AA356+AB356-AC356,0&lt;4))),1,0),IF(AND(I356+J356-K356&gt;0,OR(I356+J356-K356&lt;AA356+AB356-AC356,AND(I356+J356-K356=AA356+AB356-AC356,1&lt;4))),1,0),IF(AND(O356+P356-Q356&gt;0,OR(O356+P356-Q356&lt;AA356+AB356-AC356,AND(O356+P356-Q356=AA356+AB356-AC356,2&lt;4))),1,0),IF(AND(U356+V356-W356&gt;0,OR(U356+V356-W356&lt;AA356+AB356-AC356,AND(U356+V356-W356=AA356+AB356-AC356,3&lt;4))),1,0)))</x:f>
        <x:v>99</x:v>
      </x:c>
      <x:c r="AE356" s="6" t="n">
        <x:f>IF('Debt strategy'!$C$16&gt;0,0,MIN(AA356+AB356-AC356,MAX(0,'Debt strategy'!$C$5-SUM(E356,K356,Q356,W356,AC356)-SUM(IF(F356&lt;AD356,C356+D356-E356,0),IF(L356&lt;AD356,I356+J356-K356,0),IF(R356&lt;AD356,O356+P356-Q356,0),IF(X356&lt;AD356,U356+V356-W356,0)))))</x:f>
        <x:v>0</x:v>
      </x:c>
      <x:c r="AF356" s="6" t="n">
        <x:f>ROUND(MAX(0,AA356+AB356-AC356-AE356),2)</x:f>
        <x:v>0</x:v>
      </x:c>
      <x:c r="AG356" s="6" t="n">
        <x:f>SUM(H356,N356,T356,Z356,AF356)</x:f>
        <x:v>0</x:v>
      </x:c>
      <x:c r="AH356" s="6" t="n">
        <x:f>SUM(D356,J356,P356,V356,AB356)+AH355</x:f>
        <x:v>1353.9499999999996</x:v>
      </x:c>
      <x:c r="AI356" s="2"/>
    </x:row>
    <x:row r="357" ht="23" customHeight="1">
      <x:c r="B357" s="2" t="n">
        <x:f>349</x:f>
        <x:v>349</x:v>
      </x:c>
      <x:c r="C357" s="6" t="n">
        <x:f>H356</x:f>
        <x:v>0</x:v>
      </x:c>
      <x:c r="D357" s="6" t="n">
        <x:f>ROUND(C357*'Debt strategy'!$D$9/12,2)</x:f>
        <x:v>0</x:v>
      </x:c>
      <x:c r="E357" s="6" t="n">
        <x:f>MIN(C357+D357,'Debt strategy'!$E$9)</x:f>
        <x:v>0</x:v>
      </x:c>
      <x:c r="F357" s="27" t="n">
        <x:f>IF(C357+D357-E357&lt;=0,99,1+SUM(IF(AND(I357+J357-K357&gt;0,OR(I357+J357-K357&lt;C357+D357-E357,AND(I357+J357-K357=C357+D357-E357,1&lt;0))),1,0),IF(AND(O357+P357-Q357&gt;0,OR(O357+P357-Q357&lt;C357+D357-E357,AND(O357+P357-Q357=C357+D357-E357,2&lt;0))),1,0),IF(AND(U357+V357-W357&gt;0,OR(U357+V357-W357&lt;C357+D357-E357,AND(U357+V357-W357=C357+D357-E357,3&lt;0))),1,0),IF(AND(AA357+AB357-AC357&gt;0,OR(AA357+AB357-AC357&lt;C357+D357-E357,AND(AA357+AB357-AC357=C357+D357-E357,4&lt;0))),1,0)))</x:f>
        <x:v>99</x:v>
      </x:c>
      <x:c r="G357" s="6" t="n">
        <x:f>IF('Debt strategy'!$C$16&gt;0,0,MIN(C357+D357-E357,MAX(0,'Debt strategy'!$C$5-SUM(E357,K357,Q357,W357,AC357)-SUM(IF(L357&lt;F357,I357+J357-K357,0),IF(R357&lt;F357,O357+P357-Q357,0),IF(X357&lt;F357,U357+V357-W357,0),IF(AD357&lt;F357,AA357+AB357-AC357,0)))))</x:f>
        <x:v>0</x:v>
      </x:c>
      <x:c r="H357" s="6" t="n">
        <x:f>ROUND(MAX(0,C357+D357-E357-G357),2)</x:f>
        <x:v>0</x:v>
      </x:c>
      <x:c r="I357" s="6" t="n">
        <x:f>N356</x:f>
        <x:v>0</x:v>
      </x:c>
      <x:c r="J357" s="6" t="n">
        <x:f>ROUND(I357*'Debt strategy'!$D$10/12,2)</x:f>
        <x:v>0</x:v>
      </x:c>
      <x:c r="K357" s="6" t="n">
        <x:f>MIN(I357+J357,'Debt strategy'!$E$10)</x:f>
        <x:v>0</x:v>
      </x:c>
      <x:c r="L357" s="27" t="n">
        <x:f>IF(I357+J357-K357&lt;=0,99,1+SUM(IF(AND(C357+D357-E357&gt;0,OR(C357+D357-E357&lt;I357+J357-K357,AND(C357+D357-E357=I357+J357-K357,0&lt;1))),1,0),IF(AND(O357+P357-Q357&gt;0,OR(O357+P357-Q357&lt;I357+J357-K357,AND(O357+P357-Q357=I357+J357-K357,2&lt;1))),1,0),IF(AND(U357+V357-W357&gt;0,OR(U357+V357-W357&lt;I357+J357-K357,AND(U357+V357-W357=I357+J357-K357,3&lt;1))),1,0),IF(AND(AA357+AB357-AC357&gt;0,OR(AA357+AB357-AC357&lt;I357+J357-K357,AND(AA357+AB357-AC357=I357+J357-K357,4&lt;1))),1,0)))</x:f>
        <x:v>99</x:v>
      </x:c>
      <x:c r="M357" s="6" t="n">
        <x:f>IF('Debt strategy'!$C$16&gt;0,0,MIN(I357+J357-K357,MAX(0,'Debt strategy'!$C$5-SUM(E357,K357,Q357,W357,AC357)-SUM(IF(F357&lt;L357,C357+D357-E357,0),IF(R357&lt;L357,O357+P357-Q357,0),IF(X357&lt;L357,U357+V357-W357,0),IF(AD357&lt;L357,AA357+AB357-AC357,0)))))</x:f>
        <x:v>0</x:v>
      </x:c>
      <x:c r="N357" s="6" t="n">
        <x:f>ROUND(MAX(0,I357+J357-K357-M357),2)</x:f>
        <x:v>0</x:v>
      </x:c>
      <x:c r="O357" s="6" t="n">
        <x:f>T356</x:f>
        <x:v>0</x:v>
      </x:c>
      <x:c r="P357" s="6" t="n">
        <x:f>ROUND(O357*'Debt strategy'!$D$11/12,2)</x:f>
        <x:v>0</x:v>
      </x:c>
      <x:c r="Q357" s="6" t="n">
        <x:f>MIN(O357+P357,'Debt strategy'!$E$11)</x:f>
        <x:v>0</x:v>
      </x:c>
      <x:c r="R357" s="27" t="n">
        <x:f>IF(O357+P357-Q357&lt;=0,99,1+SUM(IF(AND(C357+D357-E357&gt;0,OR(C357+D357-E357&lt;O357+P357-Q357,AND(C357+D357-E357=O357+P357-Q357,0&lt;2))),1,0),IF(AND(I357+J357-K357&gt;0,OR(I357+J357-K357&lt;O357+P357-Q357,AND(I357+J357-K357=O357+P357-Q357,1&lt;2))),1,0),IF(AND(U357+V357-W357&gt;0,OR(U357+V357-W357&lt;O357+P357-Q357,AND(U357+V357-W357=O357+P357-Q357,3&lt;2))),1,0),IF(AND(AA357+AB357-AC357&gt;0,OR(AA357+AB357-AC357&lt;O357+P357-Q357,AND(AA357+AB357-AC357=O357+P357-Q357,4&lt;2))),1,0)))</x:f>
        <x:v>99</x:v>
      </x:c>
      <x:c r="S357" s="6" t="n">
        <x:f>IF('Debt strategy'!$C$16&gt;0,0,MIN(O357+P357-Q357,MAX(0,'Debt strategy'!$C$5-SUM(E357,K357,Q357,W357,AC357)-SUM(IF(F357&lt;R357,C357+D357-E357,0),IF(L357&lt;R357,I357+J357-K357,0),IF(X357&lt;R357,U357+V357-W357,0),IF(AD357&lt;R357,AA357+AB357-AC357,0)))))</x:f>
        <x:v>0</x:v>
      </x:c>
      <x:c r="T357" s="6" t="n">
        <x:f>ROUND(MAX(0,O357+P357-Q357-S357),2)</x:f>
        <x:v>0</x:v>
      </x:c>
      <x:c r="U357" s="6" t="n">
        <x:f>Z356</x:f>
        <x:v>0</x:v>
      </x:c>
      <x:c r="V357" s="6" t="n">
        <x:f>ROUND(U357*'Debt strategy'!$D$12/12,2)</x:f>
        <x:v>0</x:v>
      </x:c>
      <x:c r="W357" s="6" t="n">
        <x:f>MIN(U357+V357,'Debt strategy'!$E$12)</x:f>
        <x:v>0</x:v>
      </x:c>
      <x:c r="X357" s="27" t="n">
        <x:f>IF(U357+V357-W357&lt;=0,99,1+SUM(IF(AND(C357+D357-E357&gt;0,OR(C357+D357-E357&lt;U357+V357-W357,AND(C357+D357-E357=U357+V357-W357,0&lt;3))),1,0),IF(AND(I357+J357-K357&gt;0,OR(I357+J357-K357&lt;U357+V357-W357,AND(I357+J357-K357=U357+V357-W357,1&lt;3))),1,0),IF(AND(O357+P357-Q357&gt;0,OR(O357+P357-Q357&lt;U357+V357-W357,AND(O357+P357-Q357=U357+V357-W357,2&lt;3))),1,0),IF(AND(AA357+AB357-AC357&gt;0,OR(AA357+AB357-AC357&lt;U357+V357-W357,AND(AA357+AB357-AC357=U357+V357-W357,4&lt;3))),1,0)))</x:f>
        <x:v>99</x:v>
      </x:c>
      <x:c r="Y357" s="6" t="n">
        <x:f>IF('Debt strategy'!$C$16&gt;0,0,MIN(U357+V357-W357,MAX(0,'Debt strategy'!$C$5-SUM(E357,K357,Q357,W357,AC357)-SUM(IF(F357&lt;X357,C357+D357-E357,0),IF(L357&lt;X357,I357+J357-K357,0),IF(R357&lt;X357,O357+P357-Q357,0),IF(AD357&lt;X357,AA357+AB357-AC357,0)))))</x:f>
        <x:v>0</x:v>
      </x:c>
      <x:c r="Z357" s="6" t="n">
        <x:f>ROUND(MAX(0,U357+V357-W357-Y357),2)</x:f>
        <x:v>0</x:v>
      </x:c>
      <x:c r="AA357" s="6" t="n">
        <x:f>AF356</x:f>
        <x:v>0</x:v>
      </x:c>
      <x:c r="AB357" s="6" t="n">
        <x:f>ROUND(AA357*'Debt strategy'!$D$13/12,2)</x:f>
        <x:v>0</x:v>
      </x:c>
      <x:c r="AC357" s="6" t="n">
        <x:f>MIN(AA357+AB357,'Debt strategy'!$E$13)</x:f>
        <x:v>0</x:v>
      </x:c>
      <x:c r="AD357" s="27" t="n">
        <x:f>IF(AA357+AB357-AC357&lt;=0,99,1+SUM(IF(AND(C357+D357-E357&gt;0,OR(C357+D357-E357&lt;AA357+AB357-AC357,AND(C357+D357-E357=AA357+AB357-AC357,0&lt;4))),1,0),IF(AND(I357+J357-K357&gt;0,OR(I357+J357-K357&lt;AA357+AB357-AC357,AND(I357+J357-K357=AA357+AB357-AC357,1&lt;4))),1,0),IF(AND(O357+P357-Q357&gt;0,OR(O357+P357-Q357&lt;AA357+AB357-AC357,AND(O357+P357-Q357=AA357+AB357-AC357,2&lt;4))),1,0),IF(AND(U357+V357-W357&gt;0,OR(U357+V357-W357&lt;AA357+AB357-AC357,AND(U357+V357-W357=AA357+AB357-AC357,3&lt;4))),1,0)))</x:f>
        <x:v>99</x:v>
      </x:c>
      <x:c r="AE357" s="6" t="n">
        <x:f>IF('Debt strategy'!$C$16&gt;0,0,MIN(AA357+AB357-AC357,MAX(0,'Debt strategy'!$C$5-SUM(E357,K357,Q357,W357,AC357)-SUM(IF(F357&lt;AD357,C357+D357-E357,0),IF(L357&lt;AD357,I357+J357-K357,0),IF(R357&lt;AD357,O357+P357-Q357,0),IF(X357&lt;AD357,U357+V357-W357,0)))))</x:f>
        <x:v>0</x:v>
      </x:c>
      <x:c r="AF357" s="6" t="n">
        <x:f>ROUND(MAX(0,AA357+AB357-AC357-AE357),2)</x:f>
        <x:v>0</x:v>
      </x:c>
      <x:c r="AG357" s="6" t="n">
        <x:f>SUM(H357,N357,T357,Z357,AF357)</x:f>
        <x:v>0</x:v>
      </x:c>
      <x:c r="AH357" s="6" t="n">
        <x:f>SUM(D357,J357,P357,V357,AB357)+AH356</x:f>
        <x:v>1353.9499999999996</x:v>
      </x:c>
      <x:c r="AI357" s="2"/>
    </x:row>
    <x:row r="358" ht="23" customHeight="1">
      <x:c r="B358" s="2" t="n">
        <x:f>350</x:f>
        <x:v>350</x:v>
      </x:c>
      <x:c r="C358" s="6" t="n">
        <x:f>H357</x:f>
        <x:v>0</x:v>
      </x:c>
      <x:c r="D358" s="6" t="n">
        <x:f>ROUND(C358*'Debt strategy'!$D$9/12,2)</x:f>
        <x:v>0</x:v>
      </x:c>
      <x:c r="E358" s="6" t="n">
        <x:f>MIN(C358+D358,'Debt strategy'!$E$9)</x:f>
        <x:v>0</x:v>
      </x:c>
      <x:c r="F358" s="27" t="n">
        <x:f>IF(C358+D358-E358&lt;=0,99,1+SUM(IF(AND(I358+J358-K358&gt;0,OR(I358+J358-K358&lt;C358+D358-E358,AND(I358+J358-K358=C358+D358-E358,1&lt;0))),1,0),IF(AND(O358+P358-Q358&gt;0,OR(O358+P358-Q358&lt;C358+D358-E358,AND(O358+P358-Q358=C358+D358-E358,2&lt;0))),1,0),IF(AND(U358+V358-W358&gt;0,OR(U358+V358-W358&lt;C358+D358-E358,AND(U358+V358-W358=C358+D358-E358,3&lt;0))),1,0),IF(AND(AA358+AB358-AC358&gt;0,OR(AA358+AB358-AC358&lt;C358+D358-E358,AND(AA358+AB358-AC358=C358+D358-E358,4&lt;0))),1,0)))</x:f>
        <x:v>99</x:v>
      </x:c>
      <x:c r="G358" s="6" t="n">
        <x:f>IF('Debt strategy'!$C$16&gt;0,0,MIN(C358+D358-E358,MAX(0,'Debt strategy'!$C$5-SUM(E358,K358,Q358,W358,AC358)-SUM(IF(L358&lt;F358,I358+J358-K358,0),IF(R358&lt;F358,O358+P358-Q358,0),IF(X358&lt;F358,U358+V358-W358,0),IF(AD358&lt;F358,AA358+AB358-AC358,0)))))</x:f>
        <x:v>0</x:v>
      </x:c>
      <x:c r="H358" s="6" t="n">
        <x:f>ROUND(MAX(0,C358+D358-E358-G358),2)</x:f>
        <x:v>0</x:v>
      </x:c>
      <x:c r="I358" s="6" t="n">
        <x:f>N357</x:f>
        <x:v>0</x:v>
      </x:c>
      <x:c r="J358" s="6" t="n">
        <x:f>ROUND(I358*'Debt strategy'!$D$10/12,2)</x:f>
        <x:v>0</x:v>
      </x:c>
      <x:c r="K358" s="6" t="n">
        <x:f>MIN(I358+J358,'Debt strategy'!$E$10)</x:f>
        <x:v>0</x:v>
      </x:c>
      <x:c r="L358" s="27" t="n">
        <x:f>IF(I358+J358-K358&lt;=0,99,1+SUM(IF(AND(C358+D358-E358&gt;0,OR(C358+D358-E358&lt;I358+J358-K358,AND(C358+D358-E358=I358+J358-K358,0&lt;1))),1,0),IF(AND(O358+P358-Q358&gt;0,OR(O358+P358-Q358&lt;I358+J358-K358,AND(O358+P358-Q358=I358+J358-K358,2&lt;1))),1,0),IF(AND(U358+V358-W358&gt;0,OR(U358+V358-W358&lt;I358+J358-K358,AND(U358+V358-W358=I358+J358-K358,3&lt;1))),1,0),IF(AND(AA358+AB358-AC358&gt;0,OR(AA358+AB358-AC358&lt;I358+J358-K358,AND(AA358+AB358-AC358=I358+J358-K358,4&lt;1))),1,0)))</x:f>
        <x:v>99</x:v>
      </x:c>
      <x:c r="M358" s="6" t="n">
        <x:f>IF('Debt strategy'!$C$16&gt;0,0,MIN(I358+J358-K358,MAX(0,'Debt strategy'!$C$5-SUM(E358,K358,Q358,W358,AC358)-SUM(IF(F358&lt;L358,C358+D358-E358,0),IF(R358&lt;L358,O358+P358-Q358,0),IF(X358&lt;L358,U358+V358-W358,0),IF(AD358&lt;L358,AA358+AB358-AC358,0)))))</x:f>
        <x:v>0</x:v>
      </x:c>
      <x:c r="N358" s="6" t="n">
        <x:f>ROUND(MAX(0,I358+J358-K358-M358),2)</x:f>
        <x:v>0</x:v>
      </x:c>
      <x:c r="O358" s="6" t="n">
        <x:f>T357</x:f>
        <x:v>0</x:v>
      </x:c>
      <x:c r="P358" s="6" t="n">
        <x:f>ROUND(O358*'Debt strategy'!$D$11/12,2)</x:f>
        <x:v>0</x:v>
      </x:c>
      <x:c r="Q358" s="6" t="n">
        <x:f>MIN(O358+P358,'Debt strategy'!$E$11)</x:f>
        <x:v>0</x:v>
      </x:c>
      <x:c r="R358" s="27" t="n">
        <x:f>IF(O358+P358-Q358&lt;=0,99,1+SUM(IF(AND(C358+D358-E358&gt;0,OR(C358+D358-E358&lt;O358+P358-Q358,AND(C358+D358-E358=O358+P358-Q358,0&lt;2))),1,0),IF(AND(I358+J358-K358&gt;0,OR(I358+J358-K358&lt;O358+P358-Q358,AND(I358+J358-K358=O358+P358-Q358,1&lt;2))),1,0),IF(AND(U358+V358-W358&gt;0,OR(U358+V358-W358&lt;O358+P358-Q358,AND(U358+V358-W358=O358+P358-Q358,3&lt;2))),1,0),IF(AND(AA358+AB358-AC358&gt;0,OR(AA358+AB358-AC358&lt;O358+P358-Q358,AND(AA358+AB358-AC358=O358+P358-Q358,4&lt;2))),1,0)))</x:f>
        <x:v>99</x:v>
      </x:c>
      <x:c r="S358" s="6" t="n">
        <x:f>IF('Debt strategy'!$C$16&gt;0,0,MIN(O358+P358-Q358,MAX(0,'Debt strategy'!$C$5-SUM(E358,K358,Q358,W358,AC358)-SUM(IF(F358&lt;R358,C358+D358-E358,0),IF(L358&lt;R358,I358+J358-K358,0),IF(X358&lt;R358,U358+V358-W358,0),IF(AD358&lt;R358,AA358+AB358-AC358,0)))))</x:f>
        <x:v>0</x:v>
      </x:c>
      <x:c r="T358" s="6" t="n">
        <x:f>ROUND(MAX(0,O358+P358-Q358-S358),2)</x:f>
        <x:v>0</x:v>
      </x:c>
      <x:c r="U358" s="6" t="n">
        <x:f>Z357</x:f>
        <x:v>0</x:v>
      </x:c>
      <x:c r="V358" s="6" t="n">
        <x:f>ROUND(U358*'Debt strategy'!$D$12/12,2)</x:f>
        <x:v>0</x:v>
      </x:c>
      <x:c r="W358" s="6" t="n">
        <x:f>MIN(U358+V358,'Debt strategy'!$E$12)</x:f>
        <x:v>0</x:v>
      </x:c>
      <x:c r="X358" s="27" t="n">
        <x:f>IF(U358+V358-W358&lt;=0,99,1+SUM(IF(AND(C358+D358-E358&gt;0,OR(C358+D358-E358&lt;U358+V358-W358,AND(C358+D358-E358=U358+V358-W358,0&lt;3))),1,0),IF(AND(I358+J358-K358&gt;0,OR(I358+J358-K358&lt;U358+V358-W358,AND(I358+J358-K358=U358+V358-W358,1&lt;3))),1,0),IF(AND(O358+P358-Q358&gt;0,OR(O358+P358-Q358&lt;U358+V358-W358,AND(O358+P358-Q358=U358+V358-W358,2&lt;3))),1,0),IF(AND(AA358+AB358-AC358&gt;0,OR(AA358+AB358-AC358&lt;U358+V358-W358,AND(AA358+AB358-AC358=U358+V358-W358,4&lt;3))),1,0)))</x:f>
        <x:v>99</x:v>
      </x:c>
      <x:c r="Y358" s="6" t="n">
        <x:f>IF('Debt strategy'!$C$16&gt;0,0,MIN(U358+V358-W358,MAX(0,'Debt strategy'!$C$5-SUM(E358,K358,Q358,W358,AC358)-SUM(IF(F358&lt;X358,C358+D358-E358,0),IF(L358&lt;X358,I358+J358-K358,0),IF(R358&lt;X358,O358+P358-Q358,0),IF(AD358&lt;X358,AA358+AB358-AC358,0)))))</x:f>
        <x:v>0</x:v>
      </x:c>
      <x:c r="Z358" s="6" t="n">
        <x:f>ROUND(MAX(0,U358+V358-W358-Y358),2)</x:f>
        <x:v>0</x:v>
      </x:c>
      <x:c r="AA358" s="6" t="n">
        <x:f>AF357</x:f>
        <x:v>0</x:v>
      </x:c>
      <x:c r="AB358" s="6" t="n">
        <x:f>ROUND(AA358*'Debt strategy'!$D$13/12,2)</x:f>
        <x:v>0</x:v>
      </x:c>
      <x:c r="AC358" s="6" t="n">
        <x:f>MIN(AA358+AB358,'Debt strategy'!$E$13)</x:f>
        <x:v>0</x:v>
      </x:c>
      <x:c r="AD358" s="27" t="n">
        <x:f>IF(AA358+AB358-AC358&lt;=0,99,1+SUM(IF(AND(C358+D358-E358&gt;0,OR(C358+D358-E358&lt;AA358+AB358-AC358,AND(C358+D358-E358=AA358+AB358-AC358,0&lt;4))),1,0),IF(AND(I358+J358-K358&gt;0,OR(I358+J358-K358&lt;AA358+AB358-AC358,AND(I358+J358-K358=AA358+AB358-AC358,1&lt;4))),1,0),IF(AND(O358+P358-Q358&gt;0,OR(O358+P358-Q358&lt;AA358+AB358-AC358,AND(O358+P358-Q358=AA358+AB358-AC358,2&lt;4))),1,0),IF(AND(U358+V358-W358&gt;0,OR(U358+V358-W358&lt;AA358+AB358-AC358,AND(U358+V358-W358=AA358+AB358-AC358,3&lt;4))),1,0)))</x:f>
        <x:v>99</x:v>
      </x:c>
      <x:c r="AE358" s="6" t="n">
        <x:f>IF('Debt strategy'!$C$16&gt;0,0,MIN(AA358+AB358-AC358,MAX(0,'Debt strategy'!$C$5-SUM(E358,K358,Q358,W358,AC358)-SUM(IF(F358&lt;AD358,C358+D358-E358,0),IF(L358&lt;AD358,I358+J358-K358,0),IF(R358&lt;AD358,O358+P358-Q358,0),IF(X358&lt;AD358,U358+V358-W358,0)))))</x:f>
        <x:v>0</x:v>
      </x:c>
      <x:c r="AF358" s="6" t="n">
        <x:f>ROUND(MAX(0,AA358+AB358-AC358-AE358),2)</x:f>
        <x:v>0</x:v>
      </x:c>
      <x:c r="AG358" s="6" t="n">
        <x:f>SUM(H358,N358,T358,Z358,AF358)</x:f>
        <x:v>0</x:v>
      </x:c>
      <x:c r="AH358" s="6" t="n">
        <x:f>SUM(D358,J358,P358,V358,AB358)+AH357</x:f>
        <x:v>1353.9499999999996</x:v>
      </x:c>
      <x:c r="AI358" s="2"/>
    </x:row>
    <x:row r="359" ht="23" customHeight="1">
      <x:c r="B359" s="2" t="n">
        <x:f>351</x:f>
        <x:v>351</x:v>
      </x:c>
      <x:c r="C359" s="6" t="n">
        <x:f>H358</x:f>
        <x:v>0</x:v>
      </x:c>
      <x:c r="D359" s="6" t="n">
        <x:f>ROUND(C359*'Debt strategy'!$D$9/12,2)</x:f>
        <x:v>0</x:v>
      </x:c>
      <x:c r="E359" s="6" t="n">
        <x:f>MIN(C359+D359,'Debt strategy'!$E$9)</x:f>
        <x:v>0</x:v>
      </x:c>
      <x:c r="F359" s="27" t="n">
        <x:f>IF(C359+D359-E359&lt;=0,99,1+SUM(IF(AND(I359+J359-K359&gt;0,OR(I359+J359-K359&lt;C359+D359-E359,AND(I359+J359-K359=C359+D359-E359,1&lt;0))),1,0),IF(AND(O359+P359-Q359&gt;0,OR(O359+P359-Q359&lt;C359+D359-E359,AND(O359+P359-Q359=C359+D359-E359,2&lt;0))),1,0),IF(AND(U359+V359-W359&gt;0,OR(U359+V359-W359&lt;C359+D359-E359,AND(U359+V359-W359=C359+D359-E359,3&lt;0))),1,0),IF(AND(AA359+AB359-AC359&gt;0,OR(AA359+AB359-AC359&lt;C359+D359-E359,AND(AA359+AB359-AC359=C359+D359-E359,4&lt;0))),1,0)))</x:f>
        <x:v>99</x:v>
      </x:c>
      <x:c r="G359" s="6" t="n">
        <x:f>IF('Debt strategy'!$C$16&gt;0,0,MIN(C359+D359-E359,MAX(0,'Debt strategy'!$C$5-SUM(E359,K359,Q359,W359,AC359)-SUM(IF(L359&lt;F359,I359+J359-K359,0),IF(R359&lt;F359,O359+P359-Q359,0),IF(X359&lt;F359,U359+V359-W359,0),IF(AD359&lt;F359,AA359+AB359-AC359,0)))))</x:f>
        <x:v>0</x:v>
      </x:c>
      <x:c r="H359" s="6" t="n">
        <x:f>ROUND(MAX(0,C359+D359-E359-G359),2)</x:f>
        <x:v>0</x:v>
      </x:c>
      <x:c r="I359" s="6" t="n">
        <x:f>N358</x:f>
        <x:v>0</x:v>
      </x:c>
      <x:c r="J359" s="6" t="n">
        <x:f>ROUND(I359*'Debt strategy'!$D$10/12,2)</x:f>
        <x:v>0</x:v>
      </x:c>
      <x:c r="K359" s="6" t="n">
        <x:f>MIN(I359+J359,'Debt strategy'!$E$10)</x:f>
        <x:v>0</x:v>
      </x:c>
      <x:c r="L359" s="27" t="n">
        <x:f>IF(I359+J359-K359&lt;=0,99,1+SUM(IF(AND(C359+D359-E359&gt;0,OR(C359+D359-E359&lt;I359+J359-K359,AND(C359+D359-E359=I359+J359-K359,0&lt;1))),1,0),IF(AND(O359+P359-Q359&gt;0,OR(O359+P359-Q359&lt;I359+J359-K359,AND(O359+P359-Q359=I359+J359-K359,2&lt;1))),1,0),IF(AND(U359+V359-W359&gt;0,OR(U359+V359-W359&lt;I359+J359-K359,AND(U359+V359-W359=I359+J359-K359,3&lt;1))),1,0),IF(AND(AA359+AB359-AC359&gt;0,OR(AA359+AB359-AC359&lt;I359+J359-K359,AND(AA359+AB359-AC359=I359+J359-K359,4&lt;1))),1,0)))</x:f>
        <x:v>99</x:v>
      </x:c>
      <x:c r="M359" s="6" t="n">
        <x:f>IF('Debt strategy'!$C$16&gt;0,0,MIN(I359+J359-K359,MAX(0,'Debt strategy'!$C$5-SUM(E359,K359,Q359,W359,AC359)-SUM(IF(F359&lt;L359,C359+D359-E359,0),IF(R359&lt;L359,O359+P359-Q359,0),IF(X359&lt;L359,U359+V359-W359,0),IF(AD359&lt;L359,AA359+AB359-AC359,0)))))</x:f>
        <x:v>0</x:v>
      </x:c>
      <x:c r="N359" s="6" t="n">
        <x:f>ROUND(MAX(0,I359+J359-K359-M359),2)</x:f>
        <x:v>0</x:v>
      </x:c>
      <x:c r="O359" s="6" t="n">
        <x:f>T358</x:f>
        <x:v>0</x:v>
      </x:c>
      <x:c r="P359" s="6" t="n">
        <x:f>ROUND(O359*'Debt strategy'!$D$11/12,2)</x:f>
        <x:v>0</x:v>
      </x:c>
      <x:c r="Q359" s="6" t="n">
        <x:f>MIN(O359+P359,'Debt strategy'!$E$11)</x:f>
        <x:v>0</x:v>
      </x:c>
      <x:c r="R359" s="27" t="n">
        <x:f>IF(O359+P359-Q359&lt;=0,99,1+SUM(IF(AND(C359+D359-E359&gt;0,OR(C359+D359-E359&lt;O359+P359-Q359,AND(C359+D359-E359=O359+P359-Q359,0&lt;2))),1,0),IF(AND(I359+J359-K359&gt;0,OR(I359+J359-K359&lt;O359+P359-Q359,AND(I359+J359-K359=O359+P359-Q359,1&lt;2))),1,0),IF(AND(U359+V359-W359&gt;0,OR(U359+V359-W359&lt;O359+P359-Q359,AND(U359+V359-W359=O359+P359-Q359,3&lt;2))),1,0),IF(AND(AA359+AB359-AC359&gt;0,OR(AA359+AB359-AC359&lt;O359+P359-Q359,AND(AA359+AB359-AC359=O359+P359-Q359,4&lt;2))),1,0)))</x:f>
        <x:v>99</x:v>
      </x:c>
      <x:c r="S359" s="6" t="n">
        <x:f>IF('Debt strategy'!$C$16&gt;0,0,MIN(O359+P359-Q359,MAX(0,'Debt strategy'!$C$5-SUM(E359,K359,Q359,W359,AC359)-SUM(IF(F359&lt;R359,C359+D359-E359,0),IF(L359&lt;R359,I359+J359-K359,0),IF(X359&lt;R359,U359+V359-W359,0),IF(AD359&lt;R359,AA359+AB359-AC359,0)))))</x:f>
        <x:v>0</x:v>
      </x:c>
      <x:c r="T359" s="6" t="n">
        <x:f>ROUND(MAX(0,O359+P359-Q359-S359),2)</x:f>
        <x:v>0</x:v>
      </x:c>
      <x:c r="U359" s="6" t="n">
        <x:f>Z358</x:f>
        <x:v>0</x:v>
      </x:c>
      <x:c r="V359" s="6" t="n">
        <x:f>ROUND(U359*'Debt strategy'!$D$12/12,2)</x:f>
        <x:v>0</x:v>
      </x:c>
      <x:c r="W359" s="6" t="n">
        <x:f>MIN(U359+V359,'Debt strategy'!$E$12)</x:f>
        <x:v>0</x:v>
      </x:c>
      <x:c r="X359" s="27" t="n">
        <x:f>IF(U359+V359-W359&lt;=0,99,1+SUM(IF(AND(C359+D359-E359&gt;0,OR(C359+D359-E359&lt;U359+V359-W359,AND(C359+D359-E359=U359+V359-W359,0&lt;3))),1,0),IF(AND(I359+J359-K359&gt;0,OR(I359+J359-K359&lt;U359+V359-W359,AND(I359+J359-K359=U359+V359-W359,1&lt;3))),1,0),IF(AND(O359+P359-Q359&gt;0,OR(O359+P359-Q359&lt;U359+V359-W359,AND(O359+P359-Q359=U359+V359-W359,2&lt;3))),1,0),IF(AND(AA359+AB359-AC359&gt;0,OR(AA359+AB359-AC359&lt;U359+V359-W359,AND(AA359+AB359-AC359=U359+V359-W359,4&lt;3))),1,0)))</x:f>
        <x:v>99</x:v>
      </x:c>
      <x:c r="Y359" s="6" t="n">
        <x:f>IF('Debt strategy'!$C$16&gt;0,0,MIN(U359+V359-W359,MAX(0,'Debt strategy'!$C$5-SUM(E359,K359,Q359,W359,AC359)-SUM(IF(F359&lt;X359,C359+D359-E359,0),IF(L359&lt;X359,I359+J359-K359,0),IF(R359&lt;X359,O359+P359-Q359,0),IF(AD359&lt;X359,AA359+AB359-AC359,0)))))</x:f>
        <x:v>0</x:v>
      </x:c>
      <x:c r="Z359" s="6" t="n">
        <x:f>ROUND(MAX(0,U359+V359-W359-Y359),2)</x:f>
        <x:v>0</x:v>
      </x:c>
      <x:c r="AA359" s="6" t="n">
        <x:f>AF358</x:f>
        <x:v>0</x:v>
      </x:c>
      <x:c r="AB359" s="6" t="n">
        <x:f>ROUND(AA359*'Debt strategy'!$D$13/12,2)</x:f>
        <x:v>0</x:v>
      </x:c>
      <x:c r="AC359" s="6" t="n">
        <x:f>MIN(AA359+AB359,'Debt strategy'!$E$13)</x:f>
        <x:v>0</x:v>
      </x:c>
      <x:c r="AD359" s="27" t="n">
        <x:f>IF(AA359+AB359-AC359&lt;=0,99,1+SUM(IF(AND(C359+D359-E359&gt;0,OR(C359+D359-E359&lt;AA359+AB359-AC359,AND(C359+D359-E359=AA359+AB359-AC359,0&lt;4))),1,0),IF(AND(I359+J359-K359&gt;0,OR(I359+J359-K359&lt;AA359+AB359-AC359,AND(I359+J359-K359=AA359+AB359-AC359,1&lt;4))),1,0),IF(AND(O359+P359-Q359&gt;0,OR(O359+P359-Q359&lt;AA359+AB359-AC359,AND(O359+P359-Q359=AA359+AB359-AC359,2&lt;4))),1,0),IF(AND(U359+V359-W359&gt;0,OR(U359+V359-W359&lt;AA359+AB359-AC359,AND(U359+V359-W359=AA359+AB359-AC359,3&lt;4))),1,0)))</x:f>
        <x:v>99</x:v>
      </x:c>
      <x:c r="AE359" s="6" t="n">
        <x:f>IF('Debt strategy'!$C$16&gt;0,0,MIN(AA359+AB359-AC359,MAX(0,'Debt strategy'!$C$5-SUM(E359,K359,Q359,W359,AC359)-SUM(IF(F359&lt;AD359,C359+D359-E359,0),IF(L359&lt;AD359,I359+J359-K359,0),IF(R359&lt;AD359,O359+P359-Q359,0),IF(X359&lt;AD359,U359+V359-W359,0)))))</x:f>
        <x:v>0</x:v>
      </x:c>
      <x:c r="AF359" s="6" t="n">
        <x:f>ROUND(MAX(0,AA359+AB359-AC359-AE359),2)</x:f>
        <x:v>0</x:v>
      </x:c>
      <x:c r="AG359" s="6" t="n">
        <x:f>SUM(H359,N359,T359,Z359,AF359)</x:f>
        <x:v>0</x:v>
      </x:c>
      <x:c r="AH359" s="6" t="n">
        <x:f>SUM(D359,J359,P359,V359,AB359)+AH358</x:f>
        <x:v>1353.9499999999996</x:v>
      </x:c>
      <x:c r="AI359" s="2"/>
    </x:row>
    <x:row r="360" ht="23" customHeight="1">
      <x:c r="B360" s="2" t="n">
        <x:f>352</x:f>
        <x:v>352</x:v>
      </x:c>
      <x:c r="C360" s="6" t="n">
        <x:f>H359</x:f>
        <x:v>0</x:v>
      </x:c>
      <x:c r="D360" s="6" t="n">
        <x:f>ROUND(C360*'Debt strategy'!$D$9/12,2)</x:f>
        <x:v>0</x:v>
      </x:c>
      <x:c r="E360" s="6" t="n">
        <x:f>MIN(C360+D360,'Debt strategy'!$E$9)</x:f>
        <x:v>0</x:v>
      </x:c>
      <x:c r="F360" s="27" t="n">
        <x:f>IF(C360+D360-E360&lt;=0,99,1+SUM(IF(AND(I360+J360-K360&gt;0,OR(I360+J360-K360&lt;C360+D360-E360,AND(I360+J360-K360=C360+D360-E360,1&lt;0))),1,0),IF(AND(O360+P360-Q360&gt;0,OR(O360+P360-Q360&lt;C360+D360-E360,AND(O360+P360-Q360=C360+D360-E360,2&lt;0))),1,0),IF(AND(U360+V360-W360&gt;0,OR(U360+V360-W360&lt;C360+D360-E360,AND(U360+V360-W360=C360+D360-E360,3&lt;0))),1,0),IF(AND(AA360+AB360-AC360&gt;0,OR(AA360+AB360-AC360&lt;C360+D360-E360,AND(AA360+AB360-AC360=C360+D360-E360,4&lt;0))),1,0)))</x:f>
        <x:v>99</x:v>
      </x:c>
      <x:c r="G360" s="6" t="n">
        <x:f>IF('Debt strategy'!$C$16&gt;0,0,MIN(C360+D360-E360,MAX(0,'Debt strategy'!$C$5-SUM(E360,K360,Q360,W360,AC360)-SUM(IF(L360&lt;F360,I360+J360-K360,0),IF(R360&lt;F360,O360+P360-Q360,0),IF(X360&lt;F360,U360+V360-W360,0),IF(AD360&lt;F360,AA360+AB360-AC360,0)))))</x:f>
        <x:v>0</x:v>
      </x:c>
      <x:c r="H360" s="6" t="n">
        <x:f>ROUND(MAX(0,C360+D360-E360-G360),2)</x:f>
        <x:v>0</x:v>
      </x:c>
      <x:c r="I360" s="6" t="n">
        <x:f>N359</x:f>
        <x:v>0</x:v>
      </x:c>
      <x:c r="J360" s="6" t="n">
        <x:f>ROUND(I360*'Debt strategy'!$D$10/12,2)</x:f>
        <x:v>0</x:v>
      </x:c>
      <x:c r="K360" s="6" t="n">
        <x:f>MIN(I360+J360,'Debt strategy'!$E$10)</x:f>
        <x:v>0</x:v>
      </x:c>
      <x:c r="L360" s="27" t="n">
        <x:f>IF(I360+J360-K360&lt;=0,99,1+SUM(IF(AND(C360+D360-E360&gt;0,OR(C360+D360-E360&lt;I360+J360-K360,AND(C360+D360-E360=I360+J360-K360,0&lt;1))),1,0),IF(AND(O360+P360-Q360&gt;0,OR(O360+P360-Q360&lt;I360+J360-K360,AND(O360+P360-Q360=I360+J360-K360,2&lt;1))),1,0),IF(AND(U360+V360-W360&gt;0,OR(U360+V360-W360&lt;I360+J360-K360,AND(U360+V360-W360=I360+J360-K360,3&lt;1))),1,0),IF(AND(AA360+AB360-AC360&gt;0,OR(AA360+AB360-AC360&lt;I360+J360-K360,AND(AA360+AB360-AC360=I360+J360-K360,4&lt;1))),1,0)))</x:f>
        <x:v>99</x:v>
      </x:c>
      <x:c r="M360" s="6" t="n">
        <x:f>IF('Debt strategy'!$C$16&gt;0,0,MIN(I360+J360-K360,MAX(0,'Debt strategy'!$C$5-SUM(E360,K360,Q360,W360,AC360)-SUM(IF(F360&lt;L360,C360+D360-E360,0),IF(R360&lt;L360,O360+P360-Q360,0),IF(X360&lt;L360,U360+V360-W360,0),IF(AD360&lt;L360,AA360+AB360-AC360,0)))))</x:f>
        <x:v>0</x:v>
      </x:c>
      <x:c r="N360" s="6" t="n">
        <x:f>ROUND(MAX(0,I360+J360-K360-M360),2)</x:f>
        <x:v>0</x:v>
      </x:c>
      <x:c r="O360" s="6" t="n">
        <x:f>T359</x:f>
        <x:v>0</x:v>
      </x:c>
      <x:c r="P360" s="6" t="n">
        <x:f>ROUND(O360*'Debt strategy'!$D$11/12,2)</x:f>
        <x:v>0</x:v>
      </x:c>
      <x:c r="Q360" s="6" t="n">
        <x:f>MIN(O360+P360,'Debt strategy'!$E$11)</x:f>
        <x:v>0</x:v>
      </x:c>
      <x:c r="R360" s="27" t="n">
        <x:f>IF(O360+P360-Q360&lt;=0,99,1+SUM(IF(AND(C360+D360-E360&gt;0,OR(C360+D360-E360&lt;O360+P360-Q360,AND(C360+D360-E360=O360+P360-Q360,0&lt;2))),1,0),IF(AND(I360+J360-K360&gt;0,OR(I360+J360-K360&lt;O360+P360-Q360,AND(I360+J360-K360=O360+P360-Q360,1&lt;2))),1,0),IF(AND(U360+V360-W360&gt;0,OR(U360+V360-W360&lt;O360+P360-Q360,AND(U360+V360-W360=O360+P360-Q360,3&lt;2))),1,0),IF(AND(AA360+AB360-AC360&gt;0,OR(AA360+AB360-AC360&lt;O360+P360-Q360,AND(AA360+AB360-AC360=O360+P360-Q360,4&lt;2))),1,0)))</x:f>
        <x:v>99</x:v>
      </x:c>
      <x:c r="S360" s="6" t="n">
        <x:f>IF('Debt strategy'!$C$16&gt;0,0,MIN(O360+P360-Q360,MAX(0,'Debt strategy'!$C$5-SUM(E360,K360,Q360,W360,AC360)-SUM(IF(F360&lt;R360,C360+D360-E360,0),IF(L360&lt;R360,I360+J360-K360,0),IF(X360&lt;R360,U360+V360-W360,0),IF(AD360&lt;R360,AA360+AB360-AC360,0)))))</x:f>
        <x:v>0</x:v>
      </x:c>
      <x:c r="T360" s="6" t="n">
        <x:f>ROUND(MAX(0,O360+P360-Q360-S360),2)</x:f>
        <x:v>0</x:v>
      </x:c>
      <x:c r="U360" s="6" t="n">
        <x:f>Z359</x:f>
        <x:v>0</x:v>
      </x:c>
      <x:c r="V360" s="6" t="n">
        <x:f>ROUND(U360*'Debt strategy'!$D$12/12,2)</x:f>
        <x:v>0</x:v>
      </x:c>
      <x:c r="W360" s="6" t="n">
        <x:f>MIN(U360+V360,'Debt strategy'!$E$12)</x:f>
        <x:v>0</x:v>
      </x:c>
      <x:c r="X360" s="27" t="n">
        <x:f>IF(U360+V360-W360&lt;=0,99,1+SUM(IF(AND(C360+D360-E360&gt;0,OR(C360+D360-E360&lt;U360+V360-W360,AND(C360+D360-E360=U360+V360-W360,0&lt;3))),1,0),IF(AND(I360+J360-K360&gt;0,OR(I360+J360-K360&lt;U360+V360-W360,AND(I360+J360-K360=U360+V360-W360,1&lt;3))),1,0),IF(AND(O360+P360-Q360&gt;0,OR(O360+P360-Q360&lt;U360+V360-W360,AND(O360+P360-Q360=U360+V360-W360,2&lt;3))),1,0),IF(AND(AA360+AB360-AC360&gt;0,OR(AA360+AB360-AC360&lt;U360+V360-W360,AND(AA360+AB360-AC360=U360+V360-W360,4&lt;3))),1,0)))</x:f>
        <x:v>99</x:v>
      </x:c>
      <x:c r="Y360" s="6" t="n">
        <x:f>IF('Debt strategy'!$C$16&gt;0,0,MIN(U360+V360-W360,MAX(0,'Debt strategy'!$C$5-SUM(E360,K360,Q360,W360,AC360)-SUM(IF(F360&lt;X360,C360+D360-E360,0),IF(L360&lt;X360,I360+J360-K360,0),IF(R360&lt;X360,O360+P360-Q360,0),IF(AD360&lt;X360,AA360+AB360-AC360,0)))))</x:f>
        <x:v>0</x:v>
      </x:c>
      <x:c r="Z360" s="6" t="n">
        <x:f>ROUND(MAX(0,U360+V360-W360-Y360),2)</x:f>
        <x:v>0</x:v>
      </x:c>
      <x:c r="AA360" s="6" t="n">
        <x:f>AF359</x:f>
        <x:v>0</x:v>
      </x:c>
      <x:c r="AB360" s="6" t="n">
        <x:f>ROUND(AA360*'Debt strategy'!$D$13/12,2)</x:f>
        <x:v>0</x:v>
      </x:c>
      <x:c r="AC360" s="6" t="n">
        <x:f>MIN(AA360+AB360,'Debt strategy'!$E$13)</x:f>
        <x:v>0</x:v>
      </x:c>
      <x:c r="AD360" s="27" t="n">
        <x:f>IF(AA360+AB360-AC360&lt;=0,99,1+SUM(IF(AND(C360+D360-E360&gt;0,OR(C360+D360-E360&lt;AA360+AB360-AC360,AND(C360+D360-E360=AA360+AB360-AC360,0&lt;4))),1,0),IF(AND(I360+J360-K360&gt;0,OR(I360+J360-K360&lt;AA360+AB360-AC360,AND(I360+J360-K360=AA360+AB360-AC360,1&lt;4))),1,0),IF(AND(O360+P360-Q360&gt;0,OR(O360+P360-Q360&lt;AA360+AB360-AC360,AND(O360+P360-Q360=AA360+AB360-AC360,2&lt;4))),1,0),IF(AND(U360+V360-W360&gt;0,OR(U360+V360-W360&lt;AA360+AB360-AC360,AND(U360+V360-W360=AA360+AB360-AC360,3&lt;4))),1,0)))</x:f>
        <x:v>99</x:v>
      </x:c>
      <x:c r="AE360" s="6" t="n">
        <x:f>IF('Debt strategy'!$C$16&gt;0,0,MIN(AA360+AB360-AC360,MAX(0,'Debt strategy'!$C$5-SUM(E360,K360,Q360,W360,AC360)-SUM(IF(F360&lt;AD360,C360+D360-E360,0),IF(L360&lt;AD360,I360+J360-K360,0),IF(R360&lt;AD360,O360+P360-Q360,0),IF(X360&lt;AD360,U360+V360-W360,0)))))</x:f>
        <x:v>0</x:v>
      </x:c>
      <x:c r="AF360" s="6" t="n">
        <x:f>ROUND(MAX(0,AA360+AB360-AC360-AE360),2)</x:f>
        <x:v>0</x:v>
      </x:c>
      <x:c r="AG360" s="6" t="n">
        <x:f>SUM(H360,N360,T360,Z360,AF360)</x:f>
        <x:v>0</x:v>
      </x:c>
      <x:c r="AH360" s="6" t="n">
        <x:f>SUM(D360,J360,P360,V360,AB360)+AH359</x:f>
        <x:v>1353.9499999999996</x:v>
      </x:c>
      <x:c r="AI360" s="2"/>
    </x:row>
    <x:row r="361" ht="23" customHeight="1">
      <x:c r="B361" s="2" t="n">
        <x:f>353</x:f>
        <x:v>353</x:v>
      </x:c>
      <x:c r="C361" s="6" t="n">
        <x:f>H360</x:f>
        <x:v>0</x:v>
      </x:c>
      <x:c r="D361" s="6" t="n">
        <x:f>ROUND(C361*'Debt strategy'!$D$9/12,2)</x:f>
        <x:v>0</x:v>
      </x:c>
      <x:c r="E361" s="6" t="n">
        <x:f>MIN(C361+D361,'Debt strategy'!$E$9)</x:f>
        <x:v>0</x:v>
      </x:c>
      <x:c r="F361" s="27" t="n">
        <x:f>IF(C361+D361-E361&lt;=0,99,1+SUM(IF(AND(I361+J361-K361&gt;0,OR(I361+J361-K361&lt;C361+D361-E361,AND(I361+J361-K361=C361+D361-E361,1&lt;0))),1,0),IF(AND(O361+P361-Q361&gt;0,OR(O361+P361-Q361&lt;C361+D361-E361,AND(O361+P361-Q361=C361+D361-E361,2&lt;0))),1,0),IF(AND(U361+V361-W361&gt;0,OR(U361+V361-W361&lt;C361+D361-E361,AND(U361+V361-W361=C361+D361-E361,3&lt;0))),1,0),IF(AND(AA361+AB361-AC361&gt;0,OR(AA361+AB361-AC361&lt;C361+D361-E361,AND(AA361+AB361-AC361=C361+D361-E361,4&lt;0))),1,0)))</x:f>
        <x:v>99</x:v>
      </x:c>
      <x:c r="G361" s="6" t="n">
        <x:f>IF('Debt strategy'!$C$16&gt;0,0,MIN(C361+D361-E361,MAX(0,'Debt strategy'!$C$5-SUM(E361,K361,Q361,W361,AC361)-SUM(IF(L361&lt;F361,I361+J361-K361,0),IF(R361&lt;F361,O361+P361-Q361,0),IF(X361&lt;F361,U361+V361-W361,0),IF(AD361&lt;F361,AA361+AB361-AC361,0)))))</x:f>
        <x:v>0</x:v>
      </x:c>
      <x:c r="H361" s="6" t="n">
        <x:f>ROUND(MAX(0,C361+D361-E361-G361),2)</x:f>
        <x:v>0</x:v>
      </x:c>
      <x:c r="I361" s="6" t="n">
        <x:f>N360</x:f>
        <x:v>0</x:v>
      </x:c>
      <x:c r="J361" s="6" t="n">
        <x:f>ROUND(I361*'Debt strategy'!$D$10/12,2)</x:f>
        <x:v>0</x:v>
      </x:c>
      <x:c r="K361" s="6" t="n">
        <x:f>MIN(I361+J361,'Debt strategy'!$E$10)</x:f>
        <x:v>0</x:v>
      </x:c>
      <x:c r="L361" s="27" t="n">
        <x:f>IF(I361+J361-K361&lt;=0,99,1+SUM(IF(AND(C361+D361-E361&gt;0,OR(C361+D361-E361&lt;I361+J361-K361,AND(C361+D361-E361=I361+J361-K361,0&lt;1))),1,0),IF(AND(O361+P361-Q361&gt;0,OR(O361+P361-Q361&lt;I361+J361-K361,AND(O361+P361-Q361=I361+J361-K361,2&lt;1))),1,0),IF(AND(U361+V361-W361&gt;0,OR(U361+V361-W361&lt;I361+J361-K361,AND(U361+V361-W361=I361+J361-K361,3&lt;1))),1,0),IF(AND(AA361+AB361-AC361&gt;0,OR(AA361+AB361-AC361&lt;I361+J361-K361,AND(AA361+AB361-AC361=I361+J361-K361,4&lt;1))),1,0)))</x:f>
        <x:v>99</x:v>
      </x:c>
      <x:c r="M361" s="6" t="n">
        <x:f>IF('Debt strategy'!$C$16&gt;0,0,MIN(I361+J361-K361,MAX(0,'Debt strategy'!$C$5-SUM(E361,K361,Q361,W361,AC361)-SUM(IF(F361&lt;L361,C361+D361-E361,0),IF(R361&lt;L361,O361+P361-Q361,0),IF(X361&lt;L361,U361+V361-W361,0),IF(AD361&lt;L361,AA361+AB361-AC361,0)))))</x:f>
        <x:v>0</x:v>
      </x:c>
      <x:c r="N361" s="6" t="n">
        <x:f>ROUND(MAX(0,I361+J361-K361-M361),2)</x:f>
        <x:v>0</x:v>
      </x:c>
      <x:c r="O361" s="6" t="n">
        <x:f>T360</x:f>
        <x:v>0</x:v>
      </x:c>
      <x:c r="P361" s="6" t="n">
        <x:f>ROUND(O361*'Debt strategy'!$D$11/12,2)</x:f>
        <x:v>0</x:v>
      </x:c>
      <x:c r="Q361" s="6" t="n">
        <x:f>MIN(O361+P361,'Debt strategy'!$E$11)</x:f>
        <x:v>0</x:v>
      </x:c>
      <x:c r="R361" s="27" t="n">
        <x:f>IF(O361+P361-Q361&lt;=0,99,1+SUM(IF(AND(C361+D361-E361&gt;0,OR(C361+D361-E361&lt;O361+P361-Q361,AND(C361+D361-E361=O361+P361-Q361,0&lt;2))),1,0),IF(AND(I361+J361-K361&gt;0,OR(I361+J361-K361&lt;O361+P361-Q361,AND(I361+J361-K361=O361+P361-Q361,1&lt;2))),1,0),IF(AND(U361+V361-W361&gt;0,OR(U361+V361-W361&lt;O361+P361-Q361,AND(U361+V361-W361=O361+P361-Q361,3&lt;2))),1,0),IF(AND(AA361+AB361-AC361&gt;0,OR(AA361+AB361-AC361&lt;O361+P361-Q361,AND(AA361+AB361-AC361=O361+P361-Q361,4&lt;2))),1,0)))</x:f>
        <x:v>99</x:v>
      </x:c>
      <x:c r="S361" s="6" t="n">
        <x:f>IF('Debt strategy'!$C$16&gt;0,0,MIN(O361+P361-Q361,MAX(0,'Debt strategy'!$C$5-SUM(E361,K361,Q361,W361,AC361)-SUM(IF(F361&lt;R361,C361+D361-E361,0),IF(L361&lt;R361,I361+J361-K361,0),IF(X361&lt;R361,U361+V361-W361,0),IF(AD361&lt;R361,AA361+AB361-AC361,0)))))</x:f>
        <x:v>0</x:v>
      </x:c>
      <x:c r="T361" s="6" t="n">
        <x:f>ROUND(MAX(0,O361+P361-Q361-S361),2)</x:f>
        <x:v>0</x:v>
      </x:c>
      <x:c r="U361" s="6" t="n">
        <x:f>Z360</x:f>
        <x:v>0</x:v>
      </x:c>
      <x:c r="V361" s="6" t="n">
        <x:f>ROUND(U361*'Debt strategy'!$D$12/12,2)</x:f>
        <x:v>0</x:v>
      </x:c>
      <x:c r="W361" s="6" t="n">
        <x:f>MIN(U361+V361,'Debt strategy'!$E$12)</x:f>
        <x:v>0</x:v>
      </x:c>
      <x:c r="X361" s="27" t="n">
        <x:f>IF(U361+V361-W361&lt;=0,99,1+SUM(IF(AND(C361+D361-E361&gt;0,OR(C361+D361-E361&lt;U361+V361-W361,AND(C361+D361-E361=U361+V361-W361,0&lt;3))),1,0),IF(AND(I361+J361-K361&gt;0,OR(I361+J361-K361&lt;U361+V361-W361,AND(I361+J361-K361=U361+V361-W361,1&lt;3))),1,0),IF(AND(O361+P361-Q361&gt;0,OR(O361+P361-Q361&lt;U361+V361-W361,AND(O361+P361-Q361=U361+V361-W361,2&lt;3))),1,0),IF(AND(AA361+AB361-AC361&gt;0,OR(AA361+AB361-AC361&lt;U361+V361-W361,AND(AA361+AB361-AC361=U361+V361-W361,4&lt;3))),1,0)))</x:f>
        <x:v>99</x:v>
      </x:c>
      <x:c r="Y361" s="6" t="n">
        <x:f>IF('Debt strategy'!$C$16&gt;0,0,MIN(U361+V361-W361,MAX(0,'Debt strategy'!$C$5-SUM(E361,K361,Q361,W361,AC361)-SUM(IF(F361&lt;X361,C361+D361-E361,0),IF(L361&lt;X361,I361+J361-K361,0),IF(R361&lt;X361,O361+P361-Q361,0),IF(AD361&lt;X361,AA361+AB361-AC361,0)))))</x:f>
        <x:v>0</x:v>
      </x:c>
      <x:c r="Z361" s="6" t="n">
        <x:f>ROUND(MAX(0,U361+V361-W361-Y361),2)</x:f>
        <x:v>0</x:v>
      </x:c>
      <x:c r="AA361" s="6" t="n">
        <x:f>AF360</x:f>
        <x:v>0</x:v>
      </x:c>
      <x:c r="AB361" s="6" t="n">
        <x:f>ROUND(AA361*'Debt strategy'!$D$13/12,2)</x:f>
        <x:v>0</x:v>
      </x:c>
      <x:c r="AC361" s="6" t="n">
        <x:f>MIN(AA361+AB361,'Debt strategy'!$E$13)</x:f>
        <x:v>0</x:v>
      </x:c>
      <x:c r="AD361" s="27" t="n">
        <x:f>IF(AA361+AB361-AC361&lt;=0,99,1+SUM(IF(AND(C361+D361-E361&gt;0,OR(C361+D361-E361&lt;AA361+AB361-AC361,AND(C361+D361-E361=AA361+AB361-AC361,0&lt;4))),1,0),IF(AND(I361+J361-K361&gt;0,OR(I361+J361-K361&lt;AA361+AB361-AC361,AND(I361+J361-K361=AA361+AB361-AC361,1&lt;4))),1,0),IF(AND(O361+P361-Q361&gt;0,OR(O361+P361-Q361&lt;AA361+AB361-AC361,AND(O361+P361-Q361=AA361+AB361-AC361,2&lt;4))),1,0),IF(AND(U361+V361-W361&gt;0,OR(U361+V361-W361&lt;AA361+AB361-AC361,AND(U361+V361-W361=AA361+AB361-AC361,3&lt;4))),1,0)))</x:f>
        <x:v>99</x:v>
      </x:c>
      <x:c r="AE361" s="6" t="n">
        <x:f>IF('Debt strategy'!$C$16&gt;0,0,MIN(AA361+AB361-AC361,MAX(0,'Debt strategy'!$C$5-SUM(E361,K361,Q361,W361,AC361)-SUM(IF(F361&lt;AD361,C361+D361-E361,0),IF(L361&lt;AD361,I361+J361-K361,0),IF(R361&lt;AD361,O361+P361-Q361,0),IF(X361&lt;AD361,U361+V361-W361,0)))))</x:f>
        <x:v>0</x:v>
      </x:c>
      <x:c r="AF361" s="6" t="n">
        <x:f>ROUND(MAX(0,AA361+AB361-AC361-AE361),2)</x:f>
        <x:v>0</x:v>
      </x:c>
      <x:c r="AG361" s="6" t="n">
        <x:f>SUM(H361,N361,T361,Z361,AF361)</x:f>
        <x:v>0</x:v>
      </x:c>
      <x:c r="AH361" s="6" t="n">
        <x:f>SUM(D361,J361,P361,V361,AB361)+AH360</x:f>
        <x:v>1353.9499999999996</x:v>
      </x:c>
      <x:c r="AI361" s="2"/>
    </x:row>
    <x:row r="362" ht="23" customHeight="1">
      <x:c r="B362" s="2" t="n">
        <x:f>354</x:f>
        <x:v>354</x:v>
      </x:c>
      <x:c r="C362" s="6" t="n">
        <x:f>H361</x:f>
        <x:v>0</x:v>
      </x:c>
      <x:c r="D362" s="6" t="n">
        <x:f>ROUND(C362*'Debt strategy'!$D$9/12,2)</x:f>
        <x:v>0</x:v>
      </x:c>
      <x:c r="E362" s="6" t="n">
        <x:f>MIN(C362+D362,'Debt strategy'!$E$9)</x:f>
        <x:v>0</x:v>
      </x:c>
      <x:c r="F362" s="27" t="n">
        <x:f>IF(C362+D362-E362&lt;=0,99,1+SUM(IF(AND(I362+J362-K362&gt;0,OR(I362+J362-K362&lt;C362+D362-E362,AND(I362+J362-K362=C362+D362-E362,1&lt;0))),1,0),IF(AND(O362+P362-Q362&gt;0,OR(O362+P362-Q362&lt;C362+D362-E362,AND(O362+P362-Q362=C362+D362-E362,2&lt;0))),1,0),IF(AND(U362+V362-W362&gt;0,OR(U362+V362-W362&lt;C362+D362-E362,AND(U362+V362-W362=C362+D362-E362,3&lt;0))),1,0),IF(AND(AA362+AB362-AC362&gt;0,OR(AA362+AB362-AC362&lt;C362+D362-E362,AND(AA362+AB362-AC362=C362+D362-E362,4&lt;0))),1,0)))</x:f>
        <x:v>99</x:v>
      </x:c>
      <x:c r="G362" s="6" t="n">
        <x:f>IF('Debt strategy'!$C$16&gt;0,0,MIN(C362+D362-E362,MAX(0,'Debt strategy'!$C$5-SUM(E362,K362,Q362,W362,AC362)-SUM(IF(L362&lt;F362,I362+J362-K362,0),IF(R362&lt;F362,O362+P362-Q362,0),IF(X362&lt;F362,U362+V362-W362,0),IF(AD362&lt;F362,AA362+AB362-AC362,0)))))</x:f>
        <x:v>0</x:v>
      </x:c>
      <x:c r="H362" s="6" t="n">
        <x:f>ROUND(MAX(0,C362+D362-E362-G362),2)</x:f>
        <x:v>0</x:v>
      </x:c>
      <x:c r="I362" s="6" t="n">
        <x:f>N361</x:f>
        <x:v>0</x:v>
      </x:c>
      <x:c r="J362" s="6" t="n">
        <x:f>ROUND(I362*'Debt strategy'!$D$10/12,2)</x:f>
        <x:v>0</x:v>
      </x:c>
      <x:c r="K362" s="6" t="n">
        <x:f>MIN(I362+J362,'Debt strategy'!$E$10)</x:f>
        <x:v>0</x:v>
      </x:c>
      <x:c r="L362" s="27" t="n">
        <x:f>IF(I362+J362-K362&lt;=0,99,1+SUM(IF(AND(C362+D362-E362&gt;0,OR(C362+D362-E362&lt;I362+J362-K362,AND(C362+D362-E362=I362+J362-K362,0&lt;1))),1,0),IF(AND(O362+P362-Q362&gt;0,OR(O362+P362-Q362&lt;I362+J362-K362,AND(O362+P362-Q362=I362+J362-K362,2&lt;1))),1,0),IF(AND(U362+V362-W362&gt;0,OR(U362+V362-W362&lt;I362+J362-K362,AND(U362+V362-W362=I362+J362-K362,3&lt;1))),1,0),IF(AND(AA362+AB362-AC362&gt;0,OR(AA362+AB362-AC362&lt;I362+J362-K362,AND(AA362+AB362-AC362=I362+J362-K362,4&lt;1))),1,0)))</x:f>
        <x:v>99</x:v>
      </x:c>
      <x:c r="M362" s="6" t="n">
        <x:f>IF('Debt strategy'!$C$16&gt;0,0,MIN(I362+J362-K362,MAX(0,'Debt strategy'!$C$5-SUM(E362,K362,Q362,W362,AC362)-SUM(IF(F362&lt;L362,C362+D362-E362,0),IF(R362&lt;L362,O362+P362-Q362,0),IF(X362&lt;L362,U362+V362-W362,0),IF(AD362&lt;L362,AA362+AB362-AC362,0)))))</x:f>
        <x:v>0</x:v>
      </x:c>
      <x:c r="N362" s="6" t="n">
        <x:f>ROUND(MAX(0,I362+J362-K362-M362),2)</x:f>
        <x:v>0</x:v>
      </x:c>
      <x:c r="O362" s="6" t="n">
        <x:f>T361</x:f>
        <x:v>0</x:v>
      </x:c>
      <x:c r="P362" s="6" t="n">
        <x:f>ROUND(O362*'Debt strategy'!$D$11/12,2)</x:f>
        <x:v>0</x:v>
      </x:c>
      <x:c r="Q362" s="6" t="n">
        <x:f>MIN(O362+P362,'Debt strategy'!$E$11)</x:f>
        <x:v>0</x:v>
      </x:c>
      <x:c r="R362" s="27" t="n">
        <x:f>IF(O362+P362-Q362&lt;=0,99,1+SUM(IF(AND(C362+D362-E362&gt;0,OR(C362+D362-E362&lt;O362+P362-Q362,AND(C362+D362-E362=O362+P362-Q362,0&lt;2))),1,0),IF(AND(I362+J362-K362&gt;0,OR(I362+J362-K362&lt;O362+P362-Q362,AND(I362+J362-K362=O362+P362-Q362,1&lt;2))),1,0),IF(AND(U362+V362-W362&gt;0,OR(U362+V362-W362&lt;O362+P362-Q362,AND(U362+V362-W362=O362+P362-Q362,3&lt;2))),1,0),IF(AND(AA362+AB362-AC362&gt;0,OR(AA362+AB362-AC362&lt;O362+P362-Q362,AND(AA362+AB362-AC362=O362+P362-Q362,4&lt;2))),1,0)))</x:f>
        <x:v>99</x:v>
      </x:c>
      <x:c r="S362" s="6" t="n">
        <x:f>IF('Debt strategy'!$C$16&gt;0,0,MIN(O362+P362-Q362,MAX(0,'Debt strategy'!$C$5-SUM(E362,K362,Q362,W362,AC362)-SUM(IF(F362&lt;R362,C362+D362-E362,0),IF(L362&lt;R362,I362+J362-K362,0),IF(X362&lt;R362,U362+V362-W362,0),IF(AD362&lt;R362,AA362+AB362-AC362,0)))))</x:f>
        <x:v>0</x:v>
      </x:c>
      <x:c r="T362" s="6" t="n">
        <x:f>ROUND(MAX(0,O362+P362-Q362-S362),2)</x:f>
        <x:v>0</x:v>
      </x:c>
      <x:c r="U362" s="6" t="n">
        <x:f>Z361</x:f>
        <x:v>0</x:v>
      </x:c>
      <x:c r="V362" s="6" t="n">
        <x:f>ROUND(U362*'Debt strategy'!$D$12/12,2)</x:f>
        <x:v>0</x:v>
      </x:c>
      <x:c r="W362" s="6" t="n">
        <x:f>MIN(U362+V362,'Debt strategy'!$E$12)</x:f>
        <x:v>0</x:v>
      </x:c>
      <x:c r="X362" s="27" t="n">
        <x:f>IF(U362+V362-W362&lt;=0,99,1+SUM(IF(AND(C362+D362-E362&gt;0,OR(C362+D362-E362&lt;U362+V362-W362,AND(C362+D362-E362=U362+V362-W362,0&lt;3))),1,0),IF(AND(I362+J362-K362&gt;0,OR(I362+J362-K362&lt;U362+V362-W362,AND(I362+J362-K362=U362+V362-W362,1&lt;3))),1,0),IF(AND(O362+P362-Q362&gt;0,OR(O362+P362-Q362&lt;U362+V362-W362,AND(O362+P362-Q362=U362+V362-W362,2&lt;3))),1,0),IF(AND(AA362+AB362-AC362&gt;0,OR(AA362+AB362-AC362&lt;U362+V362-W362,AND(AA362+AB362-AC362=U362+V362-W362,4&lt;3))),1,0)))</x:f>
        <x:v>99</x:v>
      </x:c>
      <x:c r="Y362" s="6" t="n">
        <x:f>IF('Debt strategy'!$C$16&gt;0,0,MIN(U362+V362-W362,MAX(0,'Debt strategy'!$C$5-SUM(E362,K362,Q362,W362,AC362)-SUM(IF(F362&lt;X362,C362+D362-E362,0),IF(L362&lt;X362,I362+J362-K362,0),IF(R362&lt;X362,O362+P362-Q362,0),IF(AD362&lt;X362,AA362+AB362-AC362,0)))))</x:f>
        <x:v>0</x:v>
      </x:c>
      <x:c r="Z362" s="6" t="n">
        <x:f>ROUND(MAX(0,U362+V362-W362-Y362),2)</x:f>
        <x:v>0</x:v>
      </x:c>
      <x:c r="AA362" s="6" t="n">
        <x:f>AF361</x:f>
        <x:v>0</x:v>
      </x:c>
      <x:c r="AB362" s="6" t="n">
        <x:f>ROUND(AA362*'Debt strategy'!$D$13/12,2)</x:f>
        <x:v>0</x:v>
      </x:c>
      <x:c r="AC362" s="6" t="n">
        <x:f>MIN(AA362+AB362,'Debt strategy'!$E$13)</x:f>
        <x:v>0</x:v>
      </x:c>
      <x:c r="AD362" s="27" t="n">
        <x:f>IF(AA362+AB362-AC362&lt;=0,99,1+SUM(IF(AND(C362+D362-E362&gt;0,OR(C362+D362-E362&lt;AA362+AB362-AC362,AND(C362+D362-E362=AA362+AB362-AC362,0&lt;4))),1,0),IF(AND(I362+J362-K362&gt;0,OR(I362+J362-K362&lt;AA362+AB362-AC362,AND(I362+J362-K362=AA362+AB362-AC362,1&lt;4))),1,0),IF(AND(O362+P362-Q362&gt;0,OR(O362+P362-Q362&lt;AA362+AB362-AC362,AND(O362+P362-Q362=AA362+AB362-AC362,2&lt;4))),1,0),IF(AND(U362+V362-W362&gt;0,OR(U362+V362-W362&lt;AA362+AB362-AC362,AND(U362+V362-W362=AA362+AB362-AC362,3&lt;4))),1,0)))</x:f>
        <x:v>99</x:v>
      </x:c>
      <x:c r="AE362" s="6" t="n">
        <x:f>IF('Debt strategy'!$C$16&gt;0,0,MIN(AA362+AB362-AC362,MAX(0,'Debt strategy'!$C$5-SUM(E362,K362,Q362,W362,AC362)-SUM(IF(F362&lt;AD362,C362+D362-E362,0),IF(L362&lt;AD362,I362+J362-K362,0),IF(R362&lt;AD362,O362+P362-Q362,0),IF(X362&lt;AD362,U362+V362-W362,0)))))</x:f>
        <x:v>0</x:v>
      </x:c>
      <x:c r="AF362" s="6" t="n">
        <x:f>ROUND(MAX(0,AA362+AB362-AC362-AE362),2)</x:f>
        <x:v>0</x:v>
      </x:c>
      <x:c r="AG362" s="6" t="n">
        <x:f>SUM(H362,N362,T362,Z362,AF362)</x:f>
        <x:v>0</x:v>
      </x:c>
      <x:c r="AH362" s="6" t="n">
        <x:f>SUM(D362,J362,P362,V362,AB362)+AH361</x:f>
        <x:v>1353.9499999999996</x:v>
      </x:c>
      <x:c r="AI362" s="2"/>
    </x:row>
    <x:row r="363" ht="23" customHeight="1">
      <x:c r="B363" s="2" t="n">
        <x:f>355</x:f>
        <x:v>355</x:v>
      </x:c>
      <x:c r="C363" s="6" t="n">
        <x:f>H362</x:f>
        <x:v>0</x:v>
      </x:c>
      <x:c r="D363" s="6" t="n">
        <x:f>ROUND(C363*'Debt strategy'!$D$9/12,2)</x:f>
        <x:v>0</x:v>
      </x:c>
      <x:c r="E363" s="6" t="n">
        <x:f>MIN(C363+D363,'Debt strategy'!$E$9)</x:f>
        <x:v>0</x:v>
      </x:c>
      <x:c r="F363" s="27" t="n">
        <x:f>IF(C363+D363-E363&lt;=0,99,1+SUM(IF(AND(I363+J363-K363&gt;0,OR(I363+J363-K363&lt;C363+D363-E363,AND(I363+J363-K363=C363+D363-E363,1&lt;0))),1,0),IF(AND(O363+P363-Q363&gt;0,OR(O363+P363-Q363&lt;C363+D363-E363,AND(O363+P363-Q363=C363+D363-E363,2&lt;0))),1,0),IF(AND(U363+V363-W363&gt;0,OR(U363+V363-W363&lt;C363+D363-E363,AND(U363+V363-W363=C363+D363-E363,3&lt;0))),1,0),IF(AND(AA363+AB363-AC363&gt;0,OR(AA363+AB363-AC363&lt;C363+D363-E363,AND(AA363+AB363-AC363=C363+D363-E363,4&lt;0))),1,0)))</x:f>
        <x:v>99</x:v>
      </x:c>
      <x:c r="G363" s="6" t="n">
        <x:f>IF('Debt strategy'!$C$16&gt;0,0,MIN(C363+D363-E363,MAX(0,'Debt strategy'!$C$5-SUM(E363,K363,Q363,W363,AC363)-SUM(IF(L363&lt;F363,I363+J363-K363,0),IF(R363&lt;F363,O363+P363-Q363,0),IF(X363&lt;F363,U363+V363-W363,0),IF(AD363&lt;F363,AA363+AB363-AC363,0)))))</x:f>
        <x:v>0</x:v>
      </x:c>
      <x:c r="H363" s="6" t="n">
        <x:f>ROUND(MAX(0,C363+D363-E363-G363),2)</x:f>
        <x:v>0</x:v>
      </x:c>
      <x:c r="I363" s="6" t="n">
        <x:f>N362</x:f>
        <x:v>0</x:v>
      </x:c>
      <x:c r="J363" s="6" t="n">
        <x:f>ROUND(I363*'Debt strategy'!$D$10/12,2)</x:f>
        <x:v>0</x:v>
      </x:c>
      <x:c r="K363" s="6" t="n">
        <x:f>MIN(I363+J363,'Debt strategy'!$E$10)</x:f>
        <x:v>0</x:v>
      </x:c>
      <x:c r="L363" s="27" t="n">
        <x:f>IF(I363+J363-K363&lt;=0,99,1+SUM(IF(AND(C363+D363-E363&gt;0,OR(C363+D363-E363&lt;I363+J363-K363,AND(C363+D363-E363=I363+J363-K363,0&lt;1))),1,0),IF(AND(O363+P363-Q363&gt;0,OR(O363+P363-Q363&lt;I363+J363-K363,AND(O363+P363-Q363=I363+J363-K363,2&lt;1))),1,0),IF(AND(U363+V363-W363&gt;0,OR(U363+V363-W363&lt;I363+J363-K363,AND(U363+V363-W363=I363+J363-K363,3&lt;1))),1,0),IF(AND(AA363+AB363-AC363&gt;0,OR(AA363+AB363-AC363&lt;I363+J363-K363,AND(AA363+AB363-AC363=I363+J363-K363,4&lt;1))),1,0)))</x:f>
        <x:v>99</x:v>
      </x:c>
      <x:c r="M363" s="6" t="n">
        <x:f>IF('Debt strategy'!$C$16&gt;0,0,MIN(I363+J363-K363,MAX(0,'Debt strategy'!$C$5-SUM(E363,K363,Q363,W363,AC363)-SUM(IF(F363&lt;L363,C363+D363-E363,0),IF(R363&lt;L363,O363+P363-Q363,0),IF(X363&lt;L363,U363+V363-W363,0),IF(AD363&lt;L363,AA363+AB363-AC363,0)))))</x:f>
        <x:v>0</x:v>
      </x:c>
      <x:c r="N363" s="6" t="n">
        <x:f>ROUND(MAX(0,I363+J363-K363-M363),2)</x:f>
        <x:v>0</x:v>
      </x:c>
      <x:c r="O363" s="6" t="n">
        <x:f>T362</x:f>
        <x:v>0</x:v>
      </x:c>
      <x:c r="P363" s="6" t="n">
        <x:f>ROUND(O363*'Debt strategy'!$D$11/12,2)</x:f>
        <x:v>0</x:v>
      </x:c>
      <x:c r="Q363" s="6" t="n">
        <x:f>MIN(O363+P363,'Debt strategy'!$E$11)</x:f>
        <x:v>0</x:v>
      </x:c>
      <x:c r="R363" s="27" t="n">
        <x:f>IF(O363+P363-Q363&lt;=0,99,1+SUM(IF(AND(C363+D363-E363&gt;0,OR(C363+D363-E363&lt;O363+P363-Q363,AND(C363+D363-E363=O363+P363-Q363,0&lt;2))),1,0),IF(AND(I363+J363-K363&gt;0,OR(I363+J363-K363&lt;O363+P363-Q363,AND(I363+J363-K363=O363+P363-Q363,1&lt;2))),1,0),IF(AND(U363+V363-W363&gt;0,OR(U363+V363-W363&lt;O363+P363-Q363,AND(U363+V363-W363=O363+P363-Q363,3&lt;2))),1,0),IF(AND(AA363+AB363-AC363&gt;0,OR(AA363+AB363-AC363&lt;O363+P363-Q363,AND(AA363+AB363-AC363=O363+P363-Q363,4&lt;2))),1,0)))</x:f>
        <x:v>99</x:v>
      </x:c>
      <x:c r="S363" s="6" t="n">
        <x:f>IF('Debt strategy'!$C$16&gt;0,0,MIN(O363+P363-Q363,MAX(0,'Debt strategy'!$C$5-SUM(E363,K363,Q363,W363,AC363)-SUM(IF(F363&lt;R363,C363+D363-E363,0),IF(L363&lt;R363,I363+J363-K363,0),IF(X363&lt;R363,U363+V363-W363,0),IF(AD363&lt;R363,AA363+AB363-AC363,0)))))</x:f>
        <x:v>0</x:v>
      </x:c>
      <x:c r="T363" s="6" t="n">
        <x:f>ROUND(MAX(0,O363+P363-Q363-S363),2)</x:f>
        <x:v>0</x:v>
      </x:c>
      <x:c r="U363" s="6" t="n">
        <x:f>Z362</x:f>
        <x:v>0</x:v>
      </x:c>
      <x:c r="V363" s="6" t="n">
        <x:f>ROUND(U363*'Debt strategy'!$D$12/12,2)</x:f>
        <x:v>0</x:v>
      </x:c>
      <x:c r="W363" s="6" t="n">
        <x:f>MIN(U363+V363,'Debt strategy'!$E$12)</x:f>
        <x:v>0</x:v>
      </x:c>
      <x:c r="X363" s="27" t="n">
        <x:f>IF(U363+V363-W363&lt;=0,99,1+SUM(IF(AND(C363+D363-E363&gt;0,OR(C363+D363-E363&lt;U363+V363-W363,AND(C363+D363-E363=U363+V363-W363,0&lt;3))),1,0),IF(AND(I363+J363-K363&gt;0,OR(I363+J363-K363&lt;U363+V363-W363,AND(I363+J363-K363=U363+V363-W363,1&lt;3))),1,0),IF(AND(O363+P363-Q363&gt;0,OR(O363+P363-Q363&lt;U363+V363-W363,AND(O363+P363-Q363=U363+V363-W363,2&lt;3))),1,0),IF(AND(AA363+AB363-AC363&gt;0,OR(AA363+AB363-AC363&lt;U363+V363-W363,AND(AA363+AB363-AC363=U363+V363-W363,4&lt;3))),1,0)))</x:f>
        <x:v>99</x:v>
      </x:c>
      <x:c r="Y363" s="6" t="n">
        <x:f>IF('Debt strategy'!$C$16&gt;0,0,MIN(U363+V363-W363,MAX(0,'Debt strategy'!$C$5-SUM(E363,K363,Q363,W363,AC363)-SUM(IF(F363&lt;X363,C363+D363-E363,0),IF(L363&lt;X363,I363+J363-K363,0),IF(R363&lt;X363,O363+P363-Q363,0),IF(AD363&lt;X363,AA363+AB363-AC363,0)))))</x:f>
        <x:v>0</x:v>
      </x:c>
      <x:c r="Z363" s="6" t="n">
        <x:f>ROUND(MAX(0,U363+V363-W363-Y363),2)</x:f>
        <x:v>0</x:v>
      </x:c>
      <x:c r="AA363" s="6" t="n">
        <x:f>AF362</x:f>
        <x:v>0</x:v>
      </x:c>
      <x:c r="AB363" s="6" t="n">
        <x:f>ROUND(AA363*'Debt strategy'!$D$13/12,2)</x:f>
        <x:v>0</x:v>
      </x:c>
      <x:c r="AC363" s="6" t="n">
        <x:f>MIN(AA363+AB363,'Debt strategy'!$E$13)</x:f>
        <x:v>0</x:v>
      </x:c>
      <x:c r="AD363" s="27" t="n">
        <x:f>IF(AA363+AB363-AC363&lt;=0,99,1+SUM(IF(AND(C363+D363-E363&gt;0,OR(C363+D363-E363&lt;AA363+AB363-AC363,AND(C363+D363-E363=AA363+AB363-AC363,0&lt;4))),1,0),IF(AND(I363+J363-K363&gt;0,OR(I363+J363-K363&lt;AA363+AB363-AC363,AND(I363+J363-K363=AA363+AB363-AC363,1&lt;4))),1,0),IF(AND(O363+P363-Q363&gt;0,OR(O363+P363-Q363&lt;AA363+AB363-AC363,AND(O363+P363-Q363=AA363+AB363-AC363,2&lt;4))),1,0),IF(AND(U363+V363-W363&gt;0,OR(U363+V363-W363&lt;AA363+AB363-AC363,AND(U363+V363-W363=AA363+AB363-AC363,3&lt;4))),1,0)))</x:f>
        <x:v>99</x:v>
      </x:c>
      <x:c r="AE363" s="6" t="n">
        <x:f>IF('Debt strategy'!$C$16&gt;0,0,MIN(AA363+AB363-AC363,MAX(0,'Debt strategy'!$C$5-SUM(E363,K363,Q363,W363,AC363)-SUM(IF(F363&lt;AD363,C363+D363-E363,0),IF(L363&lt;AD363,I363+J363-K363,0),IF(R363&lt;AD363,O363+P363-Q363,0),IF(X363&lt;AD363,U363+V363-W363,0)))))</x:f>
        <x:v>0</x:v>
      </x:c>
      <x:c r="AF363" s="6" t="n">
        <x:f>ROUND(MAX(0,AA363+AB363-AC363-AE363),2)</x:f>
        <x:v>0</x:v>
      </x:c>
      <x:c r="AG363" s="6" t="n">
        <x:f>SUM(H363,N363,T363,Z363,AF363)</x:f>
        <x:v>0</x:v>
      </x:c>
      <x:c r="AH363" s="6" t="n">
        <x:f>SUM(D363,J363,P363,V363,AB363)+AH362</x:f>
        <x:v>1353.9499999999996</x:v>
      </x:c>
      <x:c r="AI363" s="2"/>
    </x:row>
    <x:row r="364" ht="23" customHeight="1">
      <x:c r="B364" s="2" t="n">
        <x:f>356</x:f>
        <x:v>356</x:v>
      </x:c>
      <x:c r="C364" s="6" t="n">
        <x:f>H363</x:f>
        <x:v>0</x:v>
      </x:c>
      <x:c r="D364" s="6" t="n">
        <x:f>ROUND(C364*'Debt strategy'!$D$9/12,2)</x:f>
        <x:v>0</x:v>
      </x:c>
      <x:c r="E364" s="6" t="n">
        <x:f>MIN(C364+D364,'Debt strategy'!$E$9)</x:f>
        <x:v>0</x:v>
      </x:c>
      <x:c r="F364" s="27" t="n">
        <x:f>IF(C364+D364-E364&lt;=0,99,1+SUM(IF(AND(I364+J364-K364&gt;0,OR(I364+J364-K364&lt;C364+D364-E364,AND(I364+J364-K364=C364+D364-E364,1&lt;0))),1,0),IF(AND(O364+P364-Q364&gt;0,OR(O364+P364-Q364&lt;C364+D364-E364,AND(O364+P364-Q364=C364+D364-E364,2&lt;0))),1,0),IF(AND(U364+V364-W364&gt;0,OR(U364+V364-W364&lt;C364+D364-E364,AND(U364+V364-W364=C364+D364-E364,3&lt;0))),1,0),IF(AND(AA364+AB364-AC364&gt;0,OR(AA364+AB364-AC364&lt;C364+D364-E364,AND(AA364+AB364-AC364=C364+D364-E364,4&lt;0))),1,0)))</x:f>
        <x:v>99</x:v>
      </x:c>
      <x:c r="G364" s="6" t="n">
        <x:f>IF('Debt strategy'!$C$16&gt;0,0,MIN(C364+D364-E364,MAX(0,'Debt strategy'!$C$5-SUM(E364,K364,Q364,W364,AC364)-SUM(IF(L364&lt;F364,I364+J364-K364,0),IF(R364&lt;F364,O364+P364-Q364,0),IF(X364&lt;F364,U364+V364-W364,0),IF(AD364&lt;F364,AA364+AB364-AC364,0)))))</x:f>
        <x:v>0</x:v>
      </x:c>
      <x:c r="H364" s="6" t="n">
        <x:f>ROUND(MAX(0,C364+D364-E364-G364),2)</x:f>
        <x:v>0</x:v>
      </x:c>
      <x:c r="I364" s="6" t="n">
        <x:f>N363</x:f>
        <x:v>0</x:v>
      </x:c>
      <x:c r="J364" s="6" t="n">
        <x:f>ROUND(I364*'Debt strategy'!$D$10/12,2)</x:f>
        <x:v>0</x:v>
      </x:c>
      <x:c r="K364" s="6" t="n">
        <x:f>MIN(I364+J364,'Debt strategy'!$E$10)</x:f>
        <x:v>0</x:v>
      </x:c>
      <x:c r="L364" s="27" t="n">
        <x:f>IF(I364+J364-K364&lt;=0,99,1+SUM(IF(AND(C364+D364-E364&gt;0,OR(C364+D364-E364&lt;I364+J364-K364,AND(C364+D364-E364=I364+J364-K364,0&lt;1))),1,0),IF(AND(O364+P364-Q364&gt;0,OR(O364+P364-Q364&lt;I364+J364-K364,AND(O364+P364-Q364=I364+J364-K364,2&lt;1))),1,0),IF(AND(U364+V364-W364&gt;0,OR(U364+V364-W364&lt;I364+J364-K364,AND(U364+V364-W364=I364+J364-K364,3&lt;1))),1,0),IF(AND(AA364+AB364-AC364&gt;0,OR(AA364+AB364-AC364&lt;I364+J364-K364,AND(AA364+AB364-AC364=I364+J364-K364,4&lt;1))),1,0)))</x:f>
        <x:v>99</x:v>
      </x:c>
      <x:c r="M364" s="6" t="n">
        <x:f>IF('Debt strategy'!$C$16&gt;0,0,MIN(I364+J364-K364,MAX(0,'Debt strategy'!$C$5-SUM(E364,K364,Q364,W364,AC364)-SUM(IF(F364&lt;L364,C364+D364-E364,0),IF(R364&lt;L364,O364+P364-Q364,0),IF(X364&lt;L364,U364+V364-W364,0),IF(AD364&lt;L364,AA364+AB364-AC364,0)))))</x:f>
        <x:v>0</x:v>
      </x:c>
      <x:c r="N364" s="6" t="n">
        <x:f>ROUND(MAX(0,I364+J364-K364-M364),2)</x:f>
        <x:v>0</x:v>
      </x:c>
      <x:c r="O364" s="6" t="n">
        <x:f>T363</x:f>
        <x:v>0</x:v>
      </x:c>
      <x:c r="P364" s="6" t="n">
        <x:f>ROUND(O364*'Debt strategy'!$D$11/12,2)</x:f>
        <x:v>0</x:v>
      </x:c>
      <x:c r="Q364" s="6" t="n">
        <x:f>MIN(O364+P364,'Debt strategy'!$E$11)</x:f>
        <x:v>0</x:v>
      </x:c>
      <x:c r="R364" s="27" t="n">
        <x:f>IF(O364+P364-Q364&lt;=0,99,1+SUM(IF(AND(C364+D364-E364&gt;0,OR(C364+D364-E364&lt;O364+P364-Q364,AND(C364+D364-E364=O364+P364-Q364,0&lt;2))),1,0),IF(AND(I364+J364-K364&gt;0,OR(I364+J364-K364&lt;O364+P364-Q364,AND(I364+J364-K364=O364+P364-Q364,1&lt;2))),1,0),IF(AND(U364+V364-W364&gt;0,OR(U364+V364-W364&lt;O364+P364-Q364,AND(U364+V364-W364=O364+P364-Q364,3&lt;2))),1,0),IF(AND(AA364+AB364-AC364&gt;0,OR(AA364+AB364-AC364&lt;O364+P364-Q364,AND(AA364+AB364-AC364=O364+P364-Q364,4&lt;2))),1,0)))</x:f>
        <x:v>99</x:v>
      </x:c>
      <x:c r="S364" s="6" t="n">
        <x:f>IF('Debt strategy'!$C$16&gt;0,0,MIN(O364+P364-Q364,MAX(0,'Debt strategy'!$C$5-SUM(E364,K364,Q364,W364,AC364)-SUM(IF(F364&lt;R364,C364+D364-E364,0),IF(L364&lt;R364,I364+J364-K364,0),IF(X364&lt;R364,U364+V364-W364,0),IF(AD364&lt;R364,AA364+AB364-AC364,0)))))</x:f>
        <x:v>0</x:v>
      </x:c>
      <x:c r="T364" s="6" t="n">
        <x:f>ROUND(MAX(0,O364+P364-Q364-S364),2)</x:f>
        <x:v>0</x:v>
      </x:c>
      <x:c r="U364" s="6" t="n">
        <x:f>Z363</x:f>
        <x:v>0</x:v>
      </x:c>
      <x:c r="V364" s="6" t="n">
        <x:f>ROUND(U364*'Debt strategy'!$D$12/12,2)</x:f>
        <x:v>0</x:v>
      </x:c>
      <x:c r="W364" s="6" t="n">
        <x:f>MIN(U364+V364,'Debt strategy'!$E$12)</x:f>
        <x:v>0</x:v>
      </x:c>
      <x:c r="X364" s="27" t="n">
        <x:f>IF(U364+V364-W364&lt;=0,99,1+SUM(IF(AND(C364+D364-E364&gt;0,OR(C364+D364-E364&lt;U364+V364-W364,AND(C364+D364-E364=U364+V364-W364,0&lt;3))),1,0),IF(AND(I364+J364-K364&gt;0,OR(I364+J364-K364&lt;U364+V364-W364,AND(I364+J364-K364=U364+V364-W364,1&lt;3))),1,0),IF(AND(O364+P364-Q364&gt;0,OR(O364+P364-Q364&lt;U364+V364-W364,AND(O364+P364-Q364=U364+V364-W364,2&lt;3))),1,0),IF(AND(AA364+AB364-AC364&gt;0,OR(AA364+AB364-AC364&lt;U364+V364-W364,AND(AA364+AB364-AC364=U364+V364-W364,4&lt;3))),1,0)))</x:f>
        <x:v>99</x:v>
      </x:c>
      <x:c r="Y364" s="6" t="n">
        <x:f>IF('Debt strategy'!$C$16&gt;0,0,MIN(U364+V364-W364,MAX(0,'Debt strategy'!$C$5-SUM(E364,K364,Q364,W364,AC364)-SUM(IF(F364&lt;X364,C364+D364-E364,0),IF(L364&lt;X364,I364+J364-K364,0),IF(R364&lt;X364,O364+P364-Q364,0),IF(AD364&lt;X364,AA364+AB364-AC364,0)))))</x:f>
        <x:v>0</x:v>
      </x:c>
      <x:c r="Z364" s="6" t="n">
        <x:f>ROUND(MAX(0,U364+V364-W364-Y364),2)</x:f>
        <x:v>0</x:v>
      </x:c>
      <x:c r="AA364" s="6" t="n">
        <x:f>AF363</x:f>
        <x:v>0</x:v>
      </x:c>
      <x:c r="AB364" s="6" t="n">
        <x:f>ROUND(AA364*'Debt strategy'!$D$13/12,2)</x:f>
        <x:v>0</x:v>
      </x:c>
      <x:c r="AC364" s="6" t="n">
        <x:f>MIN(AA364+AB364,'Debt strategy'!$E$13)</x:f>
        <x:v>0</x:v>
      </x:c>
      <x:c r="AD364" s="27" t="n">
        <x:f>IF(AA364+AB364-AC364&lt;=0,99,1+SUM(IF(AND(C364+D364-E364&gt;0,OR(C364+D364-E364&lt;AA364+AB364-AC364,AND(C364+D364-E364=AA364+AB364-AC364,0&lt;4))),1,0),IF(AND(I364+J364-K364&gt;0,OR(I364+J364-K364&lt;AA364+AB364-AC364,AND(I364+J364-K364=AA364+AB364-AC364,1&lt;4))),1,0),IF(AND(O364+P364-Q364&gt;0,OR(O364+P364-Q364&lt;AA364+AB364-AC364,AND(O364+P364-Q364=AA364+AB364-AC364,2&lt;4))),1,0),IF(AND(U364+V364-W364&gt;0,OR(U364+V364-W364&lt;AA364+AB364-AC364,AND(U364+V364-W364=AA364+AB364-AC364,3&lt;4))),1,0)))</x:f>
        <x:v>99</x:v>
      </x:c>
      <x:c r="AE364" s="6" t="n">
        <x:f>IF('Debt strategy'!$C$16&gt;0,0,MIN(AA364+AB364-AC364,MAX(0,'Debt strategy'!$C$5-SUM(E364,K364,Q364,W364,AC364)-SUM(IF(F364&lt;AD364,C364+D364-E364,0),IF(L364&lt;AD364,I364+J364-K364,0),IF(R364&lt;AD364,O364+P364-Q364,0),IF(X364&lt;AD364,U364+V364-W364,0)))))</x:f>
        <x:v>0</x:v>
      </x:c>
      <x:c r="AF364" s="6" t="n">
        <x:f>ROUND(MAX(0,AA364+AB364-AC364-AE364),2)</x:f>
        <x:v>0</x:v>
      </x:c>
      <x:c r="AG364" s="6" t="n">
        <x:f>SUM(H364,N364,T364,Z364,AF364)</x:f>
        <x:v>0</x:v>
      </x:c>
      <x:c r="AH364" s="6" t="n">
        <x:f>SUM(D364,J364,P364,V364,AB364)+AH363</x:f>
        <x:v>1353.9499999999996</x:v>
      </x:c>
      <x:c r="AI364" s="2"/>
    </x:row>
    <x:row r="365" ht="23" customHeight="1">
      <x:c r="B365" s="2" t="n">
        <x:f>357</x:f>
        <x:v>357</x:v>
      </x:c>
      <x:c r="C365" s="6" t="n">
        <x:f>H364</x:f>
        <x:v>0</x:v>
      </x:c>
      <x:c r="D365" s="6" t="n">
        <x:f>ROUND(C365*'Debt strategy'!$D$9/12,2)</x:f>
        <x:v>0</x:v>
      </x:c>
      <x:c r="E365" s="6" t="n">
        <x:f>MIN(C365+D365,'Debt strategy'!$E$9)</x:f>
        <x:v>0</x:v>
      </x:c>
      <x:c r="F365" s="27" t="n">
        <x:f>IF(C365+D365-E365&lt;=0,99,1+SUM(IF(AND(I365+J365-K365&gt;0,OR(I365+J365-K365&lt;C365+D365-E365,AND(I365+J365-K365=C365+D365-E365,1&lt;0))),1,0),IF(AND(O365+P365-Q365&gt;0,OR(O365+P365-Q365&lt;C365+D365-E365,AND(O365+P365-Q365=C365+D365-E365,2&lt;0))),1,0),IF(AND(U365+V365-W365&gt;0,OR(U365+V365-W365&lt;C365+D365-E365,AND(U365+V365-W365=C365+D365-E365,3&lt;0))),1,0),IF(AND(AA365+AB365-AC365&gt;0,OR(AA365+AB365-AC365&lt;C365+D365-E365,AND(AA365+AB365-AC365=C365+D365-E365,4&lt;0))),1,0)))</x:f>
        <x:v>99</x:v>
      </x:c>
      <x:c r="G365" s="6" t="n">
        <x:f>IF('Debt strategy'!$C$16&gt;0,0,MIN(C365+D365-E365,MAX(0,'Debt strategy'!$C$5-SUM(E365,K365,Q365,W365,AC365)-SUM(IF(L365&lt;F365,I365+J365-K365,0),IF(R365&lt;F365,O365+P365-Q365,0),IF(X365&lt;F365,U365+V365-W365,0),IF(AD365&lt;F365,AA365+AB365-AC365,0)))))</x:f>
        <x:v>0</x:v>
      </x:c>
      <x:c r="H365" s="6" t="n">
        <x:f>ROUND(MAX(0,C365+D365-E365-G365),2)</x:f>
        <x:v>0</x:v>
      </x:c>
      <x:c r="I365" s="6" t="n">
        <x:f>N364</x:f>
        <x:v>0</x:v>
      </x:c>
      <x:c r="J365" s="6" t="n">
        <x:f>ROUND(I365*'Debt strategy'!$D$10/12,2)</x:f>
        <x:v>0</x:v>
      </x:c>
      <x:c r="K365" s="6" t="n">
        <x:f>MIN(I365+J365,'Debt strategy'!$E$10)</x:f>
        <x:v>0</x:v>
      </x:c>
      <x:c r="L365" s="27" t="n">
        <x:f>IF(I365+J365-K365&lt;=0,99,1+SUM(IF(AND(C365+D365-E365&gt;0,OR(C365+D365-E365&lt;I365+J365-K365,AND(C365+D365-E365=I365+J365-K365,0&lt;1))),1,0),IF(AND(O365+P365-Q365&gt;0,OR(O365+P365-Q365&lt;I365+J365-K365,AND(O365+P365-Q365=I365+J365-K365,2&lt;1))),1,0),IF(AND(U365+V365-W365&gt;0,OR(U365+V365-W365&lt;I365+J365-K365,AND(U365+V365-W365=I365+J365-K365,3&lt;1))),1,0),IF(AND(AA365+AB365-AC365&gt;0,OR(AA365+AB365-AC365&lt;I365+J365-K365,AND(AA365+AB365-AC365=I365+J365-K365,4&lt;1))),1,0)))</x:f>
        <x:v>99</x:v>
      </x:c>
      <x:c r="M365" s="6" t="n">
        <x:f>IF('Debt strategy'!$C$16&gt;0,0,MIN(I365+J365-K365,MAX(0,'Debt strategy'!$C$5-SUM(E365,K365,Q365,W365,AC365)-SUM(IF(F365&lt;L365,C365+D365-E365,0),IF(R365&lt;L365,O365+P365-Q365,0),IF(X365&lt;L365,U365+V365-W365,0),IF(AD365&lt;L365,AA365+AB365-AC365,0)))))</x:f>
        <x:v>0</x:v>
      </x:c>
      <x:c r="N365" s="6" t="n">
        <x:f>ROUND(MAX(0,I365+J365-K365-M365),2)</x:f>
        <x:v>0</x:v>
      </x:c>
      <x:c r="O365" s="6" t="n">
        <x:f>T364</x:f>
        <x:v>0</x:v>
      </x:c>
      <x:c r="P365" s="6" t="n">
        <x:f>ROUND(O365*'Debt strategy'!$D$11/12,2)</x:f>
        <x:v>0</x:v>
      </x:c>
      <x:c r="Q365" s="6" t="n">
        <x:f>MIN(O365+P365,'Debt strategy'!$E$11)</x:f>
        <x:v>0</x:v>
      </x:c>
      <x:c r="R365" s="27" t="n">
        <x:f>IF(O365+P365-Q365&lt;=0,99,1+SUM(IF(AND(C365+D365-E365&gt;0,OR(C365+D365-E365&lt;O365+P365-Q365,AND(C365+D365-E365=O365+P365-Q365,0&lt;2))),1,0),IF(AND(I365+J365-K365&gt;0,OR(I365+J365-K365&lt;O365+P365-Q365,AND(I365+J365-K365=O365+P365-Q365,1&lt;2))),1,0),IF(AND(U365+V365-W365&gt;0,OR(U365+V365-W365&lt;O365+P365-Q365,AND(U365+V365-W365=O365+P365-Q365,3&lt;2))),1,0),IF(AND(AA365+AB365-AC365&gt;0,OR(AA365+AB365-AC365&lt;O365+P365-Q365,AND(AA365+AB365-AC365=O365+P365-Q365,4&lt;2))),1,0)))</x:f>
        <x:v>99</x:v>
      </x:c>
      <x:c r="S365" s="6" t="n">
        <x:f>IF('Debt strategy'!$C$16&gt;0,0,MIN(O365+P365-Q365,MAX(0,'Debt strategy'!$C$5-SUM(E365,K365,Q365,W365,AC365)-SUM(IF(F365&lt;R365,C365+D365-E365,0),IF(L365&lt;R365,I365+J365-K365,0),IF(X365&lt;R365,U365+V365-W365,0),IF(AD365&lt;R365,AA365+AB365-AC365,0)))))</x:f>
        <x:v>0</x:v>
      </x:c>
      <x:c r="T365" s="6" t="n">
        <x:f>ROUND(MAX(0,O365+P365-Q365-S365),2)</x:f>
        <x:v>0</x:v>
      </x:c>
      <x:c r="U365" s="6" t="n">
        <x:f>Z364</x:f>
        <x:v>0</x:v>
      </x:c>
      <x:c r="V365" s="6" t="n">
        <x:f>ROUND(U365*'Debt strategy'!$D$12/12,2)</x:f>
        <x:v>0</x:v>
      </x:c>
      <x:c r="W365" s="6" t="n">
        <x:f>MIN(U365+V365,'Debt strategy'!$E$12)</x:f>
        <x:v>0</x:v>
      </x:c>
      <x:c r="X365" s="27" t="n">
        <x:f>IF(U365+V365-W365&lt;=0,99,1+SUM(IF(AND(C365+D365-E365&gt;0,OR(C365+D365-E365&lt;U365+V365-W365,AND(C365+D365-E365=U365+V365-W365,0&lt;3))),1,0),IF(AND(I365+J365-K365&gt;0,OR(I365+J365-K365&lt;U365+V365-W365,AND(I365+J365-K365=U365+V365-W365,1&lt;3))),1,0),IF(AND(O365+P365-Q365&gt;0,OR(O365+P365-Q365&lt;U365+V365-W365,AND(O365+P365-Q365=U365+V365-W365,2&lt;3))),1,0),IF(AND(AA365+AB365-AC365&gt;0,OR(AA365+AB365-AC365&lt;U365+V365-W365,AND(AA365+AB365-AC365=U365+V365-W365,4&lt;3))),1,0)))</x:f>
        <x:v>99</x:v>
      </x:c>
      <x:c r="Y365" s="6" t="n">
        <x:f>IF('Debt strategy'!$C$16&gt;0,0,MIN(U365+V365-W365,MAX(0,'Debt strategy'!$C$5-SUM(E365,K365,Q365,W365,AC365)-SUM(IF(F365&lt;X365,C365+D365-E365,0),IF(L365&lt;X365,I365+J365-K365,0),IF(R365&lt;X365,O365+P365-Q365,0),IF(AD365&lt;X365,AA365+AB365-AC365,0)))))</x:f>
        <x:v>0</x:v>
      </x:c>
      <x:c r="Z365" s="6" t="n">
        <x:f>ROUND(MAX(0,U365+V365-W365-Y365),2)</x:f>
        <x:v>0</x:v>
      </x:c>
      <x:c r="AA365" s="6" t="n">
        <x:f>AF364</x:f>
        <x:v>0</x:v>
      </x:c>
      <x:c r="AB365" s="6" t="n">
        <x:f>ROUND(AA365*'Debt strategy'!$D$13/12,2)</x:f>
        <x:v>0</x:v>
      </x:c>
      <x:c r="AC365" s="6" t="n">
        <x:f>MIN(AA365+AB365,'Debt strategy'!$E$13)</x:f>
        <x:v>0</x:v>
      </x:c>
      <x:c r="AD365" s="27" t="n">
        <x:f>IF(AA365+AB365-AC365&lt;=0,99,1+SUM(IF(AND(C365+D365-E365&gt;0,OR(C365+D365-E365&lt;AA365+AB365-AC365,AND(C365+D365-E365=AA365+AB365-AC365,0&lt;4))),1,0),IF(AND(I365+J365-K365&gt;0,OR(I365+J365-K365&lt;AA365+AB365-AC365,AND(I365+J365-K365=AA365+AB365-AC365,1&lt;4))),1,0),IF(AND(O365+P365-Q365&gt;0,OR(O365+P365-Q365&lt;AA365+AB365-AC365,AND(O365+P365-Q365=AA365+AB365-AC365,2&lt;4))),1,0),IF(AND(U365+V365-W365&gt;0,OR(U365+V365-W365&lt;AA365+AB365-AC365,AND(U365+V365-W365=AA365+AB365-AC365,3&lt;4))),1,0)))</x:f>
        <x:v>99</x:v>
      </x:c>
      <x:c r="AE365" s="6" t="n">
        <x:f>IF('Debt strategy'!$C$16&gt;0,0,MIN(AA365+AB365-AC365,MAX(0,'Debt strategy'!$C$5-SUM(E365,K365,Q365,W365,AC365)-SUM(IF(F365&lt;AD365,C365+D365-E365,0),IF(L365&lt;AD365,I365+J365-K365,0),IF(R365&lt;AD365,O365+P365-Q365,0),IF(X365&lt;AD365,U365+V365-W365,0)))))</x:f>
        <x:v>0</x:v>
      </x:c>
      <x:c r="AF365" s="6" t="n">
        <x:f>ROUND(MAX(0,AA365+AB365-AC365-AE365),2)</x:f>
        <x:v>0</x:v>
      </x:c>
      <x:c r="AG365" s="6" t="n">
        <x:f>SUM(H365,N365,T365,Z365,AF365)</x:f>
        <x:v>0</x:v>
      </x:c>
      <x:c r="AH365" s="6" t="n">
        <x:f>SUM(D365,J365,P365,V365,AB365)+AH364</x:f>
        <x:v>1353.9499999999996</x:v>
      </x:c>
      <x:c r="AI365" s="2"/>
    </x:row>
    <x:row r="366" ht="23" customHeight="1">
      <x:c r="B366" s="2" t="n">
        <x:f>358</x:f>
        <x:v>358</x:v>
      </x:c>
      <x:c r="C366" s="6" t="n">
        <x:f>H365</x:f>
        <x:v>0</x:v>
      </x:c>
      <x:c r="D366" s="6" t="n">
        <x:f>ROUND(C366*'Debt strategy'!$D$9/12,2)</x:f>
        <x:v>0</x:v>
      </x:c>
      <x:c r="E366" s="6" t="n">
        <x:f>MIN(C366+D366,'Debt strategy'!$E$9)</x:f>
        <x:v>0</x:v>
      </x:c>
      <x:c r="F366" s="27" t="n">
        <x:f>IF(C366+D366-E366&lt;=0,99,1+SUM(IF(AND(I366+J366-K366&gt;0,OR(I366+J366-K366&lt;C366+D366-E366,AND(I366+J366-K366=C366+D366-E366,1&lt;0))),1,0),IF(AND(O366+P366-Q366&gt;0,OR(O366+P366-Q366&lt;C366+D366-E366,AND(O366+P366-Q366=C366+D366-E366,2&lt;0))),1,0),IF(AND(U366+V366-W366&gt;0,OR(U366+V366-W366&lt;C366+D366-E366,AND(U366+V366-W366=C366+D366-E366,3&lt;0))),1,0),IF(AND(AA366+AB366-AC366&gt;0,OR(AA366+AB366-AC366&lt;C366+D366-E366,AND(AA366+AB366-AC366=C366+D366-E366,4&lt;0))),1,0)))</x:f>
        <x:v>99</x:v>
      </x:c>
      <x:c r="G366" s="6" t="n">
        <x:f>IF('Debt strategy'!$C$16&gt;0,0,MIN(C366+D366-E366,MAX(0,'Debt strategy'!$C$5-SUM(E366,K366,Q366,W366,AC366)-SUM(IF(L366&lt;F366,I366+J366-K366,0),IF(R366&lt;F366,O366+P366-Q366,0),IF(X366&lt;F366,U366+V366-W366,0),IF(AD366&lt;F366,AA366+AB366-AC366,0)))))</x:f>
        <x:v>0</x:v>
      </x:c>
      <x:c r="H366" s="6" t="n">
        <x:f>ROUND(MAX(0,C366+D366-E366-G366),2)</x:f>
        <x:v>0</x:v>
      </x:c>
      <x:c r="I366" s="6" t="n">
        <x:f>N365</x:f>
        <x:v>0</x:v>
      </x:c>
      <x:c r="J366" s="6" t="n">
        <x:f>ROUND(I366*'Debt strategy'!$D$10/12,2)</x:f>
        <x:v>0</x:v>
      </x:c>
      <x:c r="K366" s="6" t="n">
        <x:f>MIN(I366+J366,'Debt strategy'!$E$10)</x:f>
        <x:v>0</x:v>
      </x:c>
      <x:c r="L366" s="27" t="n">
        <x:f>IF(I366+J366-K366&lt;=0,99,1+SUM(IF(AND(C366+D366-E366&gt;0,OR(C366+D366-E366&lt;I366+J366-K366,AND(C366+D366-E366=I366+J366-K366,0&lt;1))),1,0),IF(AND(O366+P366-Q366&gt;0,OR(O366+P366-Q366&lt;I366+J366-K366,AND(O366+P366-Q366=I366+J366-K366,2&lt;1))),1,0),IF(AND(U366+V366-W366&gt;0,OR(U366+V366-W366&lt;I366+J366-K366,AND(U366+V366-W366=I366+J366-K366,3&lt;1))),1,0),IF(AND(AA366+AB366-AC366&gt;0,OR(AA366+AB366-AC366&lt;I366+J366-K366,AND(AA366+AB366-AC366=I366+J366-K366,4&lt;1))),1,0)))</x:f>
        <x:v>99</x:v>
      </x:c>
      <x:c r="M366" s="6" t="n">
        <x:f>IF('Debt strategy'!$C$16&gt;0,0,MIN(I366+J366-K366,MAX(0,'Debt strategy'!$C$5-SUM(E366,K366,Q366,W366,AC366)-SUM(IF(F366&lt;L366,C366+D366-E366,0),IF(R366&lt;L366,O366+P366-Q366,0),IF(X366&lt;L366,U366+V366-W366,0),IF(AD366&lt;L366,AA366+AB366-AC366,0)))))</x:f>
        <x:v>0</x:v>
      </x:c>
      <x:c r="N366" s="6" t="n">
        <x:f>ROUND(MAX(0,I366+J366-K366-M366),2)</x:f>
        <x:v>0</x:v>
      </x:c>
      <x:c r="O366" s="6" t="n">
        <x:f>T365</x:f>
        <x:v>0</x:v>
      </x:c>
      <x:c r="P366" s="6" t="n">
        <x:f>ROUND(O366*'Debt strategy'!$D$11/12,2)</x:f>
        <x:v>0</x:v>
      </x:c>
      <x:c r="Q366" s="6" t="n">
        <x:f>MIN(O366+P366,'Debt strategy'!$E$11)</x:f>
        <x:v>0</x:v>
      </x:c>
      <x:c r="R366" s="27" t="n">
        <x:f>IF(O366+P366-Q366&lt;=0,99,1+SUM(IF(AND(C366+D366-E366&gt;0,OR(C366+D366-E366&lt;O366+P366-Q366,AND(C366+D366-E366=O366+P366-Q366,0&lt;2))),1,0),IF(AND(I366+J366-K366&gt;0,OR(I366+J366-K366&lt;O366+P366-Q366,AND(I366+J366-K366=O366+P366-Q366,1&lt;2))),1,0),IF(AND(U366+V366-W366&gt;0,OR(U366+V366-W366&lt;O366+P366-Q366,AND(U366+V366-W366=O366+P366-Q366,3&lt;2))),1,0),IF(AND(AA366+AB366-AC366&gt;0,OR(AA366+AB366-AC366&lt;O366+P366-Q366,AND(AA366+AB366-AC366=O366+P366-Q366,4&lt;2))),1,0)))</x:f>
        <x:v>99</x:v>
      </x:c>
      <x:c r="S366" s="6" t="n">
        <x:f>IF('Debt strategy'!$C$16&gt;0,0,MIN(O366+P366-Q366,MAX(0,'Debt strategy'!$C$5-SUM(E366,K366,Q366,W366,AC366)-SUM(IF(F366&lt;R366,C366+D366-E366,0),IF(L366&lt;R366,I366+J366-K366,0),IF(X366&lt;R366,U366+V366-W366,0),IF(AD366&lt;R366,AA366+AB366-AC366,0)))))</x:f>
        <x:v>0</x:v>
      </x:c>
      <x:c r="T366" s="6" t="n">
        <x:f>ROUND(MAX(0,O366+P366-Q366-S366),2)</x:f>
        <x:v>0</x:v>
      </x:c>
      <x:c r="U366" s="6" t="n">
        <x:f>Z365</x:f>
        <x:v>0</x:v>
      </x:c>
      <x:c r="V366" s="6" t="n">
        <x:f>ROUND(U366*'Debt strategy'!$D$12/12,2)</x:f>
        <x:v>0</x:v>
      </x:c>
      <x:c r="W366" s="6" t="n">
        <x:f>MIN(U366+V366,'Debt strategy'!$E$12)</x:f>
        <x:v>0</x:v>
      </x:c>
      <x:c r="X366" s="27" t="n">
        <x:f>IF(U366+V366-W366&lt;=0,99,1+SUM(IF(AND(C366+D366-E366&gt;0,OR(C366+D366-E366&lt;U366+V366-W366,AND(C366+D366-E366=U366+V366-W366,0&lt;3))),1,0),IF(AND(I366+J366-K366&gt;0,OR(I366+J366-K366&lt;U366+V366-W366,AND(I366+J366-K366=U366+V366-W366,1&lt;3))),1,0),IF(AND(O366+P366-Q366&gt;0,OR(O366+P366-Q366&lt;U366+V366-W366,AND(O366+P366-Q366=U366+V366-W366,2&lt;3))),1,0),IF(AND(AA366+AB366-AC366&gt;0,OR(AA366+AB366-AC366&lt;U366+V366-W366,AND(AA366+AB366-AC366=U366+V366-W366,4&lt;3))),1,0)))</x:f>
        <x:v>99</x:v>
      </x:c>
      <x:c r="Y366" s="6" t="n">
        <x:f>IF('Debt strategy'!$C$16&gt;0,0,MIN(U366+V366-W366,MAX(0,'Debt strategy'!$C$5-SUM(E366,K366,Q366,W366,AC366)-SUM(IF(F366&lt;X366,C366+D366-E366,0),IF(L366&lt;X366,I366+J366-K366,0),IF(R366&lt;X366,O366+P366-Q366,0),IF(AD366&lt;X366,AA366+AB366-AC366,0)))))</x:f>
        <x:v>0</x:v>
      </x:c>
      <x:c r="Z366" s="6" t="n">
        <x:f>ROUND(MAX(0,U366+V366-W366-Y366),2)</x:f>
        <x:v>0</x:v>
      </x:c>
      <x:c r="AA366" s="6" t="n">
        <x:f>AF365</x:f>
        <x:v>0</x:v>
      </x:c>
      <x:c r="AB366" s="6" t="n">
        <x:f>ROUND(AA366*'Debt strategy'!$D$13/12,2)</x:f>
        <x:v>0</x:v>
      </x:c>
      <x:c r="AC366" s="6" t="n">
        <x:f>MIN(AA366+AB366,'Debt strategy'!$E$13)</x:f>
        <x:v>0</x:v>
      </x:c>
      <x:c r="AD366" s="27" t="n">
        <x:f>IF(AA366+AB366-AC366&lt;=0,99,1+SUM(IF(AND(C366+D366-E366&gt;0,OR(C366+D366-E366&lt;AA366+AB366-AC366,AND(C366+D366-E366=AA366+AB366-AC366,0&lt;4))),1,0),IF(AND(I366+J366-K366&gt;0,OR(I366+J366-K366&lt;AA366+AB366-AC366,AND(I366+J366-K366=AA366+AB366-AC366,1&lt;4))),1,0),IF(AND(O366+P366-Q366&gt;0,OR(O366+P366-Q366&lt;AA366+AB366-AC366,AND(O366+P366-Q366=AA366+AB366-AC366,2&lt;4))),1,0),IF(AND(U366+V366-W366&gt;0,OR(U366+V366-W366&lt;AA366+AB366-AC366,AND(U366+V366-W366=AA366+AB366-AC366,3&lt;4))),1,0)))</x:f>
        <x:v>99</x:v>
      </x:c>
      <x:c r="AE366" s="6" t="n">
        <x:f>IF('Debt strategy'!$C$16&gt;0,0,MIN(AA366+AB366-AC366,MAX(0,'Debt strategy'!$C$5-SUM(E366,K366,Q366,W366,AC366)-SUM(IF(F366&lt;AD366,C366+D366-E366,0),IF(L366&lt;AD366,I366+J366-K366,0),IF(R366&lt;AD366,O366+P366-Q366,0),IF(X366&lt;AD366,U366+V366-W366,0)))))</x:f>
        <x:v>0</x:v>
      </x:c>
      <x:c r="AF366" s="6" t="n">
        <x:f>ROUND(MAX(0,AA366+AB366-AC366-AE366),2)</x:f>
        <x:v>0</x:v>
      </x:c>
      <x:c r="AG366" s="6" t="n">
        <x:f>SUM(H366,N366,T366,Z366,AF366)</x:f>
        <x:v>0</x:v>
      </x:c>
      <x:c r="AH366" s="6" t="n">
        <x:f>SUM(D366,J366,P366,V366,AB366)+AH365</x:f>
        <x:v>1353.9499999999996</x:v>
      </x:c>
      <x:c r="AI366" s="2"/>
    </x:row>
    <x:row r="367" ht="23" customHeight="1">
      <x:c r="B367" s="2" t="n">
        <x:f>359</x:f>
        <x:v>359</x:v>
      </x:c>
      <x:c r="C367" s="6" t="n">
        <x:f>H366</x:f>
        <x:v>0</x:v>
      </x:c>
      <x:c r="D367" s="6" t="n">
        <x:f>ROUND(C367*'Debt strategy'!$D$9/12,2)</x:f>
        <x:v>0</x:v>
      </x:c>
      <x:c r="E367" s="6" t="n">
        <x:f>MIN(C367+D367,'Debt strategy'!$E$9)</x:f>
        <x:v>0</x:v>
      </x:c>
      <x:c r="F367" s="27" t="n">
        <x:f>IF(C367+D367-E367&lt;=0,99,1+SUM(IF(AND(I367+J367-K367&gt;0,OR(I367+J367-K367&lt;C367+D367-E367,AND(I367+J367-K367=C367+D367-E367,1&lt;0))),1,0),IF(AND(O367+P367-Q367&gt;0,OR(O367+P367-Q367&lt;C367+D367-E367,AND(O367+P367-Q367=C367+D367-E367,2&lt;0))),1,0),IF(AND(U367+V367-W367&gt;0,OR(U367+V367-W367&lt;C367+D367-E367,AND(U367+V367-W367=C367+D367-E367,3&lt;0))),1,0),IF(AND(AA367+AB367-AC367&gt;0,OR(AA367+AB367-AC367&lt;C367+D367-E367,AND(AA367+AB367-AC367=C367+D367-E367,4&lt;0))),1,0)))</x:f>
        <x:v>99</x:v>
      </x:c>
      <x:c r="G367" s="6" t="n">
        <x:f>IF('Debt strategy'!$C$16&gt;0,0,MIN(C367+D367-E367,MAX(0,'Debt strategy'!$C$5-SUM(E367,K367,Q367,W367,AC367)-SUM(IF(L367&lt;F367,I367+J367-K367,0),IF(R367&lt;F367,O367+P367-Q367,0),IF(X367&lt;F367,U367+V367-W367,0),IF(AD367&lt;F367,AA367+AB367-AC367,0)))))</x:f>
        <x:v>0</x:v>
      </x:c>
      <x:c r="H367" s="6" t="n">
        <x:f>ROUND(MAX(0,C367+D367-E367-G367),2)</x:f>
        <x:v>0</x:v>
      </x:c>
      <x:c r="I367" s="6" t="n">
        <x:f>N366</x:f>
        <x:v>0</x:v>
      </x:c>
      <x:c r="J367" s="6" t="n">
        <x:f>ROUND(I367*'Debt strategy'!$D$10/12,2)</x:f>
        <x:v>0</x:v>
      </x:c>
      <x:c r="K367" s="6" t="n">
        <x:f>MIN(I367+J367,'Debt strategy'!$E$10)</x:f>
        <x:v>0</x:v>
      </x:c>
      <x:c r="L367" s="27" t="n">
        <x:f>IF(I367+J367-K367&lt;=0,99,1+SUM(IF(AND(C367+D367-E367&gt;0,OR(C367+D367-E367&lt;I367+J367-K367,AND(C367+D367-E367=I367+J367-K367,0&lt;1))),1,0),IF(AND(O367+P367-Q367&gt;0,OR(O367+P367-Q367&lt;I367+J367-K367,AND(O367+P367-Q367=I367+J367-K367,2&lt;1))),1,0),IF(AND(U367+V367-W367&gt;0,OR(U367+V367-W367&lt;I367+J367-K367,AND(U367+V367-W367=I367+J367-K367,3&lt;1))),1,0),IF(AND(AA367+AB367-AC367&gt;0,OR(AA367+AB367-AC367&lt;I367+J367-K367,AND(AA367+AB367-AC367=I367+J367-K367,4&lt;1))),1,0)))</x:f>
        <x:v>99</x:v>
      </x:c>
      <x:c r="M367" s="6" t="n">
        <x:f>IF('Debt strategy'!$C$16&gt;0,0,MIN(I367+J367-K367,MAX(0,'Debt strategy'!$C$5-SUM(E367,K367,Q367,W367,AC367)-SUM(IF(F367&lt;L367,C367+D367-E367,0),IF(R367&lt;L367,O367+P367-Q367,0),IF(X367&lt;L367,U367+V367-W367,0),IF(AD367&lt;L367,AA367+AB367-AC367,0)))))</x:f>
        <x:v>0</x:v>
      </x:c>
      <x:c r="N367" s="6" t="n">
        <x:f>ROUND(MAX(0,I367+J367-K367-M367),2)</x:f>
        <x:v>0</x:v>
      </x:c>
      <x:c r="O367" s="6" t="n">
        <x:f>T366</x:f>
        <x:v>0</x:v>
      </x:c>
      <x:c r="P367" s="6" t="n">
        <x:f>ROUND(O367*'Debt strategy'!$D$11/12,2)</x:f>
        <x:v>0</x:v>
      </x:c>
      <x:c r="Q367" s="6" t="n">
        <x:f>MIN(O367+P367,'Debt strategy'!$E$11)</x:f>
        <x:v>0</x:v>
      </x:c>
      <x:c r="R367" s="27" t="n">
        <x:f>IF(O367+P367-Q367&lt;=0,99,1+SUM(IF(AND(C367+D367-E367&gt;0,OR(C367+D367-E367&lt;O367+P367-Q367,AND(C367+D367-E367=O367+P367-Q367,0&lt;2))),1,0),IF(AND(I367+J367-K367&gt;0,OR(I367+J367-K367&lt;O367+P367-Q367,AND(I367+J367-K367=O367+P367-Q367,1&lt;2))),1,0),IF(AND(U367+V367-W367&gt;0,OR(U367+V367-W367&lt;O367+P367-Q367,AND(U367+V367-W367=O367+P367-Q367,3&lt;2))),1,0),IF(AND(AA367+AB367-AC367&gt;0,OR(AA367+AB367-AC367&lt;O367+P367-Q367,AND(AA367+AB367-AC367=O367+P367-Q367,4&lt;2))),1,0)))</x:f>
        <x:v>99</x:v>
      </x:c>
      <x:c r="S367" s="6" t="n">
        <x:f>IF('Debt strategy'!$C$16&gt;0,0,MIN(O367+P367-Q367,MAX(0,'Debt strategy'!$C$5-SUM(E367,K367,Q367,W367,AC367)-SUM(IF(F367&lt;R367,C367+D367-E367,0),IF(L367&lt;R367,I367+J367-K367,0),IF(X367&lt;R367,U367+V367-W367,0),IF(AD367&lt;R367,AA367+AB367-AC367,0)))))</x:f>
        <x:v>0</x:v>
      </x:c>
      <x:c r="T367" s="6" t="n">
        <x:f>ROUND(MAX(0,O367+P367-Q367-S367),2)</x:f>
        <x:v>0</x:v>
      </x:c>
      <x:c r="U367" s="6" t="n">
        <x:f>Z366</x:f>
        <x:v>0</x:v>
      </x:c>
      <x:c r="V367" s="6" t="n">
        <x:f>ROUND(U367*'Debt strategy'!$D$12/12,2)</x:f>
        <x:v>0</x:v>
      </x:c>
      <x:c r="W367" s="6" t="n">
        <x:f>MIN(U367+V367,'Debt strategy'!$E$12)</x:f>
        <x:v>0</x:v>
      </x:c>
      <x:c r="X367" s="27" t="n">
        <x:f>IF(U367+V367-W367&lt;=0,99,1+SUM(IF(AND(C367+D367-E367&gt;0,OR(C367+D367-E367&lt;U367+V367-W367,AND(C367+D367-E367=U367+V367-W367,0&lt;3))),1,0),IF(AND(I367+J367-K367&gt;0,OR(I367+J367-K367&lt;U367+V367-W367,AND(I367+J367-K367=U367+V367-W367,1&lt;3))),1,0),IF(AND(O367+P367-Q367&gt;0,OR(O367+P367-Q367&lt;U367+V367-W367,AND(O367+P367-Q367=U367+V367-W367,2&lt;3))),1,0),IF(AND(AA367+AB367-AC367&gt;0,OR(AA367+AB367-AC367&lt;U367+V367-W367,AND(AA367+AB367-AC367=U367+V367-W367,4&lt;3))),1,0)))</x:f>
        <x:v>99</x:v>
      </x:c>
      <x:c r="Y367" s="6" t="n">
        <x:f>IF('Debt strategy'!$C$16&gt;0,0,MIN(U367+V367-W367,MAX(0,'Debt strategy'!$C$5-SUM(E367,K367,Q367,W367,AC367)-SUM(IF(F367&lt;X367,C367+D367-E367,0),IF(L367&lt;X367,I367+J367-K367,0),IF(R367&lt;X367,O367+P367-Q367,0),IF(AD367&lt;X367,AA367+AB367-AC367,0)))))</x:f>
        <x:v>0</x:v>
      </x:c>
      <x:c r="Z367" s="6" t="n">
        <x:f>ROUND(MAX(0,U367+V367-W367-Y367),2)</x:f>
        <x:v>0</x:v>
      </x:c>
      <x:c r="AA367" s="6" t="n">
        <x:f>AF366</x:f>
        <x:v>0</x:v>
      </x:c>
      <x:c r="AB367" s="6" t="n">
        <x:f>ROUND(AA367*'Debt strategy'!$D$13/12,2)</x:f>
        <x:v>0</x:v>
      </x:c>
      <x:c r="AC367" s="6" t="n">
        <x:f>MIN(AA367+AB367,'Debt strategy'!$E$13)</x:f>
        <x:v>0</x:v>
      </x:c>
      <x:c r="AD367" s="27" t="n">
        <x:f>IF(AA367+AB367-AC367&lt;=0,99,1+SUM(IF(AND(C367+D367-E367&gt;0,OR(C367+D367-E367&lt;AA367+AB367-AC367,AND(C367+D367-E367=AA367+AB367-AC367,0&lt;4))),1,0),IF(AND(I367+J367-K367&gt;0,OR(I367+J367-K367&lt;AA367+AB367-AC367,AND(I367+J367-K367=AA367+AB367-AC367,1&lt;4))),1,0),IF(AND(O367+P367-Q367&gt;0,OR(O367+P367-Q367&lt;AA367+AB367-AC367,AND(O367+P367-Q367=AA367+AB367-AC367,2&lt;4))),1,0),IF(AND(U367+V367-W367&gt;0,OR(U367+V367-W367&lt;AA367+AB367-AC367,AND(U367+V367-W367=AA367+AB367-AC367,3&lt;4))),1,0)))</x:f>
        <x:v>99</x:v>
      </x:c>
      <x:c r="AE367" s="6" t="n">
        <x:f>IF('Debt strategy'!$C$16&gt;0,0,MIN(AA367+AB367-AC367,MAX(0,'Debt strategy'!$C$5-SUM(E367,K367,Q367,W367,AC367)-SUM(IF(F367&lt;AD367,C367+D367-E367,0),IF(L367&lt;AD367,I367+J367-K367,0),IF(R367&lt;AD367,O367+P367-Q367,0),IF(X367&lt;AD367,U367+V367-W367,0)))))</x:f>
        <x:v>0</x:v>
      </x:c>
      <x:c r="AF367" s="6" t="n">
        <x:f>ROUND(MAX(0,AA367+AB367-AC367-AE367),2)</x:f>
        <x:v>0</x:v>
      </x:c>
      <x:c r="AG367" s="6" t="n">
        <x:f>SUM(H367,N367,T367,Z367,AF367)</x:f>
        <x:v>0</x:v>
      </x:c>
      <x:c r="AH367" s="6" t="n">
        <x:f>SUM(D367,J367,P367,V367,AB367)+AH366</x:f>
        <x:v>1353.9499999999996</x:v>
      </x:c>
      <x:c r="AI367" s="2"/>
    </x:row>
    <x:row r="368" ht="23" customHeight="1">
      <x:c r="B368" s="2" t="n">
        <x:f>360</x:f>
        <x:v>360</x:v>
      </x:c>
      <x:c r="C368" s="6" t="n">
        <x:f>H367</x:f>
        <x:v>0</x:v>
      </x:c>
      <x:c r="D368" s="6" t="n">
        <x:f>ROUND(C368*'Debt strategy'!$D$9/12,2)</x:f>
        <x:v>0</x:v>
      </x:c>
      <x:c r="E368" s="6" t="n">
        <x:f>MIN(C368+D368,'Debt strategy'!$E$9)</x:f>
        <x:v>0</x:v>
      </x:c>
      <x:c r="F368" s="27" t="n">
        <x:f>IF(C368+D368-E368&lt;=0,99,1+SUM(IF(AND(I368+J368-K368&gt;0,OR(I368+J368-K368&lt;C368+D368-E368,AND(I368+J368-K368=C368+D368-E368,1&lt;0))),1,0),IF(AND(O368+P368-Q368&gt;0,OR(O368+P368-Q368&lt;C368+D368-E368,AND(O368+P368-Q368=C368+D368-E368,2&lt;0))),1,0),IF(AND(U368+V368-W368&gt;0,OR(U368+V368-W368&lt;C368+D368-E368,AND(U368+V368-W368=C368+D368-E368,3&lt;0))),1,0),IF(AND(AA368+AB368-AC368&gt;0,OR(AA368+AB368-AC368&lt;C368+D368-E368,AND(AA368+AB368-AC368=C368+D368-E368,4&lt;0))),1,0)))</x:f>
        <x:v>99</x:v>
      </x:c>
      <x:c r="G368" s="6" t="n">
        <x:f>IF('Debt strategy'!$C$16&gt;0,0,MIN(C368+D368-E368,MAX(0,'Debt strategy'!$C$5-SUM(E368,K368,Q368,W368,AC368)-SUM(IF(L368&lt;F368,I368+J368-K368,0),IF(R368&lt;F368,O368+P368-Q368,0),IF(X368&lt;F368,U368+V368-W368,0),IF(AD368&lt;F368,AA368+AB368-AC368,0)))))</x:f>
        <x:v>0</x:v>
      </x:c>
      <x:c r="H368" s="6" t="n">
        <x:f>ROUND(MAX(0,C368+D368-E368-G368),2)</x:f>
        <x:v>0</x:v>
      </x:c>
      <x:c r="I368" s="6" t="n">
        <x:f>N367</x:f>
        <x:v>0</x:v>
      </x:c>
      <x:c r="J368" s="6" t="n">
        <x:f>ROUND(I368*'Debt strategy'!$D$10/12,2)</x:f>
        <x:v>0</x:v>
      </x:c>
      <x:c r="K368" s="6" t="n">
        <x:f>MIN(I368+J368,'Debt strategy'!$E$10)</x:f>
        <x:v>0</x:v>
      </x:c>
      <x:c r="L368" s="27" t="n">
        <x:f>IF(I368+J368-K368&lt;=0,99,1+SUM(IF(AND(C368+D368-E368&gt;0,OR(C368+D368-E368&lt;I368+J368-K368,AND(C368+D368-E368=I368+J368-K368,0&lt;1))),1,0),IF(AND(O368+P368-Q368&gt;0,OR(O368+P368-Q368&lt;I368+J368-K368,AND(O368+P368-Q368=I368+J368-K368,2&lt;1))),1,0),IF(AND(U368+V368-W368&gt;0,OR(U368+V368-W368&lt;I368+J368-K368,AND(U368+V368-W368=I368+J368-K368,3&lt;1))),1,0),IF(AND(AA368+AB368-AC368&gt;0,OR(AA368+AB368-AC368&lt;I368+J368-K368,AND(AA368+AB368-AC368=I368+J368-K368,4&lt;1))),1,0)))</x:f>
        <x:v>99</x:v>
      </x:c>
      <x:c r="M368" s="6" t="n">
        <x:f>IF('Debt strategy'!$C$16&gt;0,0,MIN(I368+J368-K368,MAX(0,'Debt strategy'!$C$5-SUM(E368,K368,Q368,W368,AC368)-SUM(IF(F368&lt;L368,C368+D368-E368,0),IF(R368&lt;L368,O368+P368-Q368,0),IF(X368&lt;L368,U368+V368-W368,0),IF(AD368&lt;L368,AA368+AB368-AC368,0)))))</x:f>
        <x:v>0</x:v>
      </x:c>
      <x:c r="N368" s="6" t="n">
        <x:f>ROUND(MAX(0,I368+J368-K368-M368),2)</x:f>
        <x:v>0</x:v>
      </x:c>
      <x:c r="O368" s="6" t="n">
        <x:f>T367</x:f>
        <x:v>0</x:v>
      </x:c>
      <x:c r="P368" s="6" t="n">
        <x:f>ROUND(O368*'Debt strategy'!$D$11/12,2)</x:f>
        <x:v>0</x:v>
      </x:c>
      <x:c r="Q368" s="6" t="n">
        <x:f>MIN(O368+P368,'Debt strategy'!$E$11)</x:f>
        <x:v>0</x:v>
      </x:c>
      <x:c r="R368" s="27" t="n">
        <x:f>IF(O368+P368-Q368&lt;=0,99,1+SUM(IF(AND(C368+D368-E368&gt;0,OR(C368+D368-E368&lt;O368+P368-Q368,AND(C368+D368-E368=O368+P368-Q368,0&lt;2))),1,0),IF(AND(I368+J368-K368&gt;0,OR(I368+J368-K368&lt;O368+P368-Q368,AND(I368+J368-K368=O368+P368-Q368,1&lt;2))),1,0),IF(AND(U368+V368-W368&gt;0,OR(U368+V368-W368&lt;O368+P368-Q368,AND(U368+V368-W368=O368+P368-Q368,3&lt;2))),1,0),IF(AND(AA368+AB368-AC368&gt;0,OR(AA368+AB368-AC368&lt;O368+P368-Q368,AND(AA368+AB368-AC368=O368+P368-Q368,4&lt;2))),1,0)))</x:f>
        <x:v>99</x:v>
      </x:c>
      <x:c r="S368" s="6" t="n">
        <x:f>IF('Debt strategy'!$C$16&gt;0,0,MIN(O368+P368-Q368,MAX(0,'Debt strategy'!$C$5-SUM(E368,K368,Q368,W368,AC368)-SUM(IF(F368&lt;R368,C368+D368-E368,0),IF(L368&lt;R368,I368+J368-K368,0),IF(X368&lt;R368,U368+V368-W368,0),IF(AD368&lt;R368,AA368+AB368-AC368,0)))))</x:f>
        <x:v>0</x:v>
      </x:c>
      <x:c r="T368" s="6" t="n">
        <x:f>ROUND(MAX(0,O368+P368-Q368-S368),2)</x:f>
        <x:v>0</x:v>
      </x:c>
      <x:c r="U368" s="6" t="n">
        <x:f>Z367</x:f>
        <x:v>0</x:v>
      </x:c>
      <x:c r="V368" s="6" t="n">
        <x:f>ROUND(U368*'Debt strategy'!$D$12/12,2)</x:f>
        <x:v>0</x:v>
      </x:c>
      <x:c r="W368" s="6" t="n">
        <x:f>MIN(U368+V368,'Debt strategy'!$E$12)</x:f>
        <x:v>0</x:v>
      </x:c>
      <x:c r="X368" s="27" t="n">
        <x:f>IF(U368+V368-W368&lt;=0,99,1+SUM(IF(AND(C368+D368-E368&gt;0,OR(C368+D368-E368&lt;U368+V368-W368,AND(C368+D368-E368=U368+V368-W368,0&lt;3))),1,0),IF(AND(I368+J368-K368&gt;0,OR(I368+J368-K368&lt;U368+V368-W368,AND(I368+J368-K368=U368+V368-W368,1&lt;3))),1,0),IF(AND(O368+P368-Q368&gt;0,OR(O368+P368-Q368&lt;U368+V368-W368,AND(O368+P368-Q368=U368+V368-W368,2&lt;3))),1,0),IF(AND(AA368+AB368-AC368&gt;0,OR(AA368+AB368-AC368&lt;U368+V368-W368,AND(AA368+AB368-AC368=U368+V368-W368,4&lt;3))),1,0)))</x:f>
        <x:v>99</x:v>
      </x:c>
      <x:c r="Y368" s="6" t="n">
        <x:f>IF('Debt strategy'!$C$16&gt;0,0,MIN(U368+V368-W368,MAX(0,'Debt strategy'!$C$5-SUM(E368,K368,Q368,W368,AC368)-SUM(IF(F368&lt;X368,C368+D368-E368,0),IF(L368&lt;X368,I368+J368-K368,0),IF(R368&lt;X368,O368+P368-Q368,0),IF(AD368&lt;X368,AA368+AB368-AC368,0)))))</x:f>
        <x:v>0</x:v>
      </x:c>
      <x:c r="Z368" s="6" t="n">
        <x:f>ROUND(MAX(0,U368+V368-W368-Y368),2)</x:f>
        <x:v>0</x:v>
      </x:c>
      <x:c r="AA368" s="6" t="n">
        <x:f>AF367</x:f>
        <x:v>0</x:v>
      </x:c>
      <x:c r="AB368" s="6" t="n">
        <x:f>ROUND(AA368*'Debt strategy'!$D$13/12,2)</x:f>
        <x:v>0</x:v>
      </x:c>
      <x:c r="AC368" s="6" t="n">
        <x:f>MIN(AA368+AB368,'Debt strategy'!$E$13)</x:f>
        <x:v>0</x:v>
      </x:c>
      <x:c r="AD368" s="27" t="n">
        <x:f>IF(AA368+AB368-AC368&lt;=0,99,1+SUM(IF(AND(C368+D368-E368&gt;0,OR(C368+D368-E368&lt;AA368+AB368-AC368,AND(C368+D368-E368=AA368+AB368-AC368,0&lt;4))),1,0),IF(AND(I368+J368-K368&gt;0,OR(I368+J368-K368&lt;AA368+AB368-AC368,AND(I368+J368-K368=AA368+AB368-AC368,1&lt;4))),1,0),IF(AND(O368+P368-Q368&gt;0,OR(O368+P368-Q368&lt;AA368+AB368-AC368,AND(O368+P368-Q368=AA368+AB368-AC368,2&lt;4))),1,0),IF(AND(U368+V368-W368&gt;0,OR(U368+V368-W368&lt;AA368+AB368-AC368,AND(U368+V368-W368=AA368+AB368-AC368,3&lt;4))),1,0)))</x:f>
        <x:v>99</x:v>
      </x:c>
      <x:c r="AE368" s="6" t="n">
        <x:f>IF('Debt strategy'!$C$16&gt;0,0,MIN(AA368+AB368-AC368,MAX(0,'Debt strategy'!$C$5-SUM(E368,K368,Q368,W368,AC368)-SUM(IF(F368&lt;AD368,C368+D368-E368,0),IF(L368&lt;AD368,I368+J368-K368,0),IF(R368&lt;AD368,O368+P368-Q368,0),IF(X368&lt;AD368,U368+V368-W368,0)))))</x:f>
        <x:v>0</x:v>
      </x:c>
      <x:c r="AF368" s="6" t="n">
        <x:f>ROUND(MAX(0,AA368+AB368-AC368-AE368),2)</x:f>
        <x:v>0</x:v>
      </x:c>
      <x:c r="AG368" s="6" t="n">
        <x:f>SUM(H368,N368,T368,Z368,AF368)</x:f>
        <x:v>0</x:v>
      </x:c>
      <x:c r="AH368" s="6" t="n">
        <x:f>SUM(D368,J368,P368,V368,AB368)+AH367</x:f>
        <x:v>1353.9499999999996</x:v>
      </x:c>
      <x:c r="AI368" s="2"/>
    </x:row>
    <x:row r="369" ht="23" customHeight="1">
      <x:c r="B369" s="2" t="n">
        <x:f>361</x:f>
        <x:v>361</x:v>
      </x:c>
      <x:c r="C369" s="6" t="n">
        <x:f>H368</x:f>
        <x:v>0</x:v>
      </x:c>
      <x:c r="D369" s="6" t="n">
        <x:f>ROUND(C369*'Debt strategy'!$D$9/12,2)</x:f>
        <x:v>0</x:v>
      </x:c>
      <x:c r="E369" s="6" t="n">
        <x:f>MIN(C369+D369,'Debt strategy'!$E$9)</x:f>
        <x:v>0</x:v>
      </x:c>
      <x:c r="F369" s="27" t="n">
        <x:f>IF(C369+D369-E369&lt;=0,99,1+SUM(IF(AND(I369+J369-K369&gt;0,OR(I369+J369-K369&lt;C369+D369-E369,AND(I369+J369-K369=C369+D369-E369,1&lt;0))),1,0),IF(AND(O369+P369-Q369&gt;0,OR(O369+P369-Q369&lt;C369+D369-E369,AND(O369+P369-Q369=C369+D369-E369,2&lt;0))),1,0),IF(AND(U369+V369-W369&gt;0,OR(U369+V369-W369&lt;C369+D369-E369,AND(U369+V369-W369=C369+D369-E369,3&lt;0))),1,0),IF(AND(AA369+AB369-AC369&gt;0,OR(AA369+AB369-AC369&lt;C369+D369-E369,AND(AA369+AB369-AC369=C369+D369-E369,4&lt;0))),1,0)))</x:f>
        <x:v>99</x:v>
      </x:c>
      <x:c r="G369" s="6" t="n">
        <x:f>IF('Debt strategy'!$C$16&gt;0,0,MIN(C369+D369-E369,MAX(0,'Debt strategy'!$C$5-SUM(E369,K369,Q369,W369,AC369)-SUM(IF(L369&lt;F369,I369+J369-K369,0),IF(R369&lt;F369,O369+P369-Q369,0),IF(X369&lt;F369,U369+V369-W369,0),IF(AD369&lt;F369,AA369+AB369-AC369,0)))))</x:f>
        <x:v>0</x:v>
      </x:c>
      <x:c r="H369" s="6" t="n">
        <x:f>ROUND(MAX(0,C369+D369-E369-G369),2)</x:f>
        <x:v>0</x:v>
      </x:c>
      <x:c r="I369" s="6" t="n">
        <x:f>N368</x:f>
        <x:v>0</x:v>
      </x:c>
      <x:c r="J369" s="6" t="n">
        <x:f>ROUND(I369*'Debt strategy'!$D$10/12,2)</x:f>
        <x:v>0</x:v>
      </x:c>
      <x:c r="K369" s="6" t="n">
        <x:f>MIN(I369+J369,'Debt strategy'!$E$10)</x:f>
        <x:v>0</x:v>
      </x:c>
      <x:c r="L369" s="27" t="n">
        <x:f>IF(I369+J369-K369&lt;=0,99,1+SUM(IF(AND(C369+D369-E369&gt;0,OR(C369+D369-E369&lt;I369+J369-K369,AND(C369+D369-E369=I369+J369-K369,0&lt;1))),1,0),IF(AND(O369+P369-Q369&gt;0,OR(O369+P369-Q369&lt;I369+J369-K369,AND(O369+P369-Q369=I369+J369-K369,2&lt;1))),1,0),IF(AND(U369+V369-W369&gt;0,OR(U369+V369-W369&lt;I369+J369-K369,AND(U369+V369-W369=I369+J369-K369,3&lt;1))),1,0),IF(AND(AA369+AB369-AC369&gt;0,OR(AA369+AB369-AC369&lt;I369+J369-K369,AND(AA369+AB369-AC369=I369+J369-K369,4&lt;1))),1,0)))</x:f>
        <x:v>99</x:v>
      </x:c>
      <x:c r="M369" s="6" t="n">
        <x:f>IF('Debt strategy'!$C$16&gt;0,0,MIN(I369+J369-K369,MAX(0,'Debt strategy'!$C$5-SUM(E369,K369,Q369,W369,AC369)-SUM(IF(F369&lt;L369,C369+D369-E369,0),IF(R369&lt;L369,O369+P369-Q369,0),IF(X369&lt;L369,U369+V369-W369,0),IF(AD369&lt;L369,AA369+AB369-AC369,0)))))</x:f>
        <x:v>0</x:v>
      </x:c>
      <x:c r="N369" s="6" t="n">
        <x:f>ROUND(MAX(0,I369+J369-K369-M369),2)</x:f>
        <x:v>0</x:v>
      </x:c>
      <x:c r="O369" s="6" t="n">
        <x:f>T368</x:f>
        <x:v>0</x:v>
      </x:c>
      <x:c r="P369" s="6" t="n">
        <x:f>ROUND(O369*'Debt strategy'!$D$11/12,2)</x:f>
        <x:v>0</x:v>
      </x:c>
      <x:c r="Q369" s="6" t="n">
        <x:f>MIN(O369+P369,'Debt strategy'!$E$11)</x:f>
        <x:v>0</x:v>
      </x:c>
      <x:c r="R369" s="27" t="n">
        <x:f>IF(O369+P369-Q369&lt;=0,99,1+SUM(IF(AND(C369+D369-E369&gt;0,OR(C369+D369-E369&lt;O369+P369-Q369,AND(C369+D369-E369=O369+P369-Q369,0&lt;2))),1,0),IF(AND(I369+J369-K369&gt;0,OR(I369+J369-K369&lt;O369+P369-Q369,AND(I369+J369-K369=O369+P369-Q369,1&lt;2))),1,0),IF(AND(U369+V369-W369&gt;0,OR(U369+V369-W369&lt;O369+P369-Q369,AND(U369+V369-W369=O369+P369-Q369,3&lt;2))),1,0),IF(AND(AA369+AB369-AC369&gt;0,OR(AA369+AB369-AC369&lt;O369+P369-Q369,AND(AA369+AB369-AC369=O369+P369-Q369,4&lt;2))),1,0)))</x:f>
        <x:v>99</x:v>
      </x:c>
      <x:c r="S369" s="6" t="n">
        <x:f>IF('Debt strategy'!$C$16&gt;0,0,MIN(O369+P369-Q369,MAX(0,'Debt strategy'!$C$5-SUM(E369,K369,Q369,W369,AC369)-SUM(IF(F369&lt;R369,C369+D369-E369,0),IF(L369&lt;R369,I369+J369-K369,0),IF(X369&lt;R369,U369+V369-W369,0),IF(AD369&lt;R369,AA369+AB369-AC369,0)))))</x:f>
        <x:v>0</x:v>
      </x:c>
      <x:c r="T369" s="6" t="n">
        <x:f>ROUND(MAX(0,O369+P369-Q369-S369),2)</x:f>
        <x:v>0</x:v>
      </x:c>
      <x:c r="U369" s="6" t="n">
        <x:f>Z368</x:f>
        <x:v>0</x:v>
      </x:c>
      <x:c r="V369" s="6" t="n">
        <x:f>ROUND(U369*'Debt strategy'!$D$12/12,2)</x:f>
        <x:v>0</x:v>
      </x:c>
      <x:c r="W369" s="6" t="n">
        <x:f>MIN(U369+V369,'Debt strategy'!$E$12)</x:f>
        <x:v>0</x:v>
      </x:c>
      <x:c r="X369" s="27" t="n">
        <x:f>IF(U369+V369-W369&lt;=0,99,1+SUM(IF(AND(C369+D369-E369&gt;0,OR(C369+D369-E369&lt;U369+V369-W369,AND(C369+D369-E369=U369+V369-W369,0&lt;3))),1,0),IF(AND(I369+J369-K369&gt;0,OR(I369+J369-K369&lt;U369+V369-W369,AND(I369+J369-K369=U369+V369-W369,1&lt;3))),1,0),IF(AND(O369+P369-Q369&gt;0,OR(O369+P369-Q369&lt;U369+V369-W369,AND(O369+P369-Q369=U369+V369-W369,2&lt;3))),1,0),IF(AND(AA369+AB369-AC369&gt;0,OR(AA369+AB369-AC369&lt;U369+V369-W369,AND(AA369+AB369-AC369=U369+V369-W369,4&lt;3))),1,0)))</x:f>
        <x:v>99</x:v>
      </x:c>
      <x:c r="Y369" s="6" t="n">
        <x:f>IF('Debt strategy'!$C$16&gt;0,0,MIN(U369+V369-W369,MAX(0,'Debt strategy'!$C$5-SUM(E369,K369,Q369,W369,AC369)-SUM(IF(F369&lt;X369,C369+D369-E369,0),IF(L369&lt;X369,I369+J369-K369,0),IF(R369&lt;X369,O369+P369-Q369,0),IF(AD369&lt;X369,AA369+AB369-AC369,0)))))</x:f>
        <x:v>0</x:v>
      </x:c>
      <x:c r="Z369" s="6" t="n">
        <x:f>ROUND(MAX(0,U369+V369-W369-Y369),2)</x:f>
        <x:v>0</x:v>
      </x:c>
      <x:c r="AA369" s="6" t="n">
        <x:f>AF368</x:f>
        <x:v>0</x:v>
      </x:c>
      <x:c r="AB369" s="6" t="n">
        <x:f>ROUND(AA369*'Debt strategy'!$D$13/12,2)</x:f>
        <x:v>0</x:v>
      </x:c>
      <x:c r="AC369" s="6" t="n">
        <x:f>MIN(AA369+AB369,'Debt strategy'!$E$13)</x:f>
        <x:v>0</x:v>
      </x:c>
      <x:c r="AD369" s="27" t="n">
        <x:f>IF(AA369+AB369-AC369&lt;=0,99,1+SUM(IF(AND(C369+D369-E369&gt;0,OR(C369+D369-E369&lt;AA369+AB369-AC369,AND(C369+D369-E369=AA369+AB369-AC369,0&lt;4))),1,0),IF(AND(I369+J369-K369&gt;0,OR(I369+J369-K369&lt;AA369+AB369-AC369,AND(I369+J369-K369=AA369+AB369-AC369,1&lt;4))),1,0),IF(AND(O369+P369-Q369&gt;0,OR(O369+P369-Q369&lt;AA369+AB369-AC369,AND(O369+P369-Q369=AA369+AB369-AC369,2&lt;4))),1,0),IF(AND(U369+V369-W369&gt;0,OR(U369+V369-W369&lt;AA369+AB369-AC369,AND(U369+V369-W369=AA369+AB369-AC369,3&lt;4))),1,0)))</x:f>
        <x:v>99</x:v>
      </x:c>
      <x:c r="AE369" s="6" t="n">
        <x:f>IF('Debt strategy'!$C$16&gt;0,0,MIN(AA369+AB369-AC369,MAX(0,'Debt strategy'!$C$5-SUM(E369,K369,Q369,W369,AC369)-SUM(IF(F369&lt;AD369,C369+D369-E369,0),IF(L369&lt;AD369,I369+J369-K369,0),IF(R369&lt;AD369,O369+P369-Q369,0),IF(X369&lt;AD369,U369+V369-W369,0)))))</x:f>
        <x:v>0</x:v>
      </x:c>
      <x:c r="AF369" s="6" t="n">
        <x:f>ROUND(MAX(0,AA369+AB369-AC369-AE369),2)</x:f>
        <x:v>0</x:v>
      </x:c>
      <x:c r="AG369" s="6" t="n">
        <x:f>SUM(H369,N369,T369,Z369,AF369)</x:f>
        <x:v>0</x:v>
      </x:c>
      <x:c r="AH369" s="6" t="n">
        <x:f>SUM(D369,J369,P369,V369,AB369)+AH368</x:f>
        <x:v>1353.9499999999996</x:v>
      </x:c>
      <x:c r="AI369" s="2"/>
    </x:row>
    <x:row r="370" ht="23" customHeight="1">
      <x:c r="B370" s="2" t="n">
        <x:f>362</x:f>
        <x:v>362</x:v>
      </x:c>
      <x:c r="C370" s="6" t="n">
        <x:f>H369</x:f>
        <x:v>0</x:v>
      </x:c>
      <x:c r="D370" s="6" t="n">
        <x:f>ROUND(C370*'Debt strategy'!$D$9/12,2)</x:f>
        <x:v>0</x:v>
      </x:c>
      <x:c r="E370" s="6" t="n">
        <x:f>MIN(C370+D370,'Debt strategy'!$E$9)</x:f>
        <x:v>0</x:v>
      </x:c>
      <x:c r="F370" s="27" t="n">
        <x:f>IF(C370+D370-E370&lt;=0,99,1+SUM(IF(AND(I370+J370-K370&gt;0,OR(I370+J370-K370&lt;C370+D370-E370,AND(I370+J370-K370=C370+D370-E370,1&lt;0))),1,0),IF(AND(O370+P370-Q370&gt;0,OR(O370+P370-Q370&lt;C370+D370-E370,AND(O370+P370-Q370=C370+D370-E370,2&lt;0))),1,0),IF(AND(U370+V370-W370&gt;0,OR(U370+V370-W370&lt;C370+D370-E370,AND(U370+V370-W370=C370+D370-E370,3&lt;0))),1,0),IF(AND(AA370+AB370-AC370&gt;0,OR(AA370+AB370-AC370&lt;C370+D370-E370,AND(AA370+AB370-AC370=C370+D370-E370,4&lt;0))),1,0)))</x:f>
        <x:v>99</x:v>
      </x:c>
      <x:c r="G370" s="6" t="n">
        <x:f>IF('Debt strategy'!$C$16&gt;0,0,MIN(C370+D370-E370,MAX(0,'Debt strategy'!$C$5-SUM(E370,K370,Q370,W370,AC370)-SUM(IF(L370&lt;F370,I370+J370-K370,0),IF(R370&lt;F370,O370+P370-Q370,0),IF(X370&lt;F370,U370+V370-W370,0),IF(AD370&lt;F370,AA370+AB370-AC370,0)))))</x:f>
        <x:v>0</x:v>
      </x:c>
      <x:c r="H370" s="6" t="n">
        <x:f>ROUND(MAX(0,C370+D370-E370-G370),2)</x:f>
        <x:v>0</x:v>
      </x:c>
      <x:c r="I370" s="6" t="n">
        <x:f>N369</x:f>
        <x:v>0</x:v>
      </x:c>
      <x:c r="J370" s="6" t="n">
        <x:f>ROUND(I370*'Debt strategy'!$D$10/12,2)</x:f>
        <x:v>0</x:v>
      </x:c>
      <x:c r="K370" s="6" t="n">
        <x:f>MIN(I370+J370,'Debt strategy'!$E$10)</x:f>
        <x:v>0</x:v>
      </x:c>
      <x:c r="L370" s="27" t="n">
        <x:f>IF(I370+J370-K370&lt;=0,99,1+SUM(IF(AND(C370+D370-E370&gt;0,OR(C370+D370-E370&lt;I370+J370-K370,AND(C370+D370-E370=I370+J370-K370,0&lt;1))),1,0),IF(AND(O370+P370-Q370&gt;0,OR(O370+P370-Q370&lt;I370+J370-K370,AND(O370+P370-Q370=I370+J370-K370,2&lt;1))),1,0),IF(AND(U370+V370-W370&gt;0,OR(U370+V370-W370&lt;I370+J370-K370,AND(U370+V370-W370=I370+J370-K370,3&lt;1))),1,0),IF(AND(AA370+AB370-AC370&gt;0,OR(AA370+AB370-AC370&lt;I370+J370-K370,AND(AA370+AB370-AC370=I370+J370-K370,4&lt;1))),1,0)))</x:f>
        <x:v>99</x:v>
      </x:c>
      <x:c r="M370" s="6" t="n">
        <x:f>IF('Debt strategy'!$C$16&gt;0,0,MIN(I370+J370-K370,MAX(0,'Debt strategy'!$C$5-SUM(E370,K370,Q370,W370,AC370)-SUM(IF(F370&lt;L370,C370+D370-E370,0),IF(R370&lt;L370,O370+P370-Q370,0),IF(X370&lt;L370,U370+V370-W370,0),IF(AD370&lt;L370,AA370+AB370-AC370,0)))))</x:f>
        <x:v>0</x:v>
      </x:c>
      <x:c r="N370" s="6" t="n">
        <x:f>ROUND(MAX(0,I370+J370-K370-M370),2)</x:f>
        <x:v>0</x:v>
      </x:c>
      <x:c r="O370" s="6" t="n">
        <x:f>T369</x:f>
        <x:v>0</x:v>
      </x:c>
      <x:c r="P370" s="6" t="n">
        <x:f>ROUND(O370*'Debt strategy'!$D$11/12,2)</x:f>
        <x:v>0</x:v>
      </x:c>
      <x:c r="Q370" s="6" t="n">
        <x:f>MIN(O370+P370,'Debt strategy'!$E$11)</x:f>
        <x:v>0</x:v>
      </x:c>
      <x:c r="R370" s="27" t="n">
        <x:f>IF(O370+P370-Q370&lt;=0,99,1+SUM(IF(AND(C370+D370-E370&gt;0,OR(C370+D370-E370&lt;O370+P370-Q370,AND(C370+D370-E370=O370+P370-Q370,0&lt;2))),1,0),IF(AND(I370+J370-K370&gt;0,OR(I370+J370-K370&lt;O370+P370-Q370,AND(I370+J370-K370=O370+P370-Q370,1&lt;2))),1,0),IF(AND(U370+V370-W370&gt;0,OR(U370+V370-W370&lt;O370+P370-Q370,AND(U370+V370-W370=O370+P370-Q370,3&lt;2))),1,0),IF(AND(AA370+AB370-AC370&gt;0,OR(AA370+AB370-AC370&lt;O370+P370-Q370,AND(AA370+AB370-AC370=O370+P370-Q370,4&lt;2))),1,0)))</x:f>
        <x:v>99</x:v>
      </x:c>
      <x:c r="S370" s="6" t="n">
        <x:f>IF('Debt strategy'!$C$16&gt;0,0,MIN(O370+P370-Q370,MAX(0,'Debt strategy'!$C$5-SUM(E370,K370,Q370,W370,AC370)-SUM(IF(F370&lt;R370,C370+D370-E370,0),IF(L370&lt;R370,I370+J370-K370,0),IF(X370&lt;R370,U370+V370-W370,0),IF(AD370&lt;R370,AA370+AB370-AC370,0)))))</x:f>
        <x:v>0</x:v>
      </x:c>
      <x:c r="T370" s="6" t="n">
        <x:f>ROUND(MAX(0,O370+P370-Q370-S370),2)</x:f>
        <x:v>0</x:v>
      </x:c>
      <x:c r="U370" s="6" t="n">
        <x:f>Z369</x:f>
        <x:v>0</x:v>
      </x:c>
      <x:c r="V370" s="6" t="n">
        <x:f>ROUND(U370*'Debt strategy'!$D$12/12,2)</x:f>
        <x:v>0</x:v>
      </x:c>
      <x:c r="W370" s="6" t="n">
        <x:f>MIN(U370+V370,'Debt strategy'!$E$12)</x:f>
        <x:v>0</x:v>
      </x:c>
      <x:c r="X370" s="27" t="n">
        <x:f>IF(U370+V370-W370&lt;=0,99,1+SUM(IF(AND(C370+D370-E370&gt;0,OR(C370+D370-E370&lt;U370+V370-W370,AND(C370+D370-E370=U370+V370-W370,0&lt;3))),1,0),IF(AND(I370+J370-K370&gt;0,OR(I370+J370-K370&lt;U370+V370-W370,AND(I370+J370-K370=U370+V370-W370,1&lt;3))),1,0),IF(AND(O370+P370-Q370&gt;0,OR(O370+P370-Q370&lt;U370+V370-W370,AND(O370+P370-Q370=U370+V370-W370,2&lt;3))),1,0),IF(AND(AA370+AB370-AC370&gt;0,OR(AA370+AB370-AC370&lt;U370+V370-W370,AND(AA370+AB370-AC370=U370+V370-W370,4&lt;3))),1,0)))</x:f>
        <x:v>99</x:v>
      </x:c>
      <x:c r="Y370" s="6" t="n">
        <x:f>IF('Debt strategy'!$C$16&gt;0,0,MIN(U370+V370-W370,MAX(0,'Debt strategy'!$C$5-SUM(E370,K370,Q370,W370,AC370)-SUM(IF(F370&lt;X370,C370+D370-E370,0),IF(L370&lt;X370,I370+J370-K370,0),IF(R370&lt;X370,O370+P370-Q370,0),IF(AD370&lt;X370,AA370+AB370-AC370,0)))))</x:f>
        <x:v>0</x:v>
      </x:c>
      <x:c r="Z370" s="6" t="n">
        <x:f>ROUND(MAX(0,U370+V370-W370-Y370),2)</x:f>
        <x:v>0</x:v>
      </x:c>
      <x:c r="AA370" s="6" t="n">
        <x:f>AF369</x:f>
        <x:v>0</x:v>
      </x:c>
      <x:c r="AB370" s="6" t="n">
        <x:f>ROUND(AA370*'Debt strategy'!$D$13/12,2)</x:f>
        <x:v>0</x:v>
      </x:c>
      <x:c r="AC370" s="6" t="n">
        <x:f>MIN(AA370+AB370,'Debt strategy'!$E$13)</x:f>
        <x:v>0</x:v>
      </x:c>
      <x:c r="AD370" s="27" t="n">
        <x:f>IF(AA370+AB370-AC370&lt;=0,99,1+SUM(IF(AND(C370+D370-E370&gt;0,OR(C370+D370-E370&lt;AA370+AB370-AC370,AND(C370+D370-E370=AA370+AB370-AC370,0&lt;4))),1,0),IF(AND(I370+J370-K370&gt;0,OR(I370+J370-K370&lt;AA370+AB370-AC370,AND(I370+J370-K370=AA370+AB370-AC370,1&lt;4))),1,0),IF(AND(O370+P370-Q370&gt;0,OR(O370+P370-Q370&lt;AA370+AB370-AC370,AND(O370+P370-Q370=AA370+AB370-AC370,2&lt;4))),1,0),IF(AND(U370+V370-W370&gt;0,OR(U370+V370-W370&lt;AA370+AB370-AC370,AND(U370+V370-W370=AA370+AB370-AC370,3&lt;4))),1,0)))</x:f>
        <x:v>99</x:v>
      </x:c>
      <x:c r="AE370" s="6" t="n">
        <x:f>IF('Debt strategy'!$C$16&gt;0,0,MIN(AA370+AB370-AC370,MAX(0,'Debt strategy'!$C$5-SUM(E370,K370,Q370,W370,AC370)-SUM(IF(F370&lt;AD370,C370+D370-E370,0),IF(L370&lt;AD370,I370+J370-K370,0),IF(R370&lt;AD370,O370+P370-Q370,0),IF(X370&lt;AD370,U370+V370-W370,0)))))</x:f>
        <x:v>0</x:v>
      </x:c>
      <x:c r="AF370" s="6" t="n">
        <x:f>ROUND(MAX(0,AA370+AB370-AC370-AE370),2)</x:f>
        <x:v>0</x:v>
      </x:c>
      <x:c r="AG370" s="6" t="n">
        <x:f>SUM(H370,N370,T370,Z370,AF370)</x:f>
        <x:v>0</x:v>
      </x:c>
      <x:c r="AH370" s="6" t="n">
        <x:f>SUM(D370,J370,P370,V370,AB370)+AH369</x:f>
        <x:v>1353.9499999999996</x:v>
      </x:c>
      <x:c r="AI370" s="2"/>
    </x:row>
    <x:row r="371" ht="23" customHeight="1">
      <x:c r="B371" s="2" t="n">
        <x:f>363</x:f>
        <x:v>363</x:v>
      </x:c>
      <x:c r="C371" s="6" t="n">
        <x:f>H370</x:f>
        <x:v>0</x:v>
      </x:c>
      <x:c r="D371" s="6" t="n">
        <x:f>ROUND(C371*'Debt strategy'!$D$9/12,2)</x:f>
        <x:v>0</x:v>
      </x:c>
      <x:c r="E371" s="6" t="n">
        <x:f>MIN(C371+D371,'Debt strategy'!$E$9)</x:f>
        <x:v>0</x:v>
      </x:c>
      <x:c r="F371" s="27" t="n">
        <x:f>IF(C371+D371-E371&lt;=0,99,1+SUM(IF(AND(I371+J371-K371&gt;0,OR(I371+J371-K371&lt;C371+D371-E371,AND(I371+J371-K371=C371+D371-E371,1&lt;0))),1,0),IF(AND(O371+P371-Q371&gt;0,OR(O371+P371-Q371&lt;C371+D371-E371,AND(O371+P371-Q371=C371+D371-E371,2&lt;0))),1,0),IF(AND(U371+V371-W371&gt;0,OR(U371+V371-W371&lt;C371+D371-E371,AND(U371+V371-W371=C371+D371-E371,3&lt;0))),1,0),IF(AND(AA371+AB371-AC371&gt;0,OR(AA371+AB371-AC371&lt;C371+D371-E371,AND(AA371+AB371-AC371=C371+D371-E371,4&lt;0))),1,0)))</x:f>
        <x:v>99</x:v>
      </x:c>
      <x:c r="G371" s="6" t="n">
        <x:f>IF('Debt strategy'!$C$16&gt;0,0,MIN(C371+D371-E371,MAX(0,'Debt strategy'!$C$5-SUM(E371,K371,Q371,W371,AC371)-SUM(IF(L371&lt;F371,I371+J371-K371,0),IF(R371&lt;F371,O371+P371-Q371,0),IF(X371&lt;F371,U371+V371-W371,0),IF(AD371&lt;F371,AA371+AB371-AC371,0)))))</x:f>
        <x:v>0</x:v>
      </x:c>
      <x:c r="H371" s="6" t="n">
        <x:f>ROUND(MAX(0,C371+D371-E371-G371),2)</x:f>
        <x:v>0</x:v>
      </x:c>
      <x:c r="I371" s="6" t="n">
        <x:f>N370</x:f>
        <x:v>0</x:v>
      </x:c>
      <x:c r="J371" s="6" t="n">
        <x:f>ROUND(I371*'Debt strategy'!$D$10/12,2)</x:f>
        <x:v>0</x:v>
      </x:c>
      <x:c r="K371" s="6" t="n">
        <x:f>MIN(I371+J371,'Debt strategy'!$E$10)</x:f>
        <x:v>0</x:v>
      </x:c>
      <x:c r="L371" s="27" t="n">
        <x:f>IF(I371+J371-K371&lt;=0,99,1+SUM(IF(AND(C371+D371-E371&gt;0,OR(C371+D371-E371&lt;I371+J371-K371,AND(C371+D371-E371=I371+J371-K371,0&lt;1))),1,0),IF(AND(O371+P371-Q371&gt;0,OR(O371+P371-Q371&lt;I371+J371-K371,AND(O371+P371-Q371=I371+J371-K371,2&lt;1))),1,0),IF(AND(U371+V371-W371&gt;0,OR(U371+V371-W371&lt;I371+J371-K371,AND(U371+V371-W371=I371+J371-K371,3&lt;1))),1,0),IF(AND(AA371+AB371-AC371&gt;0,OR(AA371+AB371-AC371&lt;I371+J371-K371,AND(AA371+AB371-AC371=I371+J371-K371,4&lt;1))),1,0)))</x:f>
        <x:v>99</x:v>
      </x:c>
      <x:c r="M371" s="6" t="n">
        <x:f>IF('Debt strategy'!$C$16&gt;0,0,MIN(I371+J371-K371,MAX(0,'Debt strategy'!$C$5-SUM(E371,K371,Q371,W371,AC371)-SUM(IF(F371&lt;L371,C371+D371-E371,0),IF(R371&lt;L371,O371+P371-Q371,0),IF(X371&lt;L371,U371+V371-W371,0),IF(AD371&lt;L371,AA371+AB371-AC371,0)))))</x:f>
        <x:v>0</x:v>
      </x:c>
      <x:c r="N371" s="6" t="n">
        <x:f>ROUND(MAX(0,I371+J371-K371-M371),2)</x:f>
        <x:v>0</x:v>
      </x:c>
      <x:c r="O371" s="6" t="n">
        <x:f>T370</x:f>
        <x:v>0</x:v>
      </x:c>
      <x:c r="P371" s="6" t="n">
        <x:f>ROUND(O371*'Debt strategy'!$D$11/12,2)</x:f>
        <x:v>0</x:v>
      </x:c>
      <x:c r="Q371" s="6" t="n">
        <x:f>MIN(O371+P371,'Debt strategy'!$E$11)</x:f>
        <x:v>0</x:v>
      </x:c>
      <x:c r="R371" s="27" t="n">
        <x:f>IF(O371+P371-Q371&lt;=0,99,1+SUM(IF(AND(C371+D371-E371&gt;0,OR(C371+D371-E371&lt;O371+P371-Q371,AND(C371+D371-E371=O371+P371-Q371,0&lt;2))),1,0),IF(AND(I371+J371-K371&gt;0,OR(I371+J371-K371&lt;O371+P371-Q371,AND(I371+J371-K371=O371+P371-Q371,1&lt;2))),1,0),IF(AND(U371+V371-W371&gt;0,OR(U371+V371-W371&lt;O371+P371-Q371,AND(U371+V371-W371=O371+P371-Q371,3&lt;2))),1,0),IF(AND(AA371+AB371-AC371&gt;0,OR(AA371+AB371-AC371&lt;O371+P371-Q371,AND(AA371+AB371-AC371=O371+P371-Q371,4&lt;2))),1,0)))</x:f>
        <x:v>99</x:v>
      </x:c>
      <x:c r="S371" s="6" t="n">
        <x:f>IF('Debt strategy'!$C$16&gt;0,0,MIN(O371+P371-Q371,MAX(0,'Debt strategy'!$C$5-SUM(E371,K371,Q371,W371,AC371)-SUM(IF(F371&lt;R371,C371+D371-E371,0),IF(L371&lt;R371,I371+J371-K371,0),IF(X371&lt;R371,U371+V371-W371,0),IF(AD371&lt;R371,AA371+AB371-AC371,0)))))</x:f>
        <x:v>0</x:v>
      </x:c>
      <x:c r="T371" s="6" t="n">
        <x:f>ROUND(MAX(0,O371+P371-Q371-S371),2)</x:f>
        <x:v>0</x:v>
      </x:c>
      <x:c r="U371" s="6" t="n">
        <x:f>Z370</x:f>
        <x:v>0</x:v>
      </x:c>
      <x:c r="V371" s="6" t="n">
        <x:f>ROUND(U371*'Debt strategy'!$D$12/12,2)</x:f>
        <x:v>0</x:v>
      </x:c>
      <x:c r="W371" s="6" t="n">
        <x:f>MIN(U371+V371,'Debt strategy'!$E$12)</x:f>
        <x:v>0</x:v>
      </x:c>
      <x:c r="X371" s="27" t="n">
        <x:f>IF(U371+V371-W371&lt;=0,99,1+SUM(IF(AND(C371+D371-E371&gt;0,OR(C371+D371-E371&lt;U371+V371-W371,AND(C371+D371-E371=U371+V371-W371,0&lt;3))),1,0),IF(AND(I371+J371-K371&gt;0,OR(I371+J371-K371&lt;U371+V371-W371,AND(I371+J371-K371=U371+V371-W371,1&lt;3))),1,0),IF(AND(O371+P371-Q371&gt;0,OR(O371+P371-Q371&lt;U371+V371-W371,AND(O371+P371-Q371=U371+V371-W371,2&lt;3))),1,0),IF(AND(AA371+AB371-AC371&gt;0,OR(AA371+AB371-AC371&lt;U371+V371-W371,AND(AA371+AB371-AC371=U371+V371-W371,4&lt;3))),1,0)))</x:f>
        <x:v>99</x:v>
      </x:c>
      <x:c r="Y371" s="6" t="n">
        <x:f>IF('Debt strategy'!$C$16&gt;0,0,MIN(U371+V371-W371,MAX(0,'Debt strategy'!$C$5-SUM(E371,K371,Q371,W371,AC371)-SUM(IF(F371&lt;X371,C371+D371-E371,0),IF(L371&lt;X371,I371+J371-K371,0),IF(R371&lt;X371,O371+P371-Q371,0),IF(AD371&lt;X371,AA371+AB371-AC371,0)))))</x:f>
        <x:v>0</x:v>
      </x:c>
      <x:c r="Z371" s="6" t="n">
        <x:f>ROUND(MAX(0,U371+V371-W371-Y371),2)</x:f>
        <x:v>0</x:v>
      </x:c>
      <x:c r="AA371" s="6" t="n">
        <x:f>AF370</x:f>
        <x:v>0</x:v>
      </x:c>
      <x:c r="AB371" s="6" t="n">
        <x:f>ROUND(AA371*'Debt strategy'!$D$13/12,2)</x:f>
        <x:v>0</x:v>
      </x:c>
      <x:c r="AC371" s="6" t="n">
        <x:f>MIN(AA371+AB371,'Debt strategy'!$E$13)</x:f>
        <x:v>0</x:v>
      </x:c>
      <x:c r="AD371" s="27" t="n">
        <x:f>IF(AA371+AB371-AC371&lt;=0,99,1+SUM(IF(AND(C371+D371-E371&gt;0,OR(C371+D371-E371&lt;AA371+AB371-AC371,AND(C371+D371-E371=AA371+AB371-AC371,0&lt;4))),1,0),IF(AND(I371+J371-K371&gt;0,OR(I371+J371-K371&lt;AA371+AB371-AC371,AND(I371+J371-K371=AA371+AB371-AC371,1&lt;4))),1,0),IF(AND(O371+P371-Q371&gt;0,OR(O371+P371-Q371&lt;AA371+AB371-AC371,AND(O371+P371-Q371=AA371+AB371-AC371,2&lt;4))),1,0),IF(AND(U371+V371-W371&gt;0,OR(U371+V371-W371&lt;AA371+AB371-AC371,AND(U371+V371-W371=AA371+AB371-AC371,3&lt;4))),1,0)))</x:f>
        <x:v>99</x:v>
      </x:c>
      <x:c r="AE371" s="6" t="n">
        <x:f>IF('Debt strategy'!$C$16&gt;0,0,MIN(AA371+AB371-AC371,MAX(0,'Debt strategy'!$C$5-SUM(E371,K371,Q371,W371,AC371)-SUM(IF(F371&lt;AD371,C371+D371-E371,0),IF(L371&lt;AD371,I371+J371-K371,0),IF(R371&lt;AD371,O371+P371-Q371,0),IF(X371&lt;AD371,U371+V371-W371,0)))))</x:f>
        <x:v>0</x:v>
      </x:c>
      <x:c r="AF371" s="6" t="n">
        <x:f>ROUND(MAX(0,AA371+AB371-AC371-AE371),2)</x:f>
        <x:v>0</x:v>
      </x:c>
      <x:c r="AG371" s="6" t="n">
        <x:f>SUM(H371,N371,T371,Z371,AF371)</x:f>
        <x:v>0</x:v>
      </x:c>
      <x:c r="AH371" s="6" t="n">
        <x:f>SUM(D371,J371,P371,V371,AB371)+AH370</x:f>
        <x:v>1353.9499999999996</x:v>
      </x:c>
      <x:c r="AI371" s="2"/>
    </x:row>
    <x:row r="372" ht="23" customHeight="1">
      <x:c r="B372" s="2" t="n">
        <x:f>364</x:f>
        <x:v>364</x:v>
      </x:c>
      <x:c r="C372" s="6" t="n">
        <x:f>H371</x:f>
        <x:v>0</x:v>
      </x:c>
      <x:c r="D372" s="6" t="n">
        <x:f>ROUND(C372*'Debt strategy'!$D$9/12,2)</x:f>
        <x:v>0</x:v>
      </x:c>
      <x:c r="E372" s="6" t="n">
        <x:f>MIN(C372+D372,'Debt strategy'!$E$9)</x:f>
        <x:v>0</x:v>
      </x:c>
      <x:c r="F372" s="27" t="n">
        <x:f>IF(C372+D372-E372&lt;=0,99,1+SUM(IF(AND(I372+J372-K372&gt;0,OR(I372+J372-K372&lt;C372+D372-E372,AND(I372+J372-K372=C372+D372-E372,1&lt;0))),1,0),IF(AND(O372+P372-Q372&gt;0,OR(O372+P372-Q372&lt;C372+D372-E372,AND(O372+P372-Q372=C372+D372-E372,2&lt;0))),1,0),IF(AND(U372+V372-W372&gt;0,OR(U372+V372-W372&lt;C372+D372-E372,AND(U372+V372-W372=C372+D372-E372,3&lt;0))),1,0),IF(AND(AA372+AB372-AC372&gt;0,OR(AA372+AB372-AC372&lt;C372+D372-E372,AND(AA372+AB372-AC372=C372+D372-E372,4&lt;0))),1,0)))</x:f>
        <x:v>99</x:v>
      </x:c>
      <x:c r="G372" s="6" t="n">
        <x:f>IF('Debt strategy'!$C$16&gt;0,0,MIN(C372+D372-E372,MAX(0,'Debt strategy'!$C$5-SUM(E372,K372,Q372,W372,AC372)-SUM(IF(L372&lt;F372,I372+J372-K372,0),IF(R372&lt;F372,O372+P372-Q372,0),IF(X372&lt;F372,U372+V372-W372,0),IF(AD372&lt;F372,AA372+AB372-AC372,0)))))</x:f>
        <x:v>0</x:v>
      </x:c>
      <x:c r="H372" s="6" t="n">
        <x:f>ROUND(MAX(0,C372+D372-E372-G372),2)</x:f>
        <x:v>0</x:v>
      </x:c>
      <x:c r="I372" s="6" t="n">
        <x:f>N371</x:f>
        <x:v>0</x:v>
      </x:c>
      <x:c r="J372" s="6" t="n">
        <x:f>ROUND(I372*'Debt strategy'!$D$10/12,2)</x:f>
        <x:v>0</x:v>
      </x:c>
      <x:c r="K372" s="6" t="n">
        <x:f>MIN(I372+J372,'Debt strategy'!$E$10)</x:f>
        <x:v>0</x:v>
      </x:c>
      <x:c r="L372" s="27" t="n">
        <x:f>IF(I372+J372-K372&lt;=0,99,1+SUM(IF(AND(C372+D372-E372&gt;0,OR(C372+D372-E372&lt;I372+J372-K372,AND(C372+D372-E372=I372+J372-K372,0&lt;1))),1,0),IF(AND(O372+P372-Q372&gt;0,OR(O372+P372-Q372&lt;I372+J372-K372,AND(O372+P372-Q372=I372+J372-K372,2&lt;1))),1,0),IF(AND(U372+V372-W372&gt;0,OR(U372+V372-W372&lt;I372+J372-K372,AND(U372+V372-W372=I372+J372-K372,3&lt;1))),1,0),IF(AND(AA372+AB372-AC372&gt;0,OR(AA372+AB372-AC372&lt;I372+J372-K372,AND(AA372+AB372-AC372=I372+J372-K372,4&lt;1))),1,0)))</x:f>
        <x:v>99</x:v>
      </x:c>
      <x:c r="M372" s="6" t="n">
        <x:f>IF('Debt strategy'!$C$16&gt;0,0,MIN(I372+J372-K372,MAX(0,'Debt strategy'!$C$5-SUM(E372,K372,Q372,W372,AC372)-SUM(IF(F372&lt;L372,C372+D372-E372,0),IF(R372&lt;L372,O372+P372-Q372,0),IF(X372&lt;L372,U372+V372-W372,0),IF(AD372&lt;L372,AA372+AB372-AC372,0)))))</x:f>
        <x:v>0</x:v>
      </x:c>
      <x:c r="N372" s="6" t="n">
        <x:f>ROUND(MAX(0,I372+J372-K372-M372),2)</x:f>
        <x:v>0</x:v>
      </x:c>
      <x:c r="O372" s="6" t="n">
        <x:f>T371</x:f>
        <x:v>0</x:v>
      </x:c>
      <x:c r="P372" s="6" t="n">
        <x:f>ROUND(O372*'Debt strategy'!$D$11/12,2)</x:f>
        <x:v>0</x:v>
      </x:c>
      <x:c r="Q372" s="6" t="n">
        <x:f>MIN(O372+P372,'Debt strategy'!$E$11)</x:f>
        <x:v>0</x:v>
      </x:c>
      <x:c r="R372" s="27" t="n">
        <x:f>IF(O372+P372-Q372&lt;=0,99,1+SUM(IF(AND(C372+D372-E372&gt;0,OR(C372+D372-E372&lt;O372+P372-Q372,AND(C372+D372-E372=O372+P372-Q372,0&lt;2))),1,0),IF(AND(I372+J372-K372&gt;0,OR(I372+J372-K372&lt;O372+P372-Q372,AND(I372+J372-K372=O372+P372-Q372,1&lt;2))),1,0),IF(AND(U372+V372-W372&gt;0,OR(U372+V372-W372&lt;O372+P372-Q372,AND(U372+V372-W372=O372+P372-Q372,3&lt;2))),1,0),IF(AND(AA372+AB372-AC372&gt;0,OR(AA372+AB372-AC372&lt;O372+P372-Q372,AND(AA372+AB372-AC372=O372+P372-Q372,4&lt;2))),1,0)))</x:f>
        <x:v>99</x:v>
      </x:c>
      <x:c r="S372" s="6" t="n">
        <x:f>IF('Debt strategy'!$C$16&gt;0,0,MIN(O372+P372-Q372,MAX(0,'Debt strategy'!$C$5-SUM(E372,K372,Q372,W372,AC372)-SUM(IF(F372&lt;R372,C372+D372-E372,0),IF(L372&lt;R372,I372+J372-K372,0),IF(X372&lt;R372,U372+V372-W372,0),IF(AD372&lt;R372,AA372+AB372-AC372,0)))))</x:f>
        <x:v>0</x:v>
      </x:c>
      <x:c r="T372" s="6" t="n">
        <x:f>ROUND(MAX(0,O372+P372-Q372-S372),2)</x:f>
        <x:v>0</x:v>
      </x:c>
      <x:c r="U372" s="6" t="n">
        <x:f>Z371</x:f>
        <x:v>0</x:v>
      </x:c>
      <x:c r="V372" s="6" t="n">
        <x:f>ROUND(U372*'Debt strategy'!$D$12/12,2)</x:f>
        <x:v>0</x:v>
      </x:c>
      <x:c r="W372" s="6" t="n">
        <x:f>MIN(U372+V372,'Debt strategy'!$E$12)</x:f>
        <x:v>0</x:v>
      </x:c>
      <x:c r="X372" s="27" t="n">
        <x:f>IF(U372+V372-W372&lt;=0,99,1+SUM(IF(AND(C372+D372-E372&gt;0,OR(C372+D372-E372&lt;U372+V372-W372,AND(C372+D372-E372=U372+V372-W372,0&lt;3))),1,0),IF(AND(I372+J372-K372&gt;0,OR(I372+J372-K372&lt;U372+V372-W372,AND(I372+J372-K372=U372+V372-W372,1&lt;3))),1,0),IF(AND(O372+P372-Q372&gt;0,OR(O372+P372-Q372&lt;U372+V372-W372,AND(O372+P372-Q372=U372+V372-W372,2&lt;3))),1,0),IF(AND(AA372+AB372-AC372&gt;0,OR(AA372+AB372-AC372&lt;U372+V372-W372,AND(AA372+AB372-AC372=U372+V372-W372,4&lt;3))),1,0)))</x:f>
        <x:v>99</x:v>
      </x:c>
      <x:c r="Y372" s="6" t="n">
        <x:f>IF('Debt strategy'!$C$16&gt;0,0,MIN(U372+V372-W372,MAX(0,'Debt strategy'!$C$5-SUM(E372,K372,Q372,W372,AC372)-SUM(IF(F372&lt;X372,C372+D372-E372,0),IF(L372&lt;X372,I372+J372-K372,0),IF(R372&lt;X372,O372+P372-Q372,0),IF(AD372&lt;X372,AA372+AB372-AC372,0)))))</x:f>
        <x:v>0</x:v>
      </x:c>
      <x:c r="Z372" s="6" t="n">
        <x:f>ROUND(MAX(0,U372+V372-W372-Y372),2)</x:f>
        <x:v>0</x:v>
      </x:c>
      <x:c r="AA372" s="6" t="n">
        <x:f>AF371</x:f>
        <x:v>0</x:v>
      </x:c>
      <x:c r="AB372" s="6" t="n">
        <x:f>ROUND(AA372*'Debt strategy'!$D$13/12,2)</x:f>
        <x:v>0</x:v>
      </x:c>
      <x:c r="AC372" s="6" t="n">
        <x:f>MIN(AA372+AB372,'Debt strategy'!$E$13)</x:f>
        <x:v>0</x:v>
      </x:c>
      <x:c r="AD372" s="27" t="n">
        <x:f>IF(AA372+AB372-AC372&lt;=0,99,1+SUM(IF(AND(C372+D372-E372&gt;0,OR(C372+D372-E372&lt;AA372+AB372-AC372,AND(C372+D372-E372=AA372+AB372-AC372,0&lt;4))),1,0),IF(AND(I372+J372-K372&gt;0,OR(I372+J372-K372&lt;AA372+AB372-AC372,AND(I372+J372-K372=AA372+AB372-AC372,1&lt;4))),1,0),IF(AND(O372+P372-Q372&gt;0,OR(O372+P372-Q372&lt;AA372+AB372-AC372,AND(O372+P372-Q372=AA372+AB372-AC372,2&lt;4))),1,0),IF(AND(U372+V372-W372&gt;0,OR(U372+V372-W372&lt;AA372+AB372-AC372,AND(U372+V372-W372=AA372+AB372-AC372,3&lt;4))),1,0)))</x:f>
        <x:v>99</x:v>
      </x:c>
      <x:c r="AE372" s="6" t="n">
        <x:f>IF('Debt strategy'!$C$16&gt;0,0,MIN(AA372+AB372-AC372,MAX(0,'Debt strategy'!$C$5-SUM(E372,K372,Q372,W372,AC372)-SUM(IF(F372&lt;AD372,C372+D372-E372,0),IF(L372&lt;AD372,I372+J372-K372,0),IF(R372&lt;AD372,O372+P372-Q372,0),IF(X372&lt;AD372,U372+V372-W372,0)))))</x:f>
        <x:v>0</x:v>
      </x:c>
      <x:c r="AF372" s="6" t="n">
        <x:f>ROUND(MAX(0,AA372+AB372-AC372-AE372),2)</x:f>
        <x:v>0</x:v>
      </x:c>
      <x:c r="AG372" s="6" t="n">
        <x:f>SUM(H372,N372,T372,Z372,AF372)</x:f>
        <x:v>0</x:v>
      </x:c>
      <x:c r="AH372" s="6" t="n">
        <x:f>SUM(D372,J372,P372,V372,AB372)+AH371</x:f>
        <x:v>1353.9499999999996</x:v>
      </x:c>
      <x:c r="AI372" s="2"/>
    </x:row>
    <x:row r="373" ht="23" customHeight="1">
      <x:c r="B373" s="2" t="n">
        <x:f>365</x:f>
        <x:v>365</x:v>
      </x:c>
      <x:c r="C373" s="6" t="n">
        <x:f>H372</x:f>
        <x:v>0</x:v>
      </x:c>
      <x:c r="D373" s="6" t="n">
        <x:f>ROUND(C373*'Debt strategy'!$D$9/12,2)</x:f>
        <x:v>0</x:v>
      </x:c>
      <x:c r="E373" s="6" t="n">
        <x:f>MIN(C373+D373,'Debt strategy'!$E$9)</x:f>
        <x:v>0</x:v>
      </x:c>
      <x:c r="F373" s="27" t="n">
        <x:f>IF(C373+D373-E373&lt;=0,99,1+SUM(IF(AND(I373+J373-K373&gt;0,OR(I373+J373-K373&lt;C373+D373-E373,AND(I373+J373-K373=C373+D373-E373,1&lt;0))),1,0),IF(AND(O373+P373-Q373&gt;0,OR(O373+P373-Q373&lt;C373+D373-E373,AND(O373+P373-Q373=C373+D373-E373,2&lt;0))),1,0),IF(AND(U373+V373-W373&gt;0,OR(U373+V373-W373&lt;C373+D373-E373,AND(U373+V373-W373=C373+D373-E373,3&lt;0))),1,0),IF(AND(AA373+AB373-AC373&gt;0,OR(AA373+AB373-AC373&lt;C373+D373-E373,AND(AA373+AB373-AC373=C373+D373-E373,4&lt;0))),1,0)))</x:f>
        <x:v>99</x:v>
      </x:c>
      <x:c r="G373" s="6" t="n">
        <x:f>IF('Debt strategy'!$C$16&gt;0,0,MIN(C373+D373-E373,MAX(0,'Debt strategy'!$C$5-SUM(E373,K373,Q373,W373,AC373)-SUM(IF(L373&lt;F373,I373+J373-K373,0),IF(R373&lt;F373,O373+P373-Q373,0),IF(X373&lt;F373,U373+V373-W373,0),IF(AD373&lt;F373,AA373+AB373-AC373,0)))))</x:f>
        <x:v>0</x:v>
      </x:c>
      <x:c r="H373" s="6" t="n">
        <x:f>ROUND(MAX(0,C373+D373-E373-G373),2)</x:f>
        <x:v>0</x:v>
      </x:c>
      <x:c r="I373" s="6" t="n">
        <x:f>N372</x:f>
        <x:v>0</x:v>
      </x:c>
      <x:c r="J373" s="6" t="n">
        <x:f>ROUND(I373*'Debt strategy'!$D$10/12,2)</x:f>
        <x:v>0</x:v>
      </x:c>
      <x:c r="K373" s="6" t="n">
        <x:f>MIN(I373+J373,'Debt strategy'!$E$10)</x:f>
        <x:v>0</x:v>
      </x:c>
      <x:c r="L373" s="27" t="n">
        <x:f>IF(I373+J373-K373&lt;=0,99,1+SUM(IF(AND(C373+D373-E373&gt;0,OR(C373+D373-E373&lt;I373+J373-K373,AND(C373+D373-E373=I373+J373-K373,0&lt;1))),1,0),IF(AND(O373+P373-Q373&gt;0,OR(O373+P373-Q373&lt;I373+J373-K373,AND(O373+P373-Q373=I373+J373-K373,2&lt;1))),1,0),IF(AND(U373+V373-W373&gt;0,OR(U373+V373-W373&lt;I373+J373-K373,AND(U373+V373-W373=I373+J373-K373,3&lt;1))),1,0),IF(AND(AA373+AB373-AC373&gt;0,OR(AA373+AB373-AC373&lt;I373+J373-K373,AND(AA373+AB373-AC373=I373+J373-K373,4&lt;1))),1,0)))</x:f>
        <x:v>99</x:v>
      </x:c>
      <x:c r="M373" s="6" t="n">
        <x:f>IF('Debt strategy'!$C$16&gt;0,0,MIN(I373+J373-K373,MAX(0,'Debt strategy'!$C$5-SUM(E373,K373,Q373,W373,AC373)-SUM(IF(F373&lt;L373,C373+D373-E373,0),IF(R373&lt;L373,O373+P373-Q373,0),IF(X373&lt;L373,U373+V373-W373,0),IF(AD373&lt;L373,AA373+AB373-AC373,0)))))</x:f>
        <x:v>0</x:v>
      </x:c>
      <x:c r="N373" s="6" t="n">
        <x:f>ROUND(MAX(0,I373+J373-K373-M373),2)</x:f>
        <x:v>0</x:v>
      </x:c>
      <x:c r="O373" s="6" t="n">
        <x:f>T372</x:f>
        <x:v>0</x:v>
      </x:c>
      <x:c r="P373" s="6" t="n">
        <x:f>ROUND(O373*'Debt strategy'!$D$11/12,2)</x:f>
        <x:v>0</x:v>
      </x:c>
      <x:c r="Q373" s="6" t="n">
        <x:f>MIN(O373+P373,'Debt strategy'!$E$11)</x:f>
        <x:v>0</x:v>
      </x:c>
      <x:c r="R373" s="27" t="n">
        <x:f>IF(O373+P373-Q373&lt;=0,99,1+SUM(IF(AND(C373+D373-E373&gt;0,OR(C373+D373-E373&lt;O373+P373-Q373,AND(C373+D373-E373=O373+P373-Q373,0&lt;2))),1,0),IF(AND(I373+J373-K373&gt;0,OR(I373+J373-K373&lt;O373+P373-Q373,AND(I373+J373-K373=O373+P373-Q373,1&lt;2))),1,0),IF(AND(U373+V373-W373&gt;0,OR(U373+V373-W373&lt;O373+P373-Q373,AND(U373+V373-W373=O373+P373-Q373,3&lt;2))),1,0),IF(AND(AA373+AB373-AC373&gt;0,OR(AA373+AB373-AC373&lt;O373+P373-Q373,AND(AA373+AB373-AC373=O373+P373-Q373,4&lt;2))),1,0)))</x:f>
        <x:v>99</x:v>
      </x:c>
      <x:c r="S373" s="6" t="n">
        <x:f>IF('Debt strategy'!$C$16&gt;0,0,MIN(O373+P373-Q373,MAX(0,'Debt strategy'!$C$5-SUM(E373,K373,Q373,W373,AC373)-SUM(IF(F373&lt;R373,C373+D373-E373,0),IF(L373&lt;R373,I373+J373-K373,0),IF(X373&lt;R373,U373+V373-W373,0),IF(AD373&lt;R373,AA373+AB373-AC373,0)))))</x:f>
        <x:v>0</x:v>
      </x:c>
      <x:c r="T373" s="6" t="n">
        <x:f>ROUND(MAX(0,O373+P373-Q373-S373),2)</x:f>
        <x:v>0</x:v>
      </x:c>
      <x:c r="U373" s="6" t="n">
        <x:f>Z372</x:f>
        <x:v>0</x:v>
      </x:c>
      <x:c r="V373" s="6" t="n">
        <x:f>ROUND(U373*'Debt strategy'!$D$12/12,2)</x:f>
        <x:v>0</x:v>
      </x:c>
      <x:c r="W373" s="6" t="n">
        <x:f>MIN(U373+V373,'Debt strategy'!$E$12)</x:f>
        <x:v>0</x:v>
      </x:c>
      <x:c r="X373" s="27" t="n">
        <x:f>IF(U373+V373-W373&lt;=0,99,1+SUM(IF(AND(C373+D373-E373&gt;0,OR(C373+D373-E373&lt;U373+V373-W373,AND(C373+D373-E373=U373+V373-W373,0&lt;3))),1,0),IF(AND(I373+J373-K373&gt;0,OR(I373+J373-K373&lt;U373+V373-W373,AND(I373+J373-K373=U373+V373-W373,1&lt;3))),1,0),IF(AND(O373+P373-Q373&gt;0,OR(O373+P373-Q373&lt;U373+V373-W373,AND(O373+P373-Q373=U373+V373-W373,2&lt;3))),1,0),IF(AND(AA373+AB373-AC373&gt;0,OR(AA373+AB373-AC373&lt;U373+V373-W373,AND(AA373+AB373-AC373=U373+V373-W373,4&lt;3))),1,0)))</x:f>
        <x:v>99</x:v>
      </x:c>
      <x:c r="Y373" s="6" t="n">
        <x:f>IF('Debt strategy'!$C$16&gt;0,0,MIN(U373+V373-W373,MAX(0,'Debt strategy'!$C$5-SUM(E373,K373,Q373,W373,AC373)-SUM(IF(F373&lt;X373,C373+D373-E373,0),IF(L373&lt;X373,I373+J373-K373,0),IF(R373&lt;X373,O373+P373-Q373,0),IF(AD373&lt;X373,AA373+AB373-AC373,0)))))</x:f>
        <x:v>0</x:v>
      </x:c>
      <x:c r="Z373" s="6" t="n">
        <x:f>ROUND(MAX(0,U373+V373-W373-Y373),2)</x:f>
        <x:v>0</x:v>
      </x:c>
      <x:c r="AA373" s="6" t="n">
        <x:f>AF372</x:f>
        <x:v>0</x:v>
      </x:c>
      <x:c r="AB373" s="6" t="n">
        <x:f>ROUND(AA373*'Debt strategy'!$D$13/12,2)</x:f>
        <x:v>0</x:v>
      </x:c>
      <x:c r="AC373" s="6" t="n">
        <x:f>MIN(AA373+AB373,'Debt strategy'!$E$13)</x:f>
        <x:v>0</x:v>
      </x:c>
      <x:c r="AD373" s="27" t="n">
        <x:f>IF(AA373+AB373-AC373&lt;=0,99,1+SUM(IF(AND(C373+D373-E373&gt;0,OR(C373+D373-E373&lt;AA373+AB373-AC373,AND(C373+D373-E373=AA373+AB373-AC373,0&lt;4))),1,0),IF(AND(I373+J373-K373&gt;0,OR(I373+J373-K373&lt;AA373+AB373-AC373,AND(I373+J373-K373=AA373+AB373-AC373,1&lt;4))),1,0),IF(AND(O373+P373-Q373&gt;0,OR(O373+P373-Q373&lt;AA373+AB373-AC373,AND(O373+P373-Q373=AA373+AB373-AC373,2&lt;4))),1,0),IF(AND(U373+V373-W373&gt;0,OR(U373+V373-W373&lt;AA373+AB373-AC373,AND(U373+V373-W373=AA373+AB373-AC373,3&lt;4))),1,0)))</x:f>
        <x:v>99</x:v>
      </x:c>
      <x:c r="AE373" s="6" t="n">
        <x:f>IF('Debt strategy'!$C$16&gt;0,0,MIN(AA373+AB373-AC373,MAX(0,'Debt strategy'!$C$5-SUM(E373,K373,Q373,W373,AC373)-SUM(IF(F373&lt;AD373,C373+D373-E373,0),IF(L373&lt;AD373,I373+J373-K373,0),IF(R373&lt;AD373,O373+P373-Q373,0),IF(X373&lt;AD373,U373+V373-W373,0)))))</x:f>
        <x:v>0</x:v>
      </x:c>
      <x:c r="AF373" s="6" t="n">
        <x:f>ROUND(MAX(0,AA373+AB373-AC373-AE373),2)</x:f>
        <x:v>0</x:v>
      </x:c>
      <x:c r="AG373" s="6" t="n">
        <x:f>SUM(H373,N373,T373,Z373,AF373)</x:f>
        <x:v>0</x:v>
      </x:c>
      <x:c r="AH373" s="6" t="n">
        <x:f>SUM(D373,J373,P373,V373,AB373)+AH372</x:f>
        <x:v>1353.9499999999996</x:v>
      </x:c>
      <x:c r="AI373" s="2"/>
    </x:row>
    <x:row r="374" ht="23" customHeight="1">
      <x:c r="B374" s="2" t="n">
        <x:f>366</x:f>
        <x:v>366</x:v>
      </x:c>
      <x:c r="C374" s="6" t="n">
        <x:f>H373</x:f>
        <x:v>0</x:v>
      </x:c>
      <x:c r="D374" s="6" t="n">
        <x:f>ROUND(C374*'Debt strategy'!$D$9/12,2)</x:f>
        <x:v>0</x:v>
      </x:c>
      <x:c r="E374" s="6" t="n">
        <x:f>MIN(C374+D374,'Debt strategy'!$E$9)</x:f>
        <x:v>0</x:v>
      </x:c>
      <x:c r="F374" s="27" t="n">
        <x:f>IF(C374+D374-E374&lt;=0,99,1+SUM(IF(AND(I374+J374-K374&gt;0,OR(I374+J374-K374&lt;C374+D374-E374,AND(I374+J374-K374=C374+D374-E374,1&lt;0))),1,0),IF(AND(O374+P374-Q374&gt;0,OR(O374+P374-Q374&lt;C374+D374-E374,AND(O374+P374-Q374=C374+D374-E374,2&lt;0))),1,0),IF(AND(U374+V374-W374&gt;0,OR(U374+V374-W374&lt;C374+D374-E374,AND(U374+V374-W374=C374+D374-E374,3&lt;0))),1,0),IF(AND(AA374+AB374-AC374&gt;0,OR(AA374+AB374-AC374&lt;C374+D374-E374,AND(AA374+AB374-AC374=C374+D374-E374,4&lt;0))),1,0)))</x:f>
        <x:v>99</x:v>
      </x:c>
      <x:c r="G374" s="6" t="n">
        <x:f>IF('Debt strategy'!$C$16&gt;0,0,MIN(C374+D374-E374,MAX(0,'Debt strategy'!$C$5-SUM(E374,K374,Q374,W374,AC374)-SUM(IF(L374&lt;F374,I374+J374-K374,0),IF(R374&lt;F374,O374+P374-Q374,0),IF(X374&lt;F374,U374+V374-W374,0),IF(AD374&lt;F374,AA374+AB374-AC374,0)))))</x:f>
        <x:v>0</x:v>
      </x:c>
      <x:c r="H374" s="6" t="n">
        <x:f>ROUND(MAX(0,C374+D374-E374-G374),2)</x:f>
        <x:v>0</x:v>
      </x:c>
      <x:c r="I374" s="6" t="n">
        <x:f>N373</x:f>
        <x:v>0</x:v>
      </x:c>
      <x:c r="J374" s="6" t="n">
        <x:f>ROUND(I374*'Debt strategy'!$D$10/12,2)</x:f>
        <x:v>0</x:v>
      </x:c>
      <x:c r="K374" s="6" t="n">
        <x:f>MIN(I374+J374,'Debt strategy'!$E$10)</x:f>
        <x:v>0</x:v>
      </x:c>
      <x:c r="L374" s="27" t="n">
        <x:f>IF(I374+J374-K374&lt;=0,99,1+SUM(IF(AND(C374+D374-E374&gt;0,OR(C374+D374-E374&lt;I374+J374-K374,AND(C374+D374-E374=I374+J374-K374,0&lt;1))),1,0),IF(AND(O374+P374-Q374&gt;0,OR(O374+P374-Q374&lt;I374+J374-K374,AND(O374+P374-Q374=I374+J374-K374,2&lt;1))),1,0),IF(AND(U374+V374-W374&gt;0,OR(U374+V374-W374&lt;I374+J374-K374,AND(U374+V374-W374=I374+J374-K374,3&lt;1))),1,0),IF(AND(AA374+AB374-AC374&gt;0,OR(AA374+AB374-AC374&lt;I374+J374-K374,AND(AA374+AB374-AC374=I374+J374-K374,4&lt;1))),1,0)))</x:f>
        <x:v>99</x:v>
      </x:c>
      <x:c r="M374" s="6" t="n">
        <x:f>IF('Debt strategy'!$C$16&gt;0,0,MIN(I374+J374-K374,MAX(0,'Debt strategy'!$C$5-SUM(E374,K374,Q374,W374,AC374)-SUM(IF(F374&lt;L374,C374+D374-E374,0),IF(R374&lt;L374,O374+P374-Q374,0),IF(X374&lt;L374,U374+V374-W374,0),IF(AD374&lt;L374,AA374+AB374-AC374,0)))))</x:f>
        <x:v>0</x:v>
      </x:c>
      <x:c r="N374" s="6" t="n">
        <x:f>ROUND(MAX(0,I374+J374-K374-M374),2)</x:f>
        <x:v>0</x:v>
      </x:c>
      <x:c r="O374" s="6" t="n">
        <x:f>T373</x:f>
        <x:v>0</x:v>
      </x:c>
      <x:c r="P374" s="6" t="n">
        <x:f>ROUND(O374*'Debt strategy'!$D$11/12,2)</x:f>
        <x:v>0</x:v>
      </x:c>
      <x:c r="Q374" s="6" t="n">
        <x:f>MIN(O374+P374,'Debt strategy'!$E$11)</x:f>
        <x:v>0</x:v>
      </x:c>
      <x:c r="R374" s="27" t="n">
        <x:f>IF(O374+P374-Q374&lt;=0,99,1+SUM(IF(AND(C374+D374-E374&gt;0,OR(C374+D374-E374&lt;O374+P374-Q374,AND(C374+D374-E374=O374+P374-Q374,0&lt;2))),1,0),IF(AND(I374+J374-K374&gt;0,OR(I374+J374-K374&lt;O374+P374-Q374,AND(I374+J374-K374=O374+P374-Q374,1&lt;2))),1,0),IF(AND(U374+V374-W374&gt;0,OR(U374+V374-W374&lt;O374+P374-Q374,AND(U374+V374-W374=O374+P374-Q374,3&lt;2))),1,0),IF(AND(AA374+AB374-AC374&gt;0,OR(AA374+AB374-AC374&lt;O374+P374-Q374,AND(AA374+AB374-AC374=O374+P374-Q374,4&lt;2))),1,0)))</x:f>
        <x:v>99</x:v>
      </x:c>
      <x:c r="S374" s="6" t="n">
        <x:f>IF('Debt strategy'!$C$16&gt;0,0,MIN(O374+P374-Q374,MAX(0,'Debt strategy'!$C$5-SUM(E374,K374,Q374,W374,AC374)-SUM(IF(F374&lt;R374,C374+D374-E374,0),IF(L374&lt;R374,I374+J374-K374,0),IF(X374&lt;R374,U374+V374-W374,0),IF(AD374&lt;R374,AA374+AB374-AC374,0)))))</x:f>
        <x:v>0</x:v>
      </x:c>
      <x:c r="T374" s="6" t="n">
        <x:f>ROUND(MAX(0,O374+P374-Q374-S374),2)</x:f>
        <x:v>0</x:v>
      </x:c>
      <x:c r="U374" s="6" t="n">
        <x:f>Z373</x:f>
        <x:v>0</x:v>
      </x:c>
      <x:c r="V374" s="6" t="n">
        <x:f>ROUND(U374*'Debt strategy'!$D$12/12,2)</x:f>
        <x:v>0</x:v>
      </x:c>
      <x:c r="W374" s="6" t="n">
        <x:f>MIN(U374+V374,'Debt strategy'!$E$12)</x:f>
        <x:v>0</x:v>
      </x:c>
      <x:c r="X374" s="27" t="n">
        <x:f>IF(U374+V374-W374&lt;=0,99,1+SUM(IF(AND(C374+D374-E374&gt;0,OR(C374+D374-E374&lt;U374+V374-W374,AND(C374+D374-E374=U374+V374-W374,0&lt;3))),1,0),IF(AND(I374+J374-K374&gt;0,OR(I374+J374-K374&lt;U374+V374-W374,AND(I374+J374-K374=U374+V374-W374,1&lt;3))),1,0),IF(AND(O374+P374-Q374&gt;0,OR(O374+P374-Q374&lt;U374+V374-W374,AND(O374+P374-Q374=U374+V374-W374,2&lt;3))),1,0),IF(AND(AA374+AB374-AC374&gt;0,OR(AA374+AB374-AC374&lt;U374+V374-W374,AND(AA374+AB374-AC374=U374+V374-W374,4&lt;3))),1,0)))</x:f>
        <x:v>99</x:v>
      </x:c>
      <x:c r="Y374" s="6" t="n">
        <x:f>IF('Debt strategy'!$C$16&gt;0,0,MIN(U374+V374-W374,MAX(0,'Debt strategy'!$C$5-SUM(E374,K374,Q374,W374,AC374)-SUM(IF(F374&lt;X374,C374+D374-E374,0),IF(L374&lt;X374,I374+J374-K374,0),IF(R374&lt;X374,O374+P374-Q374,0),IF(AD374&lt;X374,AA374+AB374-AC374,0)))))</x:f>
        <x:v>0</x:v>
      </x:c>
      <x:c r="Z374" s="6" t="n">
        <x:f>ROUND(MAX(0,U374+V374-W374-Y374),2)</x:f>
        <x:v>0</x:v>
      </x:c>
      <x:c r="AA374" s="6" t="n">
        <x:f>AF373</x:f>
        <x:v>0</x:v>
      </x:c>
      <x:c r="AB374" s="6" t="n">
        <x:f>ROUND(AA374*'Debt strategy'!$D$13/12,2)</x:f>
        <x:v>0</x:v>
      </x:c>
      <x:c r="AC374" s="6" t="n">
        <x:f>MIN(AA374+AB374,'Debt strategy'!$E$13)</x:f>
        <x:v>0</x:v>
      </x:c>
      <x:c r="AD374" s="27" t="n">
        <x:f>IF(AA374+AB374-AC374&lt;=0,99,1+SUM(IF(AND(C374+D374-E374&gt;0,OR(C374+D374-E374&lt;AA374+AB374-AC374,AND(C374+D374-E374=AA374+AB374-AC374,0&lt;4))),1,0),IF(AND(I374+J374-K374&gt;0,OR(I374+J374-K374&lt;AA374+AB374-AC374,AND(I374+J374-K374=AA374+AB374-AC374,1&lt;4))),1,0),IF(AND(O374+P374-Q374&gt;0,OR(O374+P374-Q374&lt;AA374+AB374-AC374,AND(O374+P374-Q374=AA374+AB374-AC374,2&lt;4))),1,0),IF(AND(U374+V374-W374&gt;0,OR(U374+V374-W374&lt;AA374+AB374-AC374,AND(U374+V374-W374=AA374+AB374-AC374,3&lt;4))),1,0)))</x:f>
        <x:v>99</x:v>
      </x:c>
      <x:c r="AE374" s="6" t="n">
        <x:f>IF('Debt strategy'!$C$16&gt;0,0,MIN(AA374+AB374-AC374,MAX(0,'Debt strategy'!$C$5-SUM(E374,K374,Q374,W374,AC374)-SUM(IF(F374&lt;AD374,C374+D374-E374,0),IF(L374&lt;AD374,I374+J374-K374,0),IF(R374&lt;AD374,O374+P374-Q374,0),IF(X374&lt;AD374,U374+V374-W374,0)))))</x:f>
        <x:v>0</x:v>
      </x:c>
      <x:c r="AF374" s="6" t="n">
        <x:f>ROUND(MAX(0,AA374+AB374-AC374-AE374),2)</x:f>
        <x:v>0</x:v>
      </x:c>
      <x:c r="AG374" s="6" t="n">
        <x:f>SUM(H374,N374,T374,Z374,AF374)</x:f>
        <x:v>0</x:v>
      </x:c>
      <x:c r="AH374" s="6" t="n">
        <x:f>SUM(D374,J374,P374,V374,AB374)+AH373</x:f>
        <x:v>1353.9499999999996</x:v>
      </x:c>
      <x:c r="AI374" s="2"/>
    </x:row>
    <x:row r="375" ht="23" customHeight="1">
      <x:c r="B375" s="2" t="n">
        <x:f>367</x:f>
        <x:v>367</x:v>
      </x:c>
      <x:c r="C375" s="6" t="n">
        <x:f>H374</x:f>
        <x:v>0</x:v>
      </x:c>
      <x:c r="D375" s="6" t="n">
        <x:f>ROUND(C375*'Debt strategy'!$D$9/12,2)</x:f>
        <x:v>0</x:v>
      </x:c>
      <x:c r="E375" s="6" t="n">
        <x:f>MIN(C375+D375,'Debt strategy'!$E$9)</x:f>
        <x:v>0</x:v>
      </x:c>
      <x:c r="F375" s="27" t="n">
        <x:f>IF(C375+D375-E375&lt;=0,99,1+SUM(IF(AND(I375+J375-K375&gt;0,OR(I375+J375-K375&lt;C375+D375-E375,AND(I375+J375-K375=C375+D375-E375,1&lt;0))),1,0),IF(AND(O375+P375-Q375&gt;0,OR(O375+P375-Q375&lt;C375+D375-E375,AND(O375+P375-Q375=C375+D375-E375,2&lt;0))),1,0),IF(AND(U375+V375-W375&gt;0,OR(U375+V375-W375&lt;C375+D375-E375,AND(U375+V375-W375=C375+D375-E375,3&lt;0))),1,0),IF(AND(AA375+AB375-AC375&gt;0,OR(AA375+AB375-AC375&lt;C375+D375-E375,AND(AA375+AB375-AC375=C375+D375-E375,4&lt;0))),1,0)))</x:f>
        <x:v>99</x:v>
      </x:c>
      <x:c r="G375" s="6" t="n">
        <x:f>IF('Debt strategy'!$C$16&gt;0,0,MIN(C375+D375-E375,MAX(0,'Debt strategy'!$C$5-SUM(E375,K375,Q375,W375,AC375)-SUM(IF(L375&lt;F375,I375+J375-K375,0),IF(R375&lt;F375,O375+P375-Q375,0),IF(X375&lt;F375,U375+V375-W375,0),IF(AD375&lt;F375,AA375+AB375-AC375,0)))))</x:f>
        <x:v>0</x:v>
      </x:c>
      <x:c r="H375" s="6" t="n">
        <x:f>ROUND(MAX(0,C375+D375-E375-G375),2)</x:f>
        <x:v>0</x:v>
      </x:c>
      <x:c r="I375" s="6" t="n">
        <x:f>N374</x:f>
        <x:v>0</x:v>
      </x:c>
      <x:c r="J375" s="6" t="n">
        <x:f>ROUND(I375*'Debt strategy'!$D$10/12,2)</x:f>
        <x:v>0</x:v>
      </x:c>
      <x:c r="K375" s="6" t="n">
        <x:f>MIN(I375+J375,'Debt strategy'!$E$10)</x:f>
        <x:v>0</x:v>
      </x:c>
      <x:c r="L375" s="27" t="n">
        <x:f>IF(I375+J375-K375&lt;=0,99,1+SUM(IF(AND(C375+D375-E375&gt;0,OR(C375+D375-E375&lt;I375+J375-K375,AND(C375+D375-E375=I375+J375-K375,0&lt;1))),1,0),IF(AND(O375+P375-Q375&gt;0,OR(O375+P375-Q375&lt;I375+J375-K375,AND(O375+P375-Q375=I375+J375-K375,2&lt;1))),1,0),IF(AND(U375+V375-W375&gt;0,OR(U375+V375-W375&lt;I375+J375-K375,AND(U375+V375-W375=I375+J375-K375,3&lt;1))),1,0),IF(AND(AA375+AB375-AC375&gt;0,OR(AA375+AB375-AC375&lt;I375+J375-K375,AND(AA375+AB375-AC375=I375+J375-K375,4&lt;1))),1,0)))</x:f>
        <x:v>99</x:v>
      </x:c>
      <x:c r="M375" s="6" t="n">
        <x:f>IF('Debt strategy'!$C$16&gt;0,0,MIN(I375+J375-K375,MAX(0,'Debt strategy'!$C$5-SUM(E375,K375,Q375,W375,AC375)-SUM(IF(F375&lt;L375,C375+D375-E375,0),IF(R375&lt;L375,O375+P375-Q375,0),IF(X375&lt;L375,U375+V375-W375,0),IF(AD375&lt;L375,AA375+AB375-AC375,0)))))</x:f>
        <x:v>0</x:v>
      </x:c>
      <x:c r="N375" s="6" t="n">
        <x:f>ROUND(MAX(0,I375+J375-K375-M375),2)</x:f>
        <x:v>0</x:v>
      </x:c>
      <x:c r="O375" s="6" t="n">
        <x:f>T374</x:f>
        <x:v>0</x:v>
      </x:c>
      <x:c r="P375" s="6" t="n">
        <x:f>ROUND(O375*'Debt strategy'!$D$11/12,2)</x:f>
        <x:v>0</x:v>
      </x:c>
      <x:c r="Q375" s="6" t="n">
        <x:f>MIN(O375+P375,'Debt strategy'!$E$11)</x:f>
        <x:v>0</x:v>
      </x:c>
      <x:c r="R375" s="27" t="n">
        <x:f>IF(O375+P375-Q375&lt;=0,99,1+SUM(IF(AND(C375+D375-E375&gt;0,OR(C375+D375-E375&lt;O375+P375-Q375,AND(C375+D375-E375=O375+P375-Q375,0&lt;2))),1,0),IF(AND(I375+J375-K375&gt;0,OR(I375+J375-K375&lt;O375+P375-Q375,AND(I375+J375-K375=O375+P375-Q375,1&lt;2))),1,0),IF(AND(U375+V375-W375&gt;0,OR(U375+V375-W375&lt;O375+P375-Q375,AND(U375+V375-W375=O375+P375-Q375,3&lt;2))),1,0),IF(AND(AA375+AB375-AC375&gt;0,OR(AA375+AB375-AC375&lt;O375+P375-Q375,AND(AA375+AB375-AC375=O375+P375-Q375,4&lt;2))),1,0)))</x:f>
        <x:v>99</x:v>
      </x:c>
      <x:c r="S375" s="6" t="n">
        <x:f>IF('Debt strategy'!$C$16&gt;0,0,MIN(O375+P375-Q375,MAX(0,'Debt strategy'!$C$5-SUM(E375,K375,Q375,W375,AC375)-SUM(IF(F375&lt;R375,C375+D375-E375,0),IF(L375&lt;R375,I375+J375-K375,0),IF(X375&lt;R375,U375+V375-W375,0),IF(AD375&lt;R375,AA375+AB375-AC375,0)))))</x:f>
        <x:v>0</x:v>
      </x:c>
      <x:c r="T375" s="6" t="n">
        <x:f>ROUND(MAX(0,O375+P375-Q375-S375),2)</x:f>
        <x:v>0</x:v>
      </x:c>
      <x:c r="U375" s="6" t="n">
        <x:f>Z374</x:f>
        <x:v>0</x:v>
      </x:c>
      <x:c r="V375" s="6" t="n">
        <x:f>ROUND(U375*'Debt strategy'!$D$12/12,2)</x:f>
        <x:v>0</x:v>
      </x:c>
      <x:c r="W375" s="6" t="n">
        <x:f>MIN(U375+V375,'Debt strategy'!$E$12)</x:f>
        <x:v>0</x:v>
      </x:c>
      <x:c r="X375" s="27" t="n">
        <x:f>IF(U375+V375-W375&lt;=0,99,1+SUM(IF(AND(C375+D375-E375&gt;0,OR(C375+D375-E375&lt;U375+V375-W375,AND(C375+D375-E375=U375+V375-W375,0&lt;3))),1,0),IF(AND(I375+J375-K375&gt;0,OR(I375+J375-K375&lt;U375+V375-W375,AND(I375+J375-K375=U375+V375-W375,1&lt;3))),1,0),IF(AND(O375+P375-Q375&gt;0,OR(O375+P375-Q375&lt;U375+V375-W375,AND(O375+P375-Q375=U375+V375-W375,2&lt;3))),1,0),IF(AND(AA375+AB375-AC375&gt;0,OR(AA375+AB375-AC375&lt;U375+V375-W375,AND(AA375+AB375-AC375=U375+V375-W375,4&lt;3))),1,0)))</x:f>
        <x:v>99</x:v>
      </x:c>
      <x:c r="Y375" s="6" t="n">
        <x:f>IF('Debt strategy'!$C$16&gt;0,0,MIN(U375+V375-W375,MAX(0,'Debt strategy'!$C$5-SUM(E375,K375,Q375,W375,AC375)-SUM(IF(F375&lt;X375,C375+D375-E375,0),IF(L375&lt;X375,I375+J375-K375,0),IF(R375&lt;X375,O375+P375-Q375,0),IF(AD375&lt;X375,AA375+AB375-AC375,0)))))</x:f>
        <x:v>0</x:v>
      </x:c>
      <x:c r="Z375" s="6" t="n">
        <x:f>ROUND(MAX(0,U375+V375-W375-Y375),2)</x:f>
        <x:v>0</x:v>
      </x:c>
      <x:c r="AA375" s="6" t="n">
        <x:f>AF374</x:f>
        <x:v>0</x:v>
      </x:c>
      <x:c r="AB375" s="6" t="n">
        <x:f>ROUND(AA375*'Debt strategy'!$D$13/12,2)</x:f>
        <x:v>0</x:v>
      </x:c>
      <x:c r="AC375" s="6" t="n">
        <x:f>MIN(AA375+AB375,'Debt strategy'!$E$13)</x:f>
        <x:v>0</x:v>
      </x:c>
      <x:c r="AD375" s="27" t="n">
        <x:f>IF(AA375+AB375-AC375&lt;=0,99,1+SUM(IF(AND(C375+D375-E375&gt;0,OR(C375+D375-E375&lt;AA375+AB375-AC375,AND(C375+D375-E375=AA375+AB375-AC375,0&lt;4))),1,0),IF(AND(I375+J375-K375&gt;0,OR(I375+J375-K375&lt;AA375+AB375-AC375,AND(I375+J375-K375=AA375+AB375-AC375,1&lt;4))),1,0),IF(AND(O375+P375-Q375&gt;0,OR(O375+P375-Q375&lt;AA375+AB375-AC375,AND(O375+P375-Q375=AA375+AB375-AC375,2&lt;4))),1,0),IF(AND(U375+V375-W375&gt;0,OR(U375+V375-W375&lt;AA375+AB375-AC375,AND(U375+V375-W375=AA375+AB375-AC375,3&lt;4))),1,0)))</x:f>
        <x:v>99</x:v>
      </x:c>
      <x:c r="AE375" s="6" t="n">
        <x:f>IF('Debt strategy'!$C$16&gt;0,0,MIN(AA375+AB375-AC375,MAX(0,'Debt strategy'!$C$5-SUM(E375,K375,Q375,W375,AC375)-SUM(IF(F375&lt;AD375,C375+D375-E375,0),IF(L375&lt;AD375,I375+J375-K375,0),IF(R375&lt;AD375,O375+P375-Q375,0),IF(X375&lt;AD375,U375+V375-W375,0)))))</x:f>
        <x:v>0</x:v>
      </x:c>
      <x:c r="AF375" s="6" t="n">
        <x:f>ROUND(MAX(0,AA375+AB375-AC375-AE375),2)</x:f>
        <x:v>0</x:v>
      </x:c>
      <x:c r="AG375" s="6" t="n">
        <x:f>SUM(H375,N375,T375,Z375,AF375)</x:f>
        <x:v>0</x:v>
      </x:c>
      <x:c r="AH375" s="6" t="n">
        <x:f>SUM(D375,J375,P375,V375,AB375)+AH374</x:f>
        <x:v>1353.9499999999996</x:v>
      </x:c>
      <x:c r="AI375" s="2"/>
    </x:row>
    <x:row r="376" ht="23" customHeight="1">
      <x:c r="B376" s="2" t="n">
        <x:f>368</x:f>
        <x:v>368</x:v>
      </x:c>
      <x:c r="C376" s="6" t="n">
        <x:f>H375</x:f>
        <x:v>0</x:v>
      </x:c>
      <x:c r="D376" s="6" t="n">
        <x:f>ROUND(C376*'Debt strategy'!$D$9/12,2)</x:f>
        <x:v>0</x:v>
      </x:c>
      <x:c r="E376" s="6" t="n">
        <x:f>MIN(C376+D376,'Debt strategy'!$E$9)</x:f>
        <x:v>0</x:v>
      </x:c>
      <x:c r="F376" s="27" t="n">
        <x:f>IF(C376+D376-E376&lt;=0,99,1+SUM(IF(AND(I376+J376-K376&gt;0,OR(I376+J376-K376&lt;C376+D376-E376,AND(I376+J376-K376=C376+D376-E376,1&lt;0))),1,0),IF(AND(O376+P376-Q376&gt;0,OR(O376+P376-Q376&lt;C376+D376-E376,AND(O376+P376-Q376=C376+D376-E376,2&lt;0))),1,0),IF(AND(U376+V376-W376&gt;0,OR(U376+V376-W376&lt;C376+D376-E376,AND(U376+V376-W376=C376+D376-E376,3&lt;0))),1,0),IF(AND(AA376+AB376-AC376&gt;0,OR(AA376+AB376-AC376&lt;C376+D376-E376,AND(AA376+AB376-AC376=C376+D376-E376,4&lt;0))),1,0)))</x:f>
        <x:v>99</x:v>
      </x:c>
      <x:c r="G376" s="6" t="n">
        <x:f>IF('Debt strategy'!$C$16&gt;0,0,MIN(C376+D376-E376,MAX(0,'Debt strategy'!$C$5-SUM(E376,K376,Q376,W376,AC376)-SUM(IF(L376&lt;F376,I376+J376-K376,0),IF(R376&lt;F376,O376+P376-Q376,0),IF(X376&lt;F376,U376+V376-W376,0),IF(AD376&lt;F376,AA376+AB376-AC376,0)))))</x:f>
        <x:v>0</x:v>
      </x:c>
      <x:c r="H376" s="6" t="n">
        <x:f>ROUND(MAX(0,C376+D376-E376-G376),2)</x:f>
        <x:v>0</x:v>
      </x:c>
      <x:c r="I376" s="6" t="n">
        <x:f>N375</x:f>
        <x:v>0</x:v>
      </x:c>
      <x:c r="J376" s="6" t="n">
        <x:f>ROUND(I376*'Debt strategy'!$D$10/12,2)</x:f>
        <x:v>0</x:v>
      </x:c>
      <x:c r="K376" s="6" t="n">
        <x:f>MIN(I376+J376,'Debt strategy'!$E$10)</x:f>
        <x:v>0</x:v>
      </x:c>
      <x:c r="L376" s="27" t="n">
        <x:f>IF(I376+J376-K376&lt;=0,99,1+SUM(IF(AND(C376+D376-E376&gt;0,OR(C376+D376-E376&lt;I376+J376-K376,AND(C376+D376-E376=I376+J376-K376,0&lt;1))),1,0),IF(AND(O376+P376-Q376&gt;0,OR(O376+P376-Q376&lt;I376+J376-K376,AND(O376+P376-Q376=I376+J376-K376,2&lt;1))),1,0),IF(AND(U376+V376-W376&gt;0,OR(U376+V376-W376&lt;I376+J376-K376,AND(U376+V376-W376=I376+J376-K376,3&lt;1))),1,0),IF(AND(AA376+AB376-AC376&gt;0,OR(AA376+AB376-AC376&lt;I376+J376-K376,AND(AA376+AB376-AC376=I376+J376-K376,4&lt;1))),1,0)))</x:f>
        <x:v>99</x:v>
      </x:c>
      <x:c r="M376" s="6" t="n">
        <x:f>IF('Debt strategy'!$C$16&gt;0,0,MIN(I376+J376-K376,MAX(0,'Debt strategy'!$C$5-SUM(E376,K376,Q376,W376,AC376)-SUM(IF(F376&lt;L376,C376+D376-E376,0),IF(R376&lt;L376,O376+P376-Q376,0),IF(X376&lt;L376,U376+V376-W376,0),IF(AD376&lt;L376,AA376+AB376-AC376,0)))))</x:f>
        <x:v>0</x:v>
      </x:c>
      <x:c r="N376" s="6" t="n">
        <x:f>ROUND(MAX(0,I376+J376-K376-M376),2)</x:f>
        <x:v>0</x:v>
      </x:c>
      <x:c r="O376" s="6" t="n">
        <x:f>T375</x:f>
        <x:v>0</x:v>
      </x:c>
      <x:c r="P376" s="6" t="n">
        <x:f>ROUND(O376*'Debt strategy'!$D$11/12,2)</x:f>
        <x:v>0</x:v>
      </x:c>
      <x:c r="Q376" s="6" t="n">
        <x:f>MIN(O376+P376,'Debt strategy'!$E$11)</x:f>
        <x:v>0</x:v>
      </x:c>
      <x:c r="R376" s="27" t="n">
        <x:f>IF(O376+P376-Q376&lt;=0,99,1+SUM(IF(AND(C376+D376-E376&gt;0,OR(C376+D376-E376&lt;O376+P376-Q376,AND(C376+D376-E376=O376+P376-Q376,0&lt;2))),1,0),IF(AND(I376+J376-K376&gt;0,OR(I376+J376-K376&lt;O376+P376-Q376,AND(I376+J376-K376=O376+P376-Q376,1&lt;2))),1,0),IF(AND(U376+V376-W376&gt;0,OR(U376+V376-W376&lt;O376+P376-Q376,AND(U376+V376-W376=O376+P376-Q376,3&lt;2))),1,0),IF(AND(AA376+AB376-AC376&gt;0,OR(AA376+AB376-AC376&lt;O376+P376-Q376,AND(AA376+AB376-AC376=O376+P376-Q376,4&lt;2))),1,0)))</x:f>
        <x:v>99</x:v>
      </x:c>
      <x:c r="S376" s="6" t="n">
        <x:f>IF('Debt strategy'!$C$16&gt;0,0,MIN(O376+P376-Q376,MAX(0,'Debt strategy'!$C$5-SUM(E376,K376,Q376,W376,AC376)-SUM(IF(F376&lt;R376,C376+D376-E376,0),IF(L376&lt;R376,I376+J376-K376,0),IF(X376&lt;R376,U376+V376-W376,0),IF(AD376&lt;R376,AA376+AB376-AC376,0)))))</x:f>
        <x:v>0</x:v>
      </x:c>
      <x:c r="T376" s="6" t="n">
        <x:f>ROUND(MAX(0,O376+P376-Q376-S376),2)</x:f>
        <x:v>0</x:v>
      </x:c>
      <x:c r="U376" s="6" t="n">
        <x:f>Z375</x:f>
        <x:v>0</x:v>
      </x:c>
      <x:c r="V376" s="6" t="n">
        <x:f>ROUND(U376*'Debt strategy'!$D$12/12,2)</x:f>
        <x:v>0</x:v>
      </x:c>
      <x:c r="W376" s="6" t="n">
        <x:f>MIN(U376+V376,'Debt strategy'!$E$12)</x:f>
        <x:v>0</x:v>
      </x:c>
      <x:c r="X376" s="27" t="n">
        <x:f>IF(U376+V376-W376&lt;=0,99,1+SUM(IF(AND(C376+D376-E376&gt;0,OR(C376+D376-E376&lt;U376+V376-W376,AND(C376+D376-E376=U376+V376-W376,0&lt;3))),1,0),IF(AND(I376+J376-K376&gt;0,OR(I376+J376-K376&lt;U376+V376-W376,AND(I376+J376-K376=U376+V376-W376,1&lt;3))),1,0),IF(AND(O376+P376-Q376&gt;0,OR(O376+P376-Q376&lt;U376+V376-W376,AND(O376+P376-Q376=U376+V376-W376,2&lt;3))),1,0),IF(AND(AA376+AB376-AC376&gt;0,OR(AA376+AB376-AC376&lt;U376+V376-W376,AND(AA376+AB376-AC376=U376+V376-W376,4&lt;3))),1,0)))</x:f>
        <x:v>99</x:v>
      </x:c>
      <x:c r="Y376" s="6" t="n">
        <x:f>IF('Debt strategy'!$C$16&gt;0,0,MIN(U376+V376-W376,MAX(0,'Debt strategy'!$C$5-SUM(E376,K376,Q376,W376,AC376)-SUM(IF(F376&lt;X376,C376+D376-E376,0),IF(L376&lt;X376,I376+J376-K376,0),IF(R376&lt;X376,O376+P376-Q376,0),IF(AD376&lt;X376,AA376+AB376-AC376,0)))))</x:f>
        <x:v>0</x:v>
      </x:c>
      <x:c r="Z376" s="6" t="n">
        <x:f>ROUND(MAX(0,U376+V376-W376-Y376),2)</x:f>
        <x:v>0</x:v>
      </x:c>
      <x:c r="AA376" s="6" t="n">
        <x:f>AF375</x:f>
        <x:v>0</x:v>
      </x:c>
      <x:c r="AB376" s="6" t="n">
        <x:f>ROUND(AA376*'Debt strategy'!$D$13/12,2)</x:f>
        <x:v>0</x:v>
      </x:c>
      <x:c r="AC376" s="6" t="n">
        <x:f>MIN(AA376+AB376,'Debt strategy'!$E$13)</x:f>
        <x:v>0</x:v>
      </x:c>
      <x:c r="AD376" s="27" t="n">
        <x:f>IF(AA376+AB376-AC376&lt;=0,99,1+SUM(IF(AND(C376+D376-E376&gt;0,OR(C376+D376-E376&lt;AA376+AB376-AC376,AND(C376+D376-E376=AA376+AB376-AC376,0&lt;4))),1,0),IF(AND(I376+J376-K376&gt;0,OR(I376+J376-K376&lt;AA376+AB376-AC376,AND(I376+J376-K376=AA376+AB376-AC376,1&lt;4))),1,0),IF(AND(O376+P376-Q376&gt;0,OR(O376+P376-Q376&lt;AA376+AB376-AC376,AND(O376+P376-Q376=AA376+AB376-AC376,2&lt;4))),1,0),IF(AND(U376+V376-W376&gt;0,OR(U376+V376-W376&lt;AA376+AB376-AC376,AND(U376+V376-W376=AA376+AB376-AC376,3&lt;4))),1,0)))</x:f>
        <x:v>99</x:v>
      </x:c>
      <x:c r="AE376" s="6" t="n">
        <x:f>IF('Debt strategy'!$C$16&gt;0,0,MIN(AA376+AB376-AC376,MAX(0,'Debt strategy'!$C$5-SUM(E376,K376,Q376,W376,AC376)-SUM(IF(F376&lt;AD376,C376+D376-E376,0),IF(L376&lt;AD376,I376+J376-K376,0),IF(R376&lt;AD376,O376+P376-Q376,0),IF(X376&lt;AD376,U376+V376-W376,0)))))</x:f>
        <x:v>0</x:v>
      </x:c>
      <x:c r="AF376" s="6" t="n">
        <x:f>ROUND(MAX(0,AA376+AB376-AC376-AE376),2)</x:f>
        <x:v>0</x:v>
      </x:c>
      <x:c r="AG376" s="6" t="n">
        <x:f>SUM(H376,N376,T376,Z376,AF376)</x:f>
        <x:v>0</x:v>
      </x:c>
      <x:c r="AH376" s="6" t="n">
        <x:f>SUM(D376,J376,P376,V376,AB376)+AH375</x:f>
        <x:v>1353.9499999999996</x:v>
      </x:c>
      <x:c r="AI376" s="2"/>
    </x:row>
    <x:row r="377" ht="23" customHeight="1">
      <x:c r="B377" s="2" t="n">
        <x:f>369</x:f>
        <x:v>369</x:v>
      </x:c>
      <x:c r="C377" s="6" t="n">
        <x:f>H376</x:f>
        <x:v>0</x:v>
      </x:c>
      <x:c r="D377" s="6" t="n">
        <x:f>ROUND(C377*'Debt strategy'!$D$9/12,2)</x:f>
        <x:v>0</x:v>
      </x:c>
      <x:c r="E377" s="6" t="n">
        <x:f>MIN(C377+D377,'Debt strategy'!$E$9)</x:f>
        <x:v>0</x:v>
      </x:c>
      <x:c r="F377" s="27" t="n">
        <x:f>IF(C377+D377-E377&lt;=0,99,1+SUM(IF(AND(I377+J377-K377&gt;0,OR(I377+J377-K377&lt;C377+D377-E377,AND(I377+J377-K377=C377+D377-E377,1&lt;0))),1,0),IF(AND(O377+P377-Q377&gt;0,OR(O377+P377-Q377&lt;C377+D377-E377,AND(O377+P377-Q377=C377+D377-E377,2&lt;0))),1,0),IF(AND(U377+V377-W377&gt;0,OR(U377+V377-W377&lt;C377+D377-E377,AND(U377+V377-W377=C377+D377-E377,3&lt;0))),1,0),IF(AND(AA377+AB377-AC377&gt;0,OR(AA377+AB377-AC377&lt;C377+D377-E377,AND(AA377+AB377-AC377=C377+D377-E377,4&lt;0))),1,0)))</x:f>
        <x:v>99</x:v>
      </x:c>
      <x:c r="G377" s="6" t="n">
        <x:f>IF('Debt strategy'!$C$16&gt;0,0,MIN(C377+D377-E377,MAX(0,'Debt strategy'!$C$5-SUM(E377,K377,Q377,W377,AC377)-SUM(IF(L377&lt;F377,I377+J377-K377,0),IF(R377&lt;F377,O377+P377-Q377,0),IF(X377&lt;F377,U377+V377-W377,0),IF(AD377&lt;F377,AA377+AB377-AC377,0)))))</x:f>
        <x:v>0</x:v>
      </x:c>
      <x:c r="H377" s="6" t="n">
        <x:f>ROUND(MAX(0,C377+D377-E377-G377),2)</x:f>
        <x:v>0</x:v>
      </x:c>
      <x:c r="I377" s="6" t="n">
        <x:f>N376</x:f>
        <x:v>0</x:v>
      </x:c>
      <x:c r="J377" s="6" t="n">
        <x:f>ROUND(I377*'Debt strategy'!$D$10/12,2)</x:f>
        <x:v>0</x:v>
      </x:c>
      <x:c r="K377" s="6" t="n">
        <x:f>MIN(I377+J377,'Debt strategy'!$E$10)</x:f>
        <x:v>0</x:v>
      </x:c>
      <x:c r="L377" s="27" t="n">
        <x:f>IF(I377+J377-K377&lt;=0,99,1+SUM(IF(AND(C377+D377-E377&gt;0,OR(C377+D377-E377&lt;I377+J377-K377,AND(C377+D377-E377=I377+J377-K377,0&lt;1))),1,0),IF(AND(O377+P377-Q377&gt;0,OR(O377+P377-Q377&lt;I377+J377-K377,AND(O377+P377-Q377=I377+J377-K377,2&lt;1))),1,0),IF(AND(U377+V377-W377&gt;0,OR(U377+V377-W377&lt;I377+J377-K377,AND(U377+V377-W377=I377+J377-K377,3&lt;1))),1,0),IF(AND(AA377+AB377-AC377&gt;0,OR(AA377+AB377-AC377&lt;I377+J377-K377,AND(AA377+AB377-AC377=I377+J377-K377,4&lt;1))),1,0)))</x:f>
        <x:v>99</x:v>
      </x:c>
      <x:c r="M377" s="6" t="n">
        <x:f>IF('Debt strategy'!$C$16&gt;0,0,MIN(I377+J377-K377,MAX(0,'Debt strategy'!$C$5-SUM(E377,K377,Q377,W377,AC377)-SUM(IF(F377&lt;L377,C377+D377-E377,0),IF(R377&lt;L377,O377+P377-Q377,0),IF(X377&lt;L377,U377+V377-W377,0),IF(AD377&lt;L377,AA377+AB377-AC377,0)))))</x:f>
        <x:v>0</x:v>
      </x:c>
      <x:c r="N377" s="6" t="n">
        <x:f>ROUND(MAX(0,I377+J377-K377-M377),2)</x:f>
        <x:v>0</x:v>
      </x:c>
      <x:c r="O377" s="6" t="n">
        <x:f>T376</x:f>
        <x:v>0</x:v>
      </x:c>
      <x:c r="P377" s="6" t="n">
        <x:f>ROUND(O377*'Debt strategy'!$D$11/12,2)</x:f>
        <x:v>0</x:v>
      </x:c>
      <x:c r="Q377" s="6" t="n">
        <x:f>MIN(O377+P377,'Debt strategy'!$E$11)</x:f>
        <x:v>0</x:v>
      </x:c>
      <x:c r="R377" s="27" t="n">
        <x:f>IF(O377+P377-Q377&lt;=0,99,1+SUM(IF(AND(C377+D377-E377&gt;0,OR(C377+D377-E377&lt;O377+P377-Q377,AND(C377+D377-E377=O377+P377-Q377,0&lt;2))),1,0),IF(AND(I377+J377-K377&gt;0,OR(I377+J377-K377&lt;O377+P377-Q377,AND(I377+J377-K377=O377+P377-Q377,1&lt;2))),1,0),IF(AND(U377+V377-W377&gt;0,OR(U377+V377-W377&lt;O377+P377-Q377,AND(U377+V377-W377=O377+P377-Q377,3&lt;2))),1,0),IF(AND(AA377+AB377-AC377&gt;0,OR(AA377+AB377-AC377&lt;O377+P377-Q377,AND(AA377+AB377-AC377=O377+P377-Q377,4&lt;2))),1,0)))</x:f>
        <x:v>99</x:v>
      </x:c>
      <x:c r="S377" s="6" t="n">
        <x:f>IF('Debt strategy'!$C$16&gt;0,0,MIN(O377+P377-Q377,MAX(0,'Debt strategy'!$C$5-SUM(E377,K377,Q377,W377,AC377)-SUM(IF(F377&lt;R377,C377+D377-E377,0),IF(L377&lt;R377,I377+J377-K377,0),IF(X377&lt;R377,U377+V377-W377,0),IF(AD377&lt;R377,AA377+AB377-AC377,0)))))</x:f>
        <x:v>0</x:v>
      </x:c>
      <x:c r="T377" s="6" t="n">
        <x:f>ROUND(MAX(0,O377+P377-Q377-S377),2)</x:f>
        <x:v>0</x:v>
      </x:c>
      <x:c r="U377" s="6" t="n">
        <x:f>Z376</x:f>
        <x:v>0</x:v>
      </x:c>
      <x:c r="V377" s="6" t="n">
        <x:f>ROUND(U377*'Debt strategy'!$D$12/12,2)</x:f>
        <x:v>0</x:v>
      </x:c>
      <x:c r="W377" s="6" t="n">
        <x:f>MIN(U377+V377,'Debt strategy'!$E$12)</x:f>
        <x:v>0</x:v>
      </x:c>
      <x:c r="X377" s="27" t="n">
        <x:f>IF(U377+V377-W377&lt;=0,99,1+SUM(IF(AND(C377+D377-E377&gt;0,OR(C377+D377-E377&lt;U377+V377-W377,AND(C377+D377-E377=U377+V377-W377,0&lt;3))),1,0),IF(AND(I377+J377-K377&gt;0,OR(I377+J377-K377&lt;U377+V377-W377,AND(I377+J377-K377=U377+V377-W377,1&lt;3))),1,0),IF(AND(O377+P377-Q377&gt;0,OR(O377+P377-Q377&lt;U377+V377-W377,AND(O377+P377-Q377=U377+V377-W377,2&lt;3))),1,0),IF(AND(AA377+AB377-AC377&gt;0,OR(AA377+AB377-AC377&lt;U377+V377-W377,AND(AA377+AB377-AC377=U377+V377-W377,4&lt;3))),1,0)))</x:f>
        <x:v>99</x:v>
      </x:c>
      <x:c r="Y377" s="6" t="n">
        <x:f>IF('Debt strategy'!$C$16&gt;0,0,MIN(U377+V377-W377,MAX(0,'Debt strategy'!$C$5-SUM(E377,K377,Q377,W377,AC377)-SUM(IF(F377&lt;X377,C377+D377-E377,0),IF(L377&lt;X377,I377+J377-K377,0),IF(R377&lt;X377,O377+P377-Q377,0),IF(AD377&lt;X377,AA377+AB377-AC377,0)))))</x:f>
        <x:v>0</x:v>
      </x:c>
      <x:c r="Z377" s="6" t="n">
        <x:f>ROUND(MAX(0,U377+V377-W377-Y377),2)</x:f>
        <x:v>0</x:v>
      </x:c>
      <x:c r="AA377" s="6" t="n">
        <x:f>AF376</x:f>
        <x:v>0</x:v>
      </x:c>
      <x:c r="AB377" s="6" t="n">
        <x:f>ROUND(AA377*'Debt strategy'!$D$13/12,2)</x:f>
        <x:v>0</x:v>
      </x:c>
      <x:c r="AC377" s="6" t="n">
        <x:f>MIN(AA377+AB377,'Debt strategy'!$E$13)</x:f>
        <x:v>0</x:v>
      </x:c>
      <x:c r="AD377" s="27" t="n">
        <x:f>IF(AA377+AB377-AC377&lt;=0,99,1+SUM(IF(AND(C377+D377-E377&gt;0,OR(C377+D377-E377&lt;AA377+AB377-AC377,AND(C377+D377-E377=AA377+AB377-AC377,0&lt;4))),1,0),IF(AND(I377+J377-K377&gt;0,OR(I377+J377-K377&lt;AA377+AB377-AC377,AND(I377+J377-K377=AA377+AB377-AC377,1&lt;4))),1,0),IF(AND(O377+P377-Q377&gt;0,OR(O377+P377-Q377&lt;AA377+AB377-AC377,AND(O377+P377-Q377=AA377+AB377-AC377,2&lt;4))),1,0),IF(AND(U377+V377-W377&gt;0,OR(U377+V377-W377&lt;AA377+AB377-AC377,AND(U377+V377-W377=AA377+AB377-AC377,3&lt;4))),1,0)))</x:f>
        <x:v>99</x:v>
      </x:c>
      <x:c r="AE377" s="6" t="n">
        <x:f>IF('Debt strategy'!$C$16&gt;0,0,MIN(AA377+AB377-AC377,MAX(0,'Debt strategy'!$C$5-SUM(E377,K377,Q377,W377,AC377)-SUM(IF(F377&lt;AD377,C377+D377-E377,0),IF(L377&lt;AD377,I377+J377-K377,0),IF(R377&lt;AD377,O377+P377-Q377,0),IF(X377&lt;AD377,U377+V377-W377,0)))))</x:f>
        <x:v>0</x:v>
      </x:c>
      <x:c r="AF377" s="6" t="n">
        <x:f>ROUND(MAX(0,AA377+AB377-AC377-AE377),2)</x:f>
        <x:v>0</x:v>
      </x:c>
      <x:c r="AG377" s="6" t="n">
        <x:f>SUM(H377,N377,T377,Z377,AF377)</x:f>
        <x:v>0</x:v>
      </x:c>
      <x:c r="AH377" s="6" t="n">
        <x:f>SUM(D377,J377,P377,V377,AB377)+AH376</x:f>
        <x:v>1353.9499999999996</x:v>
      </x:c>
      <x:c r="AI377" s="2"/>
    </x:row>
    <x:row r="378" ht="23" customHeight="1">
      <x:c r="B378" s="2" t="n">
        <x:f>370</x:f>
        <x:v>370</x:v>
      </x:c>
      <x:c r="C378" s="6" t="n">
        <x:f>H377</x:f>
        <x:v>0</x:v>
      </x:c>
      <x:c r="D378" s="6" t="n">
        <x:f>ROUND(C378*'Debt strategy'!$D$9/12,2)</x:f>
        <x:v>0</x:v>
      </x:c>
      <x:c r="E378" s="6" t="n">
        <x:f>MIN(C378+D378,'Debt strategy'!$E$9)</x:f>
        <x:v>0</x:v>
      </x:c>
      <x:c r="F378" s="27" t="n">
        <x:f>IF(C378+D378-E378&lt;=0,99,1+SUM(IF(AND(I378+J378-K378&gt;0,OR(I378+J378-K378&lt;C378+D378-E378,AND(I378+J378-K378=C378+D378-E378,1&lt;0))),1,0),IF(AND(O378+P378-Q378&gt;0,OR(O378+P378-Q378&lt;C378+D378-E378,AND(O378+P378-Q378=C378+D378-E378,2&lt;0))),1,0),IF(AND(U378+V378-W378&gt;0,OR(U378+V378-W378&lt;C378+D378-E378,AND(U378+V378-W378=C378+D378-E378,3&lt;0))),1,0),IF(AND(AA378+AB378-AC378&gt;0,OR(AA378+AB378-AC378&lt;C378+D378-E378,AND(AA378+AB378-AC378=C378+D378-E378,4&lt;0))),1,0)))</x:f>
        <x:v>99</x:v>
      </x:c>
      <x:c r="G378" s="6" t="n">
        <x:f>IF('Debt strategy'!$C$16&gt;0,0,MIN(C378+D378-E378,MAX(0,'Debt strategy'!$C$5-SUM(E378,K378,Q378,W378,AC378)-SUM(IF(L378&lt;F378,I378+J378-K378,0),IF(R378&lt;F378,O378+P378-Q378,0),IF(X378&lt;F378,U378+V378-W378,0),IF(AD378&lt;F378,AA378+AB378-AC378,0)))))</x:f>
        <x:v>0</x:v>
      </x:c>
      <x:c r="H378" s="6" t="n">
        <x:f>ROUND(MAX(0,C378+D378-E378-G378),2)</x:f>
        <x:v>0</x:v>
      </x:c>
      <x:c r="I378" s="6" t="n">
        <x:f>N377</x:f>
        <x:v>0</x:v>
      </x:c>
      <x:c r="J378" s="6" t="n">
        <x:f>ROUND(I378*'Debt strategy'!$D$10/12,2)</x:f>
        <x:v>0</x:v>
      </x:c>
      <x:c r="K378" s="6" t="n">
        <x:f>MIN(I378+J378,'Debt strategy'!$E$10)</x:f>
        <x:v>0</x:v>
      </x:c>
      <x:c r="L378" s="27" t="n">
        <x:f>IF(I378+J378-K378&lt;=0,99,1+SUM(IF(AND(C378+D378-E378&gt;0,OR(C378+D378-E378&lt;I378+J378-K378,AND(C378+D378-E378=I378+J378-K378,0&lt;1))),1,0),IF(AND(O378+P378-Q378&gt;0,OR(O378+P378-Q378&lt;I378+J378-K378,AND(O378+P378-Q378=I378+J378-K378,2&lt;1))),1,0),IF(AND(U378+V378-W378&gt;0,OR(U378+V378-W378&lt;I378+J378-K378,AND(U378+V378-W378=I378+J378-K378,3&lt;1))),1,0),IF(AND(AA378+AB378-AC378&gt;0,OR(AA378+AB378-AC378&lt;I378+J378-K378,AND(AA378+AB378-AC378=I378+J378-K378,4&lt;1))),1,0)))</x:f>
        <x:v>99</x:v>
      </x:c>
      <x:c r="M378" s="6" t="n">
        <x:f>IF('Debt strategy'!$C$16&gt;0,0,MIN(I378+J378-K378,MAX(0,'Debt strategy'!$C$5-SUM(E378,K378,Q378,W378,AC378)-SUM(IF(F378&lt;L378,C378+D378-E378,0),IF(R378&lt;L378,O378+P378-Q378,0),IF(X378&lt;L378,U378+V378-W378,0),IF(AD378&lt;L378,AA378+AB378-AC378,0)))))</x:f>
        <x:v>0</x:v>
      </x:c>
      <x:c r="N378" s="6" t="n">
        <x:f>ROUND(MAX(0,I378+J378-K378-M378),2)</x:f>
        <x:v>0</x:v>
      </x:c>
      <x:c r="O378" s="6" t="n">
        <x:f>T377</x:f>
        <x:v>0</x:v>
      </x:c>
      <x:c r="P378" s="6" t="n">
        <x:f>ROUND(O378*'Debt strategy'!$D$11/12,2)</x:f>
        <x:v>0</x:v>
      </x:c>
      <x:c r="Q378" s="6" t="n">
        <x:f>MIN(O378+P378,'Debt strategy'!$E$11)</x:f>
        <x:v>0</x:v>
      </x:c>
      <x:c r="R378" s="27" t="n">
        <x:f>IF(O378+P378-Q378&lt;=0,99,1+SUM(IF(AND(C378+D378-E378&gt;0,OR(C378+D378-E378&lt;O378+P378-Q378,AND(C378+D378-E378=O378+P378-Q378,0&lt;2))),1,0),IF(AND(I378+J378-K378&gt;0,OR(I378+J378-K378&lt;O378+P378-Q378,AND(I378+J378-K378=O378+P378-Q378,1&lt;2))),1,0),IF(AND(U378+V378-W378&gt;0,OR(U378+V378-W378&lt;O378+P378-Q378,AND(U378+V378-W378=O378+P378-Q378,3&lt;2))),1,0),IF(AND(AA378+AB378-AC378&gt;0,OR(AA378+AB378-AC378&lt;O378+P378-Q378,AND(AA378+AB378-AC378=O378+P378-Q378,4&lt;2))),1,0)))</x:f>
        <x:v>99</x:v>
      </x:c>
      <x:c r="S378" s="6" t="n">
        <x:f>IF('Debt strategy'!$C$16&gt;0,0,MIN(O378+P378-Q378,MAX(0,'Debt strategy'!$C$5-SUM(E378,K378,Q378,W378,AC378)-SUM(IF(F378&lt;R378,C378+D378-E378,0),IF(L378&lt;R378,I378+J378-K378,0),IF(X378&lt;R378,U378+V378-W378,0),IF(AD378&lt;R378,AA378+AB378-AC378,0)))))</x:f>
        <x:v>0</x:v>
      </x:c>
      <x:c r="T378" s="6" t="n">
        <x:f>ROUND(MAX(0,O378+P378-Q378-S378),2)</x:f>
        <x:v>0</x:v>
      </x:c>
      <x:c r="U378" s="6" t="n">
        <x:f>Z377</x:f>
        <x:v>0</x:v>
      </x:c>
      <x:c r="V378" s="6" t="n">
        <x:f>ROUND(U378*'Debt strategy'!$D$12/12,2)</x:f>
        <x:v>0</x:v>
      </x:c>
      <x:c r="W378" s="6" t="n">
        <x:f>MIN(U378+V378,'Debt strategy'!$E$12)</x:f>
        <x:v>0</x:v>
      </x:c>
      <x:c r="X378" s="27" t="n">
        <x:f>IF(U378+V378-W378&lt;=0,99,1+SUM(IF(AND(C378+D378-E378&gt;0,OR(C378+D378-E378&lt;U378+V378-W378,AND(C378+D378-E378=U378+V378-W378,0&lt;3))),1,0),IF(AND(I378+J378-K378&gt;0,OR(I378+J378-K378&lt;U378+V378-W378,AND(I378+J378-K378=U378+V378-W378,1&lt;3))),1,0),IF(AND(O378+P378-Q378&gt;0,OR(O378+P378-Q378&lt;U378+V378-W378,AND(O378+P378-Q378=U378+V378-W378,2&lt;3))),1,0),IF(AND(AA378+AB378-AC378&gt;0,OR(AA378+AB378-AC378&lt;U378+V378-W378,AND(AA378+AB378-AC378=U378+V378-W378,4&lt;3))),1,0)))</x:f>
        <x:v>99</x:v>
      </x:c>
      <x:c r="Y378" s="6" t="n">
        <x:f>IF('Debt strategy'!$C$16&gt;0,0,MIN(U378+V378-W378,MAX(0,'Debt strategy'!$C$5-SUM(E378,K378,Q378,W378,AC378)-SUM(IF(F378&lt;X378,C378+D378-E378,0),IF(L378&lt;X378,I378+J378-K378,0),IF(R378&lt;X378,O378+P378-Q378,0),IF(AD378&lt;X378,AA378+AB378-AC378,0)))))</x:f>
        <x:v>0</x:v>
      </x:c>
      <x:c r="Z378" s="6" t="n">
        <x:f>ROUND(MAX(0,U378+V378-W378-Y378),2)</x:f>
        <x:v>0</x:v>
      </x:c>
      <x:c r="AA378" s="6" t="n">
        <x:f>AF377</x:f>
        <x:v>0</x:v>
      </x:c>
      <x:c r="AB378" s="6" t="n">
        <x:f>ROUND(AA378*'Debt strategy'!$D$13/12,2)</x:f>
        <x:v>0</x:v>
      </x:c>
      <x:c r="AC378" s="6" t="n">
        <x:f>MIN(AA378+AB378,'Debt strategy'!$E$13)</x:f>
        <x:v>0</x:v>
      </x:c>
      <x:c r="AD378" s="27" t="n">
        <x:f>IF(AA378+AB378-AC378&lt;=0,99,1+SUM(IF(AND(C378+D378-E378&gt;0,OR(C378+D378-E378&lt;AA378+AB378-AC378,AND(C378+D378-E378=AA378+AB378-AC378,0&lt;4))),1,0),IF(AND(I378+J378-K378&gt;0,OR(I378+J378-K378&lt;AA378+AB378-AC378,AND(I378+J378-K378=AA378+AB378-AC378,1&lt;4))),1,0),IF(AND(O378+P378-Q378&gt;0,OR(O378+P378-Q378&lt;AA378+AB378-AC378,AND(O378+P378-Q378=AA378+AB378-AC378,2&lt;4))),1,0),IF(AND(U378+V378-W378&gt;0,OR(U378+V378-W378&lt;AA378+AB378-AC378,AND(U378+V378-W378=AA378+AB378-AC378,3&lt;4))),1,0)))</x:f>
        <x:v>99</x:v>
      </x:c>
      <x:c r="AE378" s="6" t="n">
        <x:f>IF('Debt strategy'!$C$16&gt;0,0,MIN(AA378+AB378-AC378,MAX(0,'Debt strategy'!$C$5-SUM(E378,K378,Q378,W378,AC378)-SUM(IF(F378&lt;AD378,C378+D378-E378,0),IF(L378&lt;AD378,I378+J378-K378,0),IF(R378&lt;AD378,O378+P378-Q378,0),IF(X378&lt;AD378,U378+V378-W378,0)))))</x:f>
        <x:v>0</x:v>
      </x:c>
      <x:c r="AF378" s="6" t="n">
        <x:f>ROUND(MAX(0,AA378+AB378-AC378-AE378),2)</x:f>
        <x:v>0</x:v>
      </x:c>
      <x:c r="AG378" s="6" t="n">
        <x:f>SUM(H378,N378,T378,Z378,AF378)</x:f>
        <x:v>0</x:v>
      </x:c>
      <x:c r="AH378" s="6" t="n">
        <x:f>SUM(D378,J378,P378,V378,AB378)+AH377</x:f>
        <x:v>1353.9499999999996</x:v>
      </x:c>
      <x:c r="AI378" s="2"/>
    </x:row>
    <x:row r="379" ht="23" customHeight="1">
      <x:c r="B379" s="2" t="n">
        <x:f>371</x:f>
        <x:v>371</x:v>
      </x:c>
      <x:c r="C379" s="6" t="n">
        <x:f>H378</x:f>
        <x:v>0</x:v>
      </x:c>
      <x:c r="D379" s="6" t="n">
        <x:f>ROUND(C379*'Debt strategy'!$D$9/12,2)</x:f>
        <x:v>0</x:v>
      </x:c>
      <x:c r="E379" s="6" t="n">
        <x:f>MIN(C379+D379,'Debt strategy'!$E$9)</x:f>
        <x:v>0</x:v>
      </x:c>
      <x:c r="F379" s="27" t="n">
        <x:f>IF(C379+D379-E379&lt;=0,99,1+SUM(IF(AND(I379+J379-K379&gt;0,OR(I379+J379-K379&lt;C379+D379-E379,AND(I379+J379-K379=C379+D379-E379,1&lt;0))),1,0),IF(AND(O379+P379-Q379&gt;0,OR(O379+P379-Q379&lt;C379+D379-E379,AND(O379+P379-Q379=C379+D379-E379,2&lt;0))),1,0),IF(AND(U379+V379-W379&gt;0,OR(U379+V379-W379&lt;C379+D379-E379,AND(U379+V379-W379=C379+D379-E379,3&lt;0))),1,0),IF(AND(AA379+AB379-AC379&gt;0,OR(AA379+AB379-AC379&lt;C379+D379-E379,AND(AA379+AB379-AC379=C379+D379-E379,4&lt;0))),1,0)))</x:f>
        <x:v>99</x:v>
      </x:c>
      <x:c r="G379" s="6" t="n">
        <x:f>IF('Debt strategy'!$C$16&gt;0,0,MIN(C379+D379-E379,MAX(0,'Debt strategy'!$C$5-SUM(E379,K379,Q379,W379,AC379)-SUM(IF(L379&lt;F379,I379+J379-K379,0),IF(R379&lt;F379,O379+P379-Q379,0),IF(X379&lt;F379,U379+V379-W379,0),IF(AD379&lt;F379,AA379+AB379-AC379,0)))))</x:f>
        <x:v>0</x:v>
      </x:c>
      <x:c r="H379" s="6" t="n">
        <x:f>ROUND(MAX(0,C379+D379-E379-G379),2)</x:f>
        <x:v>0</x:v>
      </x:c>
      <x:c r="I379" s="6" t="n">
        <x:f>N378</x:f>
        <x:v>0</x:v>
      </x:c>
      <x:c r="J379" s="6" t="n">
        <x:f>ROUND(I379*'Debt strategy'!$D$10/12,2)</x:f>
        <x:v>0</x:v>
      </x:c>
      <x:c r="K379" s="6" t="n">
        <x:f>MIN(I379+J379,'Debt strategy'!$E$10)</x:f>
        <x:v>0</x:v>
      </x:c>
      <x:c r="L379" s="27" t="n">
        <x:f>IF(I379+J379-K379&lt;=0,99,1+SUM(IF(AND(C379+D379-E379&gt;0,OR(C379+D379-E379&lt;I379+J379-K379,AND(C379+D379-E379=I379+J379-K379,0&lt;1))),1,0),IF(AND(O379+P379-Q379&gt;0,OR(O379+P379-Q379&lt;I379+J379-K379,AND(O379+P379-Q379=I379+J379-K379,2&lt;1))),1,0),IF(AND(U379+V379-W379&gt;0,OR(U379+V379-W379&lt;I379+J379-K379,AND(U379+V379-W379=I379+J379-K379,3&lt;1))),1,0),IF(AND(AA379+AB379-AC379&gt;0,OR(AA379+AB379-AC379&lt;I379+J379-K379,AND(AA379+AB379-AC379=I379+J379-K379,4&lt;1))),1,0)))</x:f>
        <x:v>99</x:v>
      </x:c>
      <x:c r="M379" s="6" t="n">
        <x:f>IF('Debt strategy'!$C$16&gt;0,0,MIN(I379+J379-K379,MAX(0,'Debt strategy'!$C$5-SUM(E379,K379,Q379,W379,AC379)-SUM(IF(F379&lt;L379,C379+D379-E379,0),IF(R379&lt;L379,O379+P379-Q379,0),IF(X379&lt;L379,U379+V379-W379,0),IF(AD379&lt;L379,AA379+AB379-AC379,0)))))</x:f>
        <x:v>0</x:v>
      </x:c>
      <x:c r="N379" s="6" t="n">
        <x:f>ROUND(MAX(0,I379+J379-K379-M379),2)</x:f>
        <x:v>0</x:v>
      </x:c>
      <x:c r="O379" s="6" t="n">
        <x:f>T378</x:f>
        <x:v>0</x:v>
      </x:c>
      <x:c r="P379" s="6" t="n">
        <x:f>ROUND(O379*'Debt strategy'!$D$11/12,2)</x:f>
        <x:v>0</x:v>
      </x:c>
      <x:c r="Q379" s="6" t="n">
        <x:f>MIN(O379+P379,'Debt strategy'!$E$11)</x:f>
        <x:v>0</x:v>
      </x:c>
      <x:c r="R379" s="27" t="n">
        <x:f>IF(O379+P379-Q379&lt;=0,99,1+SUM(IF(AND(C379+D379-E379&gt;0,OR(C379+D379-E379&lt;O379+P379-Q379,AND(C379+D379-E379=O379+P379-Q379,0&lt;2))),1,0),IF(AND(I379+J379-K379&gt;0,OR(I379+J379-K379&lt;O379+P379-Q379,AND(I379+J379-K379=O379+P379-Q379,1&lt;2))),1,0),IF(AND(U379+V379-W379&gt;0,OR(U379+V379-W379&lt;O379+P379-Q379,AND(U379+V379-W379=O379+P379-Q379,3&lt;2))),1,0),IF(AND(AA379+AB379-AC379&gt;0,OR(AA379+AB379-AC379&lt;O379+P379-Q379,AND(AA379+AB379-AC379=O379+P379-Q379,4&lt;2))),1,0)))</x:f>
        <x:v>99</x:v>
      </x:c>
      <x:c r="S379" s="6" t="n">
        <x:f>IF('Debt strategy'!$C$16&gt;0,0,MIN(O379+P379-Q379,MAX(0,'Debt strategy'!$C$5-SUM(E379,K379,Q379,W379,AC379)-SUM(IF(F379&lt;R379,C379+D379-E379,0),IF(L379&lt;R379,I379+J379-K379,0),IF(X379&lt;R379,U379+V379-W379,0),IF(AD379&lt;R379,AA379+AB379-AC379,0)))))</x:f>
        <x:v>0</x:v>
      </x:c>
      <x:c r="T379" s="6" t="n">
        <x:f>ROUND(MAX(0,O379+P379-Q379-S379),2)</x:f>
        <x:v>0</x:v>
      </x:c>
      <x:c r="U379" s="6" t="n">
        <x:f>Z378</x:f>
        <x:v>0</x:v>
      </x:c>
      <x:c r="V379" s="6" t="n">
        <x:f>ROUND(U379*'Debt strategy'!$D$12/12,2)</x:f>
        <x:v>0</x:v>
      </x:c>
      <x:c r="W379" s="6" t="n">
        <x:f>MIN(U379+V379,'Debt strategy'!$E$12)</x:f>
        <x:v>0</x:v>
      </x:c>
      <x:c r="X379" s="27" t="n">
        <x:f>IF(U379+V379-W379&lt;=0,99,1+SUM(IF(AND(C379+D379-E379&gt;0,OR(C379+D379-E379&lt;U379+V379-W379,AND(C379+D379-E379=U379+V379-W379,0&lt;3))),1,0),IF(AND(I379+J379-K379&gt;0,OR(I379+J379-K379&lt;U379+V379-W379,AND(I379+J379-K379=U379+V379-W379,1&lt;3))),1,0),IF(AND(O379+P379-Q379&gt;0,OR(O379+P379-Q379&lt;U379+V379-W379,AND(O379+P379-Q379=U379+V379-W379,2&lt;3))),1,0),IF(AND(AA379+AB379-AC379&gt;0,OR(AA379+AB379-AC379&lt;U379+V379-W379,AND(AA379+AB379-AC379=U379+V379-W379,4&lt;3))),1,0)))</x:f>
        <x:v>99</x:v>
      </x:c>
      <x:c r="Y379" s="6" t="n">
        <x:f>IF('Debt strategy'!$C$16&gt;0,0,MIN(U379+V379-W379,MAX(0,'Debt strategy'!$C$5-SUM(E379,K379,Q379,W379,AC379)-SUM(IF(F379&lt;X379,C379+D379-E379,0),IF(L379&lt;X379,I379+J379-K379,0),IF(R379&lt;X379,O379+P379-Q379,0),IF(AD379&lt;X379,AA379+AB379-AC379,0)))))</x:f>
        <x:v>0</x:v>
      </x:c>
      <x:c r="Z379" s="6" t="n">
        <x:f>ROUND(MAX(0,U379+V379-W379-Y379),2)</x:f>
        <x:v>0</x:v>
      </x:c>
      <x:c r="AA379" s="6" t="n">
        <x:f>AF378</x:f>
        <x:v>0</x:v>
      </x:c>
      <x:c r="AB379" s="6" t="n">
        <x:f>ROUND(AA379*'Debt strategy'!$D$13/12,2)</x:f>
        <x:v>0</x:v>
      </x:c>
      <x:c r="AC379" s="6" t="n">
        <x:f>MIN(AA379+AB379,'Debt strategy'!$E$13)</x:f>
        <x:v>0</x:v>
      </x:c>
      <x:c r="AD379" s="27" t="n">
        <x:f>IF(AA379+AB379-AC379&lt;=0,99,1+SUM(IF(AND(C379+D379-E379&gt;0,OR(C379+D379-E379&lt;AA379+AB379-AC379,AND(C379+D379-E379=AA379+AB379-AC379,0&lt;4))),1,0),IF(AND(I379+J379-K379&gt;0,OR(I379+J379-K379&lt;AA379+AB379-AC379,AND(I379+J379-K379=AA379+AB379-AC379,1&lt;4))),1,0),IF(AND(O379+P379-Q379&gt;0,OR(O379+P379-Q379&lt;AA379+AB379-AC379,AND(O379+P379-Q379=AA379+AB379-AC379,2&lt;4))),1,0),IF(AND(U379+V379-W379&gt;0,OR(U379+V379-W379&lt;AA379+AB379-AC379,AND(U379+V379-W379=AA379+AB379-AC379,3&lt;4))),1,0)))</x:f>
        <x:v>99</x:v>
      </x:c>
      <x:c r="AE379" s="6" t="n">
        <x:f>IF('Debt strategy'!$C$16&gt;0,0,MIN(AA379+AB379-AC379,MAX(0,'Debt strategy'!$C$5-SUM(E379,K379,Q379,W379,AC379)-SUM(IF(F379&lt;AD379,C379+D379-E379,0),IF(L379&lt;AD379,I379+J379-K379,0),IF(R379&lt;AD379,O379+P379-Q379,0),IF(X379&lt;AD379,U379+V379-W379,0)))))</x:f>
        <x:v>0</x:v>
      </x:c>
      <x:c r="AF379" s="6" t="n">
        <x:f>ROUND(MAX(0,AA379+AB379-AC379-AE379),2)</x:f>
        <x:v>0</x:v>
      </x:c>
      <x:c r="AG379" s="6" t="n">
        <x:f>SUM(H379,N379,T379,Z379,AF379)</x:f>
        <x:v>0</x:v>
      </x:c>
      <x:c r="AH379" s="6" t="n">
        <x:f>SUM(D379,J379,P379,V379,AB379)+AH378</x:f>
        <x:v>1353.9499999999996</x:v>
      </x:c>
      <x:c r="AI379" s="2"/>
    </x:row>
    <x:row r="380" ht="23" customHeight="1">
      <x:c r="B380" s="2" t="n">
        <x:f>372</x:f>
        <x:v>372</x:v>
      </x:c>
      <x:c r="C380" s="6" t="n">
        <x:f>H379</x:f>
        <x:v>0</x:v>
      </x:c>
      <x:c r="D380" s="6" t="n">
        <x:f>ROUND(C380*'Debt strategy'!$D$9/12,2)</x:f>
        <x:v>0</x:v>
      </x:c>
      <x:c r="E380" s="6" t="n">
        <x:f>MIN(C380+D380,'Debt strategy'!$E$9)</x:f>
        <x:v>0</x:v>
      </x:c>
      <x:c r="F380" s="27" t="n">
        <x:f>IF(C380+D380-E380&lt;=0,99,1+SUM(IF(AND(I380+J380-K380&gt;0,OR(I380+J380-K380&lt;C380+D380-E380,AND(I380+J380-K380=C380+D380-E380,1&lt;0))),1,0),IF(AND(O380+P380-Q380&gt;0,OR(O380+P380-Q380&lt;C380+D380-E380,AND(O380+P380-Q380=C380+D380-E380,2&lt;0))),1,0),IF(AND(U380+V380-W380&gt;0,OR(U380+V380-W380&lt;C380+D380-E380,AND(U380+V380-W380=C380+D380-E380,3&lt;0))),1,0),IF(AND(AA380+AB380-AC380&gt;0,OR(AA380+AB380-AC380&lt;C380+D380-E380,AND(AA380+AB380-AC380=C380+D380-E380,4&lt;0))),1,0)))</x:f>
        <x:v>99</x:v>
      </x:c>
      <x:c r="G380" s="6" t="n">
        <x:f>IF('Debt strategy'!$C$16&gt;0,0,MIN(C380+D380-E380,MAX(0,'Debt strategy'!$C$5-SUM(E380,K380,Q380,W380,AC380)-SUM(IF(L380&lt;F380,I380+J380-K380,0),IF(R380&lt;F380,O380+P380-Q380,0),IF(X380&lt;F380,U380+V380-W380,0),IF(AD380&lt;F380,AA380+AB380-AC380,0)))))</x:f>
        <x:v>0</x:v>
      </x:c>
      <x:c r="H380" s="6" t="n">
        <x:f>ROUND(MAX(0,C380+D380-E380-G380),2)</x:f>
        <x:v>0</x:v>
      </x:c>
      <x:c r="I380" s="6" t="n">
        <x:f>N379</x:f>
        <x:v>0</x:v>
      </x:c>
      <x:c r="J380" s="6" t="n">
        <x:f>ROUND(I380*'Debt strategy'!$D$10/12,2)</x:f>
        <x:v>0</x:v>
      </x:c>
      <x:c r="K380" s="6" t="n">
        <x:f>MIN(I380+J380,'Debt strategy'!$E$10)</x:f>
        <x:v>0</x:v>
      </x:c>
      <x:c r="L380" s="27" t="n">
        <x:f>IF(I380+J380-K380&lt;=0,99,1+SUM(IF(AND(C380+D380-E380&gt;0,OR(C380+D380-E380&lt;I380+J380-K380,AND(C380+D380-E380=I380+J380-K380,0&lt;1))),1,0),IF(AND(O380+P380-Q380&gt;0,OR(O380+P380-Q380&lt;I380+J380-K380,AND(O380+P380-Q380=I380+J380-K380,2&lt;1))),1,0),IF(AND(U380+V380-W380&gt;0,OR(U380+V380-W380&lt;I380+J380-K380,AND(U380+V380-W380=I380+J380-K380,3&lt;1))),1,0),IF(AND(AA380+AB380-AC380&gt;0,OR(AA380+AB380-AC380&lt;I380+J380-K380,AND(AA380+AB380-AC380=I380+J380-K380,4&lt;1))),1,0)))</x:f>
        <x:v>99</x:v>
      </x:c>
      <x:c r="M380" s="6" t="n">
        <x:f>IF('Debt strategy'!$C$16&gt;0,0,MIN(I380+J380-K380,MAX(0,'Debt strategy'!$C$5-SUM(E380,K380,Q380,W380,AC380)-SUM(IF(F380&lt;L380,C380+D380-E380,0),IF(R380&lt;L380,O380+P380-Q380,0),IF(X380&lt;L380,U380+V380-W380,0),IF(AD380&lt;L380,AA380+AB380-AC380,0)))))</x:f>
        <x:v>0</x:v>
      </x:c>
      <x:c r="N380" s="6" t="n">
        <x:f>ROUND(MAX(0,I380+J380-K380-M380),2)</x:f>
        <x:v>0</x:v>
      </x:c>
      <x:c r="O380" s="6" t="n">
        <x:f>T379</x:f>
        <x:v>0</x:v>
      </x:c>
      <x:c r="P380" s="6" t="n">
        <x:f>ROUND(O380*'Debt strategy'!$D$11/12,2)</x:f>
        <x:v>0</x:v>
      </x:c>
      <x:c r="Q380" s="6" t="n">
        <x:f>MIN(O380+P380,'Debt strategy'!$E$11)</x:f>
        <x:v>0</x:v>
      </x:c>
      <x:c r="R380" s="27" t="n">
        <x:f>IF(O380+P380-Q380&lt;=0,99,1+SUM(IF(AND(C380+D380-E380&gt;0,OR(C380+D380-E380&lt;O380+P380-Q380,AND(C380+D380-E380=O380+P380-Q380,0&lt;2))),1,0),IF(AND(I380+J380-K380&gt;0,OR(I380+J380-K380&lt;O380+P380-Q380,AND(I380+J380-K380=O380+P380-Q380,1&lt;2))),1,0),IF(AND(U380+V380-W380&gt;0,OR(U380+V380-W380&lt;O380+P380-Q380,AND(U380+V380-W380=O380+P380-Q380,3&lt;2))),1,0),IF(AND(AA380+AB380-AC380&gt;0,OR(AA380+AB380-AC380&lt;O380+P380-Q380,AND(AA380+AB380-AC380=O380+P380-Q380,4&lt;2))),1,0)))</x:f>
        <x:v>99</x:v>
      </x:c>
      <x:c r="S380" s="6" t="n">
        <x:f>IF('Debt strategy'!$C$16&gt;0,0,MIN(O380+P380-Q380,MAX(0,'Debt strategy'!$C$5-SUM(E380,K380,Q380,W380,AC380)-SUM(IF(F380&lt;R380,C380+D380-E380,0),IF(L380&lt;R380,I380+J380-K380,0),IF(X380&lt;R380,U380+V380-W380,0),IF(AD380&lt;R380,AA380+AB380-AC380,0)))))</x:f>
        <x:v>0</x:v>
      </x:c>
      <x:c r="T380" s="6" t="n">
        <x:f>ROUND(MAX(0,O380+P380-Q380-S380),2)</x:f>
        <x:v>0</x:v>
      </x:c>
      <x:c r="U380" s="6" t="n">
        <x:f>Z379</x:f>
        <x:v>0</x:v>
      </x:c>
      <x:c r="V380" s="6" t="n">
        <x:f>ROUND(U380*'Debt strategy'!$D$12/12,2)</x:f>
        <x:v>0</x:v>
      </x:c>
      <x:c r="W380" s="6" t="n">
        <x:f>MIN(U380+V380,'Debt strategy'!$E$12)</x:f>
        <x:v>0</x:v>
      </x:c>
      <x:c r="X380" s="27" t="n">
        <x:f>IF(U380+V380-W380&lt;=0,99,1+SUM(IF(AND(C380+D380-E380&gt;0,OR(C380+D380-E380&lt;U380+V380-W380,AND(C380+D380-E380=U380+V380-W380,0&lt;3))),1,0),IF(AND(I380+J380-K380&gt;0,OR(I380+J380-K380&lt;U380+V380-W380,AND(I380+J380-K380=U380+V380-W380,1&lt;3))),1,0),IF(AND(O380+P380-Q380&gt;0,OR(O380+P380-Q380&lt;U380+V380-W380,AND(O380+P380-Q380=U380+V380-W380,2&lt;3))),1,0),IF(AND(AA380+AB380-AC380&gt;0,OR(AA380+AB380-AC380&lt;U380+V380-W380,AND(AA380+AB380-AC380=U380+V380-W380,4&lt;3))),1,0)))</x:f>
        <x:v>99</x:v>
      </x:c>
      <x:c r="Y380" s="6" t="n">
        <x:f>IF('Debt strategy'!$C$16&gt;0,0,MIN(U380+V380-W380,MAX(0,'Debt strategy'!$C$5-SUM(E380,K380,Q380,W380,AC380)-SUM(IF(F380&lt;X380,C380+D380-E380,0),IF(L380&lt;X380,I380+J380-K380,0),IF(R380&lt;X380,O380+P380-Q380,0),IF(AD380&lt;X380,AA380+AB380-AC380,0)))))</x:f>
        <x:v>0</x:v>
      </x:c>
      <x:c r="Z380" s="6" t="n">
        <x:f>ROUND(MAX(0,U380+V380-W380-Y380),2)</x:f>
        <x:v>0</x:v>
      </x:c>
      <x:c r="AA380" s="6" t="n">
        <x:f>AF379</x:f>
        <x:v>0</x:v>
      </x:c>
      <x:c r="AB380" s="6" t="n">
        <x:f>ROUND(AA380*'Debt strategy'!$D$13/12,2)</x:f>
        <x:v>0</x:v>
      </x:c>
      <x:c r="AC380" s="6" t="n">
        <x:f>MIN(AA380+AB380,'Debt strategy'!$E$13)</x:f>
        <x:v>0</x:v>
      </x:c>
      <x:c r="AD380" s="27" t="n">
        <x:f>IF(AA380+AB380-AC380&lt;=0,99,1+SUM(IF(AND(C380+D380-E380&gt;0,OR(C380+D380-E380&lt;AA380+AB380-AC380,AND(C380+D380-E380=AA380+AB380-AC380,0&lt;4))),1,0),IF(AND(I380+J380-K380&gt;0,OR(I380+J380-K380&lt;AA380+AB380-AC380,AND(I380+J380-K380=AA380+AB380-AC380,1&lt;4))),1,0),IF(AND(O380+P380-Q380&gt;0,OR(O380+P380-Q380&lt;AA380+AB380-AC380,AND(O380+P380-Q380=AA380+AB380-AC380,2&lt;4))),1,0),IF(AND(U380+V380-W380&gt;0,OR(U380+V380-W380&lt;AA380+AB380-AC380,AND(U380+V380-W380=AA380+AB380-AC380,3&lt;4))),1,0)))</x:f>
        <x:v>99</x:v>
      </x:c>
      <x:c r="AE380" s="6" t="n">
        <x:f>IF('Debt strategy'!$C$16&gt;0,0,MIN(AA380+AB380-AC380,MAX(0,'Debt strategy'!$C$5-SUM(E380,K380,Q380,W380,AC380)-SUM(IF(F380&lt;AD380,C380+D380-E380,0),IF(L380&lt;AD380,I380+J380-K380,0),IF(R380&lt;AD380,O380+P380-Q380,0),IF(X380&lt;AD380,U380+V380-W380,0)))))</x:f>
        <x:v>0</x:v>
      </x:c>
      <x:c r="AF380" s="6" t="n">
        <x:f>ROUND(MAX(0,AA380+AB380-AC380-AE380),2)</x:f>
        <x:v>0</x:v>
      </x:c>
      <x:c r="AG380" s="6" t="n">
        <x:f>SUM(H380,N380,T380,Z380,AF380)</x:f>
        <x:v>0</x:v>
      </x:c>
      <x:c r="AH380" s="6" t="n">
        <x:f>SUM(D380,J380,P380,V380,AB380)+AH379</x:f>
        <x:v>1353.9499999999996</x:v>
      </x:c>
      <x:c r="AI380" s="2"/>
    </x:row>
    <x:row r="381" ht="23" customHeight="1">
      <x:c r="B381" s="2" t="n">
        <x:f>373</x:f>
        <x:v>373</x:v>
      </x:c>
      <x:c r="C381" s="6" t="n">
        <x:f>H380</x:f>
        <x:v>0</x:v>
      </x:c>
      <x:c r="D381" s="6" t="n">
        <x:f>ROUND(C381*'Debt strategy'!$D$9/12,2)</x:f>
        <x:v>0</x:v>
      </x:c>
      <x:c r="E381" s="6" t="n">
        <x:f>MIN(C381+D381,'Debt strategy'!$E$9)</x:f>
        <x:v>0</x:v>
      </x:c>
      <x:c r="F381" s="27" t="n">
        <x:f>IF(C381+D381-E381&lt;=0,99,1+SUM(IF(AND(I381+J381-K381&gt;0,OR(I381+J381-K381&lt;C381+D381-E381,AND(I381+J381-K381=C381+D381-E381,1&lt;0))),1,0),IF(AND(O381+P381-Q381&gt;0,OR(O381+P381-Q381&lt;C381+D381-E381,AND(O381+P381-Q381=C381+D381-E381,2&lt;0))),1,0),IF(AND(U381+V381-W381&gt;0,OR(U381+V381-W381&lt;C381+D381-E381,AND(U381+V381-W381=C381+D381-E381,3&lt;0))),1,0),IF(AND(AA381+AB381-AC381&gt;0,OR(AA381+AB381-AC381&lt;C381+D381-E381,AND(AA381+AB381-AC381=C381+D381-E381,4&lt;0))),1,0)))</x:f>
        <x:v>99</x:v>
      </x:c>
      <x:c r="G381" s="6" t="n">
        <x:f>IF('Debt strategy'!$C$16&gt;0,0,MIN(C381+D381-E381,MAX(0,'Debt strategy'!$C$5-SUM(E381,K381,Q381,W381,AC381)-SUM(IF(L381&lt;F381,I381+J381-K381,0),IF(R381&lt;F381,O381+P381-Q381,0),IF(X381&lt;F381,U381+V381-W381,0),IF(AD381&lt;F381,AA381+AB381-AC381,0)))))</x:f>
        <x:v>0</x:v>
      </x:c>
      <x:c r="H381" s="6" t="n">
        <x:f>ROUND(MAX(0,C381+D381-E381-G381),2)</x:f>
        <x:v>0</x:v>
      </x:c>
      <x:c r="I381" s="6" t="n">
        <x:f>N380</x:f>
        <x:v>0</x:v>
      </x:c>
      <x:c r="J381" s="6" t="n">
        <x:f>ROUND(I381*'Debt strategy'!$D$10/12,2)</x:f>
        <x:v>0</x:v>
      </x:c>
      <x:c r="K381" s="6" t="n">
        <x:f>MIN(I381+J381,'Debt strategy'!$E$10)</x:f>
        <x:v>0</x:v>
      </x:c>
      <x:c r="L381" s="27" t="n">
        <x:f>IF(I381+J381-K381&lt;=0,99,1+SUM(IF(AND(C381+D381-E381&gt;0,OR(C381+D381-E381&lt;I381+J381-K381,AND(C381+D381-E381=I381+J381-K381,0&lt;1))),1,0),IF(AND(O381+P381-Q381&gt;0,OR(O381+P381-Q381&lt;I381+J381-K381,AND(O381+P381-Q381=I381+J381-K381,2&lt;1))),1,0),IF(AND(U381+V381-W381&gt;0,OR(U381+V381-W381&lt;I381+J381-K381,AND(U381+V381-W381=I381+J381-K381,3&lt;1))),1,0),IF(AND(AA381+AB381-AC381&gt;0,OR(AA381+AB381-AC381&lt;I381+J381-K381,AND(AA381+AB381-AC381=I381+J381-K381,4&lt;1))),1,0)))</x:f>
        <x:v>99</x:v>
      </x:c>
      <x:c r="M381" s="6" t="n">
        <x:f>IF('Debt strategy'!$C$16&gt;0,0,MIN(I381+J381-K381,MAX(0,'Debt strategy'!$C$5-SUM(E381,K381,Q381,W381,AC381)-SUM(IF(F381&lt;L381,C381+D381-E381,0),IF(R381&lt;L381,O381+P381-Q381,0),IF(X381&lt;L381,U381+V381-W381,0),IF(AD381&lt;L381,AA381+AB381-AC381,0)))))</x:f>
        <x:v>0</x:v>
      </x:c>
      <x:c r="N381" s="6" t="n">
        <x:f>ROUND(MAX(0,I381+J381-K381-M381),2)</x:f>
        <x:v>0</x:v>
      </x:c>
      <x:c r="O381" s="6" t="n">
        <x:f>T380</x:f>
        <x:v>0</x:v>
      </x:c>
      <x:c r="P381" s="6" t="n">
        <x:f>ROUND(O381*'Debt strategy'!$D$11/12,2)</x:f>
        <x:v>0</x:v>
      </x:c>
      <x:c r="Q381" s="6" t="n">
        <x:f>MIN(O381+P381,'Debt strategy'!$E$11)</x:f>
        <x:v>0</x:v>
      </x:c>
      <x:c r="R381" s="27" t="n">
        <x:f>IF(O381+P381-Q381&lt;=0,99,1+SUM(IF(AND(C381+D381-E381&gt;0,OR(C381+D381-E381&lt;O381+P381-Q381,AND(C381+D381-E381=O381+P381-Q381,0&lt;2))),1,0),IF(AND(I381+J381-K381&gt;0,OR(I381+J381-K381&lt;O381+P381-Q381,AND(I381+J381-K381=O381+P381-Q381,1&lt;2))),1,0),IF(AND(U381+V381-W381&gt;0,OR(U381+V381-W381&lt;O381+P381-Q381,AND(U381+V381-W381=O381+P381-Q381,3&lt;2))),1,0),IF(AND(AA381+AB381-AC381&gt;0,OR(AA381+AB381-AC381&lt;O381+P381-Q381,AND(AA381+AB381-AC381=O381+P381-Q381,4&lt;2))),1,0)))</x:f>
        <x:v>99</x:v>
      </x:c>
      <x:c r="S381" s="6" t="n">
        <x:f>IF('Debt strategy'!$C$16&gt;0,0,MIN(O381+P381-Q381,MAX(0,'Debt strategy'!$C$5-SUM(E381,K381,Q381,W381,AC381)-SUM(IF(F381&lt;R381,C381+D381-E381,0),IF(L381&lt;R381,I381+J381-K381,0),IF(X381&lt;R381,U381+V381-W381,0),IF(AD381&lt;R381,AA381+AB381-AC381,0)))))</x:f>
        <x:v>0</x:v>
      </x:c>
      <x:c r="T381" s="6" t="n">
        <x:f>ROUND(MAX(0,O381+P381-Q381-S381),2)</x:f>
        <x:v>0</x:v>
      </x:c>
      <x:c r="U381" s="6" t="n">
        <x:f>Z380</x:f>
        <x:v>0</x:v>
      </x:c>
      <x:c r="V381" s="6" t="n">
        <x:f>ROUND(U381*'Debt strategy'!$D$12/12,2)</x:f>
        <x:v>0</x:v>
      </x:c>
      <x:c r="W381" s="6" t="n">
        <x:f>MIN(U381+V381,'Debt strategy'!$E$12)</x:f>
        <x:v>0</x:v>
      </x:c>
      <x:c r="X381" s="27" t="n">
        <x:f>IF(U381+V381-W381&lt;=0,99,1+SUM(IF(AND(C381+D381-E381&gt;0,OR(C381+D381-E381&lt;U381+V381-W381,AND(C381+D381-E381=U381+V381-W381,0&lt;3))),1,0),IF(AND(I381+J381-K381&gt;0,OR(I381+J381-K381&lt;U381+V381-W381,AND(I381+J381-K381=U381+V381-W381,1&lt;3))),1,0),IF(AND(O381+P381-Q381&gt;0,OR(O381+P381-Q381&lt;U381+V381-W381,AND(O381+P381-Q381=U381+V381-W381,2&lt;3))),1,0),IF(AND(AA381+AB381-AC381&gt;0,OR(AA381+AB381-AC381&lt;U381+V381-W381,AND(AA381+AB381-AC381=U381+V381-W381,4&lt;3))),1,0)))</x:f>
        <x:v>99</x:v>
      </x:c>
      <x:c r="Y381" s="6" t="n">
        <x:f>IF('Debt strategy'!$C$16&gt;0,0,MIN(U381+V381-W381,MAX(0,'Debt strategy'!$C$5-SUM(E381,K381,Q381,W381,AC381)-SUM(IF(F381&lt;X381,C381+D381-E381,0),IF(L381&lt;X381,I381+J381-K381,0),IF(R381&lt;X381,O381+P381-Q381,0),IF(AD381&lt;X381,AA381+AB381-AC381,0)))))</x:f>
        <x:v>0</x:v>
      </x:c>
      <x:c r="Z381" s="6" t="n">
        <x:f>ROUND(MAX(0,U381+V381-W381-Y381),2)</x:f>
        <x:v>0</x:v>
      </x:c>
      <x:c r="AA381" s="6" t="n">
        <x:f>AF380</x:f>
        <x:v>0</x:v>
      </x:c>
      <x:c r="AB381" s="6" t="n">
        <x:f>ROUND(AA381*'Debt strategy'!$D$13/12,2)</x:f>
        <x:v>0</x:v>
      </x:c>
      <x:c r="AC381" s="6" t="n">
        <x:f>MIN(AA381+AB381,'Debt strategy'!$E$13)</x:f>
        <x:v>0</x:v>
      </x:c>
      <x:c r="AD381" s="27" t="n">
        <x:f>IF(AA381+AB381-AC381&lt;=0,99,1+SUM(IF(AND(C381+D381-E381&gt;0,OR(C381+D381-E381&lt;AA381+AB381-AC381,AND(C381+D381-E381=AA381+AB381-AC381,0&lt;4))),1,0),IF(AND(I381+J381-K381&gt;0,OR(I381+J381-K381&lt;AA381+AB381-AC381,AND(I381+J381-K381=AA381+AB381-AC381,1&lt;4))),1,0),IF(AND(O381+P381-Q381&gt;0,OR(O381+P381-Q381&lt;AA381+AB381-AC381,AND(O381+P381-Q381=AA381+AB381-AC381,2&lt;4))),1,0),IF(AND(U381+V381-W381&gt;0,OR(U381+V381-W381&lt;AA381+AB381-AC381,AND(U381+V381-W381=AA381+AB381-AC381,3&lt;4))),1,0)))</x:f>
        <x:v>99</x:v>
      </x:c>
      <x:c r="AE381" s="6" t="n">
        <x:f>IF('Debt strategy'!$C$16&gt;0,0,MIN(AA381+AB381-AC381,MAX(0,'Debt strategy'!$C$5-SUM(E381,K381,Q381,W381,AC381)-SUM(IF(F381&lt;AD381,C381+D381-E381,0),IF(L381&lt;AD381,I381+J381-K381,0),IF(R381&lt;AD381,O381+P381-Q381,0),IF(X381&lt;AD381,U381+V381-W381,0)))))</x:f>
        <x:v>0</x:v>
      </x:c>
      <x:c r="AF381" s="6" t="n">
        <x:f>ROUND(MAX(0,AA381+AB381-AC381-AE381),2)</x:f>
        <x:v>0</x:v>
      </x:c>
      <x:c r="AG381" s="6" t="n">
        <x:f>SUM(H381,N381,T381,Z381,AF381)</x:f>
        <x:v>0</x:v>
      </x:c>
      <x:c r="AH381" s="6" t="n">
        <x:f>SUM(D381,J381,P381,V381,AB381)+AH380</x:f>
        <x:v>1353.9499999999996</x:v>
      </x:c>
      <x:c r="AI381" s="2"/>
    </x:row>
    <x:row r="382" ht="23" customHeight="1">
      <x:c r="B382" s="2" t="n">
        <x:f>374</x:f>
        <x:v>374</x:v>
      </x:c>
      <x:c r="C382" s="6" t="n">
        <x:f>H381</x:f>
        <x:v>0</x:v>
      </x:c>
      <x:c r="D382" s="6" t="n">
        <x:f>ROUND(C382*'Debt strategy'!$D$9/12,2)</x:f>
        <x:v>0</x:v>
      </x:c>
      <x:c r="E382" s="6" t="n">
        <x:f>MIN(C382+D382,'Debt strategy'!$E$9)</x:f>
        <x:v>0</x:v>
      </x:c>
      <x:c r="F382" s="27" t="n">
        <x:f>IF(C382+D382-E382&lt;=0,99,1+SUM(IF(AND(I382+J382-K382&gt;0,OR(I382+J382-K382&lt;C382+D382-E382,AND(I382+J382-K382=C382+D382-E382,1&lt;0))),1,0),IF(AND(O382+P382-Q382&gt;0,OR(O382+P382-Q382&lt;C382+D382-E382,AND(O382+P382-Q382=C382+D382-E382,2&lt;0))),1,0),IF(AND(U382+V382-W382&gt;0,OR(U382+V382-W382&lt;C382+D382-E382,AND(U382+V382-W382=C382+D382-E382,3&lt;0))),1,0),IF(AND(AA382+AB382-AC382&gt;0,OR(AA382+AB382-AC382&lt;C382+D382-E382,AND(AA382+AB382-AC382=C382+D382-E382,4&lt;0))),1,0)))</x:f>
        <x:v>99</x:v>
      </x:c>
      <x:c r="G382" s="6" t="n">
        <x:f>IF('Debt strategy'!$C$16&gt;0,0,MIN(C382+D382-E382,MAX(0,'Debt strategy'!$C$5-SUM(E382,K382,Q382,W382,AC382)-SUM(IF(L382&lt;F382,I382+J382-K382,0),IF(R382&lt;F382,O382+P382-Q382,0),IF(X382&lt;F382,U382+V382-W382,0),IF(AD382&lt;F382,AA382+AB382-AC382,0)))))</x:f>
        <x:v>0</x:v>
      </x:c>
      <x:c r="H382" s="6" t="n">
        <x:f>ROUND(MAX(0,C382+D382-E382-G382),2)</x:f>
        <x:v>0</x:v>
      </x:c>
      <x:c r="I382" s="6" t="n">
        <x:f>N381</x:f>
        <x:v>0</x:v>
      </x:c>
      <x:c r="J382" s="6" t="n">
        <x:f>ROUND(I382*'Debt strategy'!$D$10/12,2)</x:f>
        <x:v>0</x:v>
      </x:c>
      <x:c r="K382" s="6" t="n">
        <x:f>MIN(I382+J382,'Debt strategy'!$E$10)</x:f>
        <x:v>0</x:v>
      </x:c>
      <x:c r="L382" s="27" t="n">
        <x:f>IF(I382+J382-K382&lt;=0,99,1+SUM(IF(AND(C382+D382-E382&gt;0,OR(C382+D382-E382&lt;I382+J382-K382,AND(C382+D382-E382=I382+J382-K382,0&lt;1))),1,0),IF(AND(O382+P382-Q382&gt;0,OR(O382+P382-Q382&lt;I382+J382-K382,AND(O382+P382-Q382=I382+J382-K382,2&lt;1))),1,0),IF(AND(U382+V382-W382&gt;0,OR(U382+V382-W382&lt;I382+J382-K382,AND(U382+V382-W382=I382+J382-K382,3&lt;1))),1,0),IF(AND(AA382+AB382-AC382&gt;0,OR(AA382+AB382-AC382&lt;I382+J382-K382,AND(AA382+AB382-AC382=I382+J382-K382,4&lt;1))),1,0)))</x:f>
        <x:v>99</x:v>
      </x:c>
      <x:c r="M382" s="6" t="n">
        <x:f>IF('Debt strategy'!$C$16&gt;0,0,MIN(I382+J382-K382,MAX(0,'Debt strategy'!$C$5-SUM(E382,K382,Q382,W382,AC382)-SUM(IF(F382&lt;L382,C382+D382-E382,0),IF(R382&lt;L382,O382+P382-Q382,0),IF(X382&lt;L382,U382+V382-W382,0),IF(AD382&lt;L382,AA382+AB382-AC382,0)))))</x:f>
        <x:v>0</x:v>
      </x:c>
      <x:c r="N382" s="6" t="n">
        <x:f>ROUND(MAX(0,I382+J382-K382-M382),2)</x:f>
        <x:v>0</x:v>
      </x:c>
      <x:c r="O382" s="6" t="n">
        <x:f>T381</x:f>
        <x:v>0</x:v>
      </x:c>
      <x:c r="P382" s="6" t="n">
        <x:f>ROUND(O382*'Debt strategy'!$D$11/12,2)</x:f>
        <x:v>0</x:v>
      </x:c>
      <x:c r="Q382" s="6" t="n">
        <x:f>MIN(O382+P382,'Debt strategy'!$E$11)</x:f>
        <x:v>0</x:v>
      </x:c>
      <x:c r="R382" s="27" t="n">
        <x:f>IF(O382+P382-Q382&lt;=0,99,1+SUM(IF(AND(C382+D382-E382&gt;0,OR(C382+D382-E382&lt;O382+P382-Q382,AND(C382+D382-E382=O382+P382-Q382,0&lt;2))),1,0),IF(AND(I382+J382-K382&gt;0,OR(I382+J382-K382&lt;O382+P382-Q382,AND(I382+J382-K382=O382+P382-Q382,1&lt;2))),1,0),IF(AND(U382+V382-W382&gt;0,OR(U382+V382-W382&lt;O382+P382-Q382,AND(U382+V382-W382=O382+P382-Q382,3&lt;2))),1,0),IF(AND(AA382+AB382-AC382&gt;0,OR(AA382+AB382-AC382&lt;O382+P382-Q382,AND(AA382+AB382-AC382=O382+P382-Q382,4&lt;2))),1,0)))</x:f>
        <x:v>99</x:v>
      </x:c>
      <x:c r="S382" s="6" t="n">
        <x:f>IF('Debt strategy'!$C$16&gt;0,0,MIN(O382+P382-Q382,MAX(0,'Debt strategy'!$C$5-SUM(E382,K382,Q382,W382,AC382)-SUM(IF(F382&lt;R382,C382+D382-E382,0),IF(L382&lt;R382,I382+J382-K382,0),IF(X382&lt;R382,U382+V382-W382,0),IF(AD382&lt;R382,AA382+AB382-AC382,0)))))</x:f>
        <x:v>0</x:v>
      </x:c>
      <x:c r="T382" s="6" t="n">
        <x:f>ROUND(MAX(0,O382+P382-Q382-S382),2)</x:f>
        <x:v>0</x:v>
      </x:c>
      <x:c r="U382" s="6" t="n">
        <x:f>Z381</x:f>
        <x:v>0</x:v>
      </x:c>
      <x:c r="V382" s="6" t="n">
        <x:f>ROUND(U382*'Debt strategy'!$D$12/12,2)</x:f>
        <x:v>0</x:v>
      </x:c>
      <x:c r="W382" s="6" t="n">
        <x:f>MIN(U382+V382,'Debt strategy'!$E$12)</x:f>
        <x:v>0</x:v>
      </x:c>
      <x:c r="X382" s="27" t="n">
        <x:f>IF(U382+V382-W382&lt;=0,99,1+SUM(IF(AND(C382+D382-E382&gt;0,OR(C382+D382-E382&lt;U382+V382-W382,AND(C382+D382-E382=U382+V382-W382,0&lt;3))),1,0),IF(AND(I382+J382-K382&gt;0,OR(I382+J382-K382&lt;U382+V382-W382,AND(I382+J382-K382=U382+V382-W382,1&lt;3))),1,0),IF(AND(O382+P382-Q382&gt;0,OR(O382+P382-Q382&lt;U382+V382-W382,AND(O382+P382-Q382=U382+V382-W382,2&lt;3))),1,0),IF(AND(AA382+AB382-AC382&gt;0,OR(AA382+AB382-AC382&lt;U382+V382-W382,AND(AA382+AB382-AC382=U382+V382-W382,4&lt;3))),1,0)))</x:f>
        <x:v>99</x:v>
      </x:c>
      <x:c r="Y382" s="6" t="n">
        <x:f>IF('Debt strategy'!$C$16&gt;0,0,MIN(U382+V382-W382,MAX(0,'Debt strategy'!$C$5-SUM(E382,K382,Q382,W382,AC382)-SUM(IF(F382&lt;X382,C382+D382-E382,0),IF(L382&lt;X382,I382+J382-K382,0),IF(R382&lt;X382,O382+P382-Q382,0),IF(AD382&lt;X382,AA382+AB382-AC382,0)))))</x:f>
        <x:v>0</x:v>
      </x:c>
      <x:c r="Z382" s="6" t="n">
        <x:f>ROUND(MAX(0,U382+V382-W382-Y382),2)</x:f>
        <x:v>0</x:v>
      </x:c>
      <x:c r="AA382" s="6" t="n">
        <x:f>AF381</x:f>
        <x:v>0</x:v>
      </x:c>
      <x:c r="AB382" s="6" t="n">
        <x:f>ROUND(AA382*'Debt strategy'!$D$13/12,2)</x:f>
        <x:v>0</x:v>
      </x:c>
      <x:c r="AC382" s="6" t="n">
        <x:f>MIN(AA382+AB382,'Debt strategy'!$E$13)</x:f>
        <x:v>0</x:v>
      </x:c>
      <x:c r="AD382" s="27" t="n">
        <x:f>IF(AA382+AB382-AC382&lt;=0,99,1+SUM(IF(AND(C382+D382-E382&gt;0,OR(C382+D382-E382&lt;AA382+AB382-AC382,AND(C382+D382-E382=AA382+AB382-AC382,0&lt;4))),1,0),IF(AND(I382+J382-K382&gt;0,OR(I382+J382-K382&lt;AA382+AB382-AC382,AND(I382+J382-K382=AA382+AB382-AC382,1&lt;4))),1,0),IF(AND(O382+P382-Q382&gt;0,OR(O382+P382-Q382&lt;AA382+AB382-AC382,AND(O382+P382-Q382=AA382+AB382-AC382,2&lt;4))),1,0),IF(AND(U382+V382-W382&gt;0,OR(U382+V382-W382&lt;AA382+AB382-AC382,AND(U382+V382-W382=AA382+AB382-AC382,3&lt;4))),1,0)))</x:f>
        <x:v>99</x:v>
      </x:c>
      <x:c r="AE382" s="6" t="n">
        <x:f>IF('Debt strategy'!$C$16&gt;0,0,MIN(AA382+AB382-AC382,MAX(0,'Debt strategy'!$C$5-SUM(E382,K382,Q382,W382,AC382)-SUM(IF(F382&lt;AD382,C382+D382-E382,0),IF(L382&lt;AD382,I382+J382-K382,0),IF(R382&lt;AD382,O382+P382-Q382,0),IF(X382&lt;AD382,U382+V382-W382,0)))))</x:f>
        <x:v>0</x:v>
      </x:c>
      <x:c r="AF382" s="6" t="n">
        <x:f>ROUND(MAX(0,AA382+AB382-AC382-AE382),2)</x:f>
        <x:v>0</x:v>
      </x:c>
      <x:c r="AG382" s="6" t="n">
        <x:f>SUM(H382,N382,T382,Z382,AF382)</x:f>
        <x:v>0</x:v>
      </x:c>
      <x:c r="AH382" s="6" t="n">
        <x:f>SUM(D382,J382,P382,V382,AB382)+AH381</x:f>
        <x:v>1353.9499999999996</x:v>
      </x:c>
      <x:c r="AI382" s="2"/>
    </x:row>
    <x:row r="383" ht="23" customHeight="1">
      <x:c r="B383" s="2" t="n">
        <x:f>375</x:f>
        <x:v>375</x:v>
      </x:c>
      <x:c r="C383" s="6" t="n">
        <x:f>H382</x:f>
        <x:v>0</x:v>
      </x:c>
      <x:c r="D383" s="6" t="n">
        <x:f>ROUND(C383*'Debt strategy'!$D$9/12,2)</x:f>
        <x:v>0</x:v>
      </x:c>
      <x:c r="E383" s="6" t="n">
        <x:f>MIN(C383+D383,'Debt strategy'!$E$9)</x:f>
        <x:v>0</x:v>
      </x:c>
      <x:c r="F383" s="27" t="n">
        <x:f>IF(C383+D383-E383&lt;=0,99,1+SUM(IF(AND(I383+J383-K383&gt;0,OR(I383+J383-K383&lt;C383+D383-E383,AND(I383+J383-K383=C383+D383-E383,1&lt;0))),1,0),IF(AND(O383+P383-Q383&gt;0,OR(O383+P383-Q383&lt;C383+D383-E383,AND(O383+P383-Q383=C383+D383-E383,2&lt;0))),1,0),IF(AND(U383+V383-W383&gt;0,OR(U383+V383-W383&lt;C383+D383-E383,AND(U383+V383-W383=C383+D383-E383,3&lt;0))),1,0),IF(AND(AA383+AB383-AC383&gt;0,OR(AA383+AB383-AC383&lt;C383+D383-E383,AND(AA383+AB383-AC383=C383+D383-E383,4&lt;0))),1,0)))</x:f>
        <x:v>99</x:v>
      </x:c>
      <x:c r="G383" s="6" t="n">
        <x:f>IF('Debt strategy'!$C$16&gt;0,0,MIN(C383+D383-E383,MAX(0,'Debt strategy'!$C$5-SUM(E383,K383,Q383,W383,AC383)-SUM(IF(L383&lt;F383,I383+J383-K383,0),IF(R383&lt;F383,O383+P383-Q383,0),IF(X383&lt;F383,U383+V383-W383,0),IF(AD383&lt;F383,AA383+AB383-AC383,0)))))</x:f>
        <x:v>0</x:v>
      </x:c>
      <x:c r="H383" s="6" t="n">
        <x:f>ROUND(MAX(0,C383+D383-E383-G383),2)</x:f>
        <x:v>0</x:v>
      </x:c>
      <x:c r="I383" s="6" t="n">
        <x:f>N382</x:f>
        <x:v>0</x:v>
      </x:c>
      <x:c r="J383" s="6" t="n">
        <x:f>ROUND(I383*'Debt strategy'!$D$10/12,2)</x:f>
        <x:v>0</x:v>
      </x:c>
      <x:c r="K383" s="6" t="n">
        <x:f>MIN(I383+J383,'Debt strategy'!$E$10)</x:f>
        <x:v>0</x:v>
      </x:c>
      <x:c r="L383" s="27" t="n">
        <x:f>IF(I383+J383-K383&lt;=0,99,1+SUM(IF(AND(C383+D383-E383&gt;0,OR(C383+D383-E383&lt;I383+J383-K383,AND(C383+D383-E383=I383+J383-K383,0&lt;1))),1,0),IF(AND(O383+P383-Q383&gt;0,OR(O383+P383-Q383&lt;I383+J383-K383,AND(O383+P383-Q383=I383+J383-K383,2&lt;1))),1,0),IF(AND(U383+V383-W383&gt;0,OR(U383+V383-W383&lt;I383+J383-K383,AND(U383+V383-W383=I383+J383-K383,3&lt;1))),1,0),IF(AND(AA383+AB383-AC383&gt;0,OR(AA383+AB383-AC383&lt;I383+J383-K383,AND(AA383+AB383-AC383=I383+J383-K383,4&lt;1))),1,0)))</x:f>
        <x:v>99</x:v>
      </x:c>
      <x:c r="M383" s="6" t="n">
        <x:f>IF('Debt strategy'!$C$16&gt;0,0,MIN(I383+J383-K383,MAX(0,'Debt strategy'!$C$5-SUM(E383,K383,Q383,W383,AC383)-SUM(IF(F383&lt;L383,C383+D383-E383,0),IF(R383&lt;L383,O383+P383-Q383,0),IF(X383&lt;L383,U383+V383-W383,0),IF(AD383&lt;L383,AA383+AB383-AC383,0)))))</x:f>
        <x:v>0</x:v>
      </x:c>
      <x:c r="N383" s="6" t="n">
        <x:f>ROUND(MAX(0,I383+J383-K383-M383),2)</x:f>
        <x:v>0</x:v>
      </x:c>
      <x:c r="O383" s="6" t="n">
        <x:f>T382</x:f>
        <x:v>0</x:v>
      </x:c>
      <x:c r="P383" s="6" t="n">
        <x:f>ROUND(O383*'Debt strategy'!$D$11/12,2)</x:f>
        <x:v>0</x:v>
      </x:c>
      <x:c r="Q383" s="6" t="n">
        <x:f>MIN(O383+P383,'Debt strategy'!$E$11)</x:f>
        <x:v>0</x:v>
      </x:c>
      <x:c r="R383" s="27" t="n">
        <x:f>IF(O383+P383-Q383&lt;=0,99,1+SUM(IF(AND(C383+D383-E383&gt;0,OR(C383+D383-E383&lt;O383+P383-Q383,AND(C383+D383-E383=O383+P383-Q383,0&lt;2))),1,0),IF(AND(I383+J383-K383&gt;0,OR(I383+J383-K383&lt;O383+P383-Q383,AND(I383+J383-K383=O383+P383-Q383,1&lt;2))),1,0),IF(AND(U383+V383-W383&gt;0,OR(U383+V383-W383&lt;O383+P383-Q383,AND(U383+V383-W383=O383+P383-Q383,3&lt;2))),1,0),IF(AND(AA383+AB383-AC383&gt;0,OR(AA383+AB383-AC383&lt;O383+P383-Q383,AND(AA383+AB383-AC383=O383+P383-Q383,4&lt;2))),1,0)))</x:f>
        <x:v>99</x:v>
      </x:c>
      <x:c r="S383" s="6" t="n">
        <x:f>IF('Debt strategy'!$C$16&gt;0,0,MIN(O383+P383-Q383,MAX(0,'Debt strategy'!$C$5-SUM(E383,K383,Q383,W383,AC383)-SUM(IF(F383&lt;R383,C383+D383-E383,0),IF(L383&lt;R383,I383+J383-K383,0),IF(X383&lt;R383,U383+V383-W383,0),IF(AD383&lt;R383,AA383+AB383-AC383,0)))))</x:f>
        <x:v>0</x:v>
      </x:c>
      <x:c r="T383" s="6" t="n">
        <x:f>ROUND(MAX(0,O383+P383-Q383-S383),2)</x:f>
        <x:v>0</x:v>
      </x:c>
      <x:c r="U383" s="6" t="n">
        <x:f>Z382</x:f>
        <x:v>0</x:v>
      </x:c>
      <x:c r="V383" s="6" t="n">
        <x:f>ROUND(U383*'Debt strategy'!$D$12/12,2)</x:f>
        <x:v>0</x:v>
      </x:c>
      <x:c r="W383" s="6" t="n">
        <x:f>MIN(U383+V383,'Debt strategy'!$E$12)</x:f>
        <x:v>0</x:v>
      </x:c>
      <x:c r="X383" s="27" t="n">
        <x:f>IF(U383+V383-W383&lt;=0,99,1+SUM(IF(AND(C383+D383-E383&gt;0,OR(C383+D383-E383&lt;U383+V383-W383,AND(C383+D383-E383=U383+V383-W383,0&lt;3))),1,0),IF(AND(I383+J383-K383&gt;0,OR(I383+J383-K383&lt;U383+V383-W383,AND(I383+J383-K383=U383+V383-W383,1&lt;3))),1,0),IF(AND(O383+P383-Q383&gt;0,OR(O383+P383-Q383&lt;U383+V383-W383,AND(O383+P383-Q383=U383+V383-W383,2&lt;3))),1,0),IF(AND(AA383+AB383-AC383&gt;0,OR(AA383+AB383-AC383&lt;U383+V383-W383,AND(AA383+AB383-AC383=U383+V383-W383,4&lt;3))),1,0)))</x:f>
        <x:v>99</x:v>
      </x:c>
      <x:c r="Y383" s="6" t="n">
        <x:f>IF('Debt strategy'!$C$16&gt;0,0,MIN(U383+V383-W383,MAX(0,'Debt strategy'!$C$5-SUM(E383,K383,Q383,W383,AC383)-SUM(IF(F383&lt;X383,C383+D383-E383,0),IF(L383&lt;X383,I383+J383-K383,0),IF(R383&lt;X383,O383+P383-Q383,0),IF(AD383&lt;X383,AA383+AB383-AC383,0)))))</x:f>
        <x:v>0</x:v>
      </x:c>
      <x:c r="Z383" s="6" t="n">
        <x:f>ROUND(MAX(0,U383+V383-W383-Y383),2)</x:f>
        <x:v>0</x:v>
      </x:c>
      <x:c r="AA383" s="6" t="n">
        <x:f>AF382</x:f>
        <x:v>0</x:v>
      </x:c>
      <x:c r="AB383" s="6" t="n">
        <x:f>ROUND(AA383*'Debt strategy'!$D$13/12,2)</x:f>
        <x:v>0</x:v>
      </x:c>
      <x:c r="AC383" s="6" t="n">
        <x:f>MIN(AA383+AB383,'Debt strategy'!$E$13)</x:f>
        <x:v>0</x:v>
      </x:c>
      <x:c r="AD383" s="27" t="n">
        <x:f>IF(AA383+AB383-AC383&lt;=0,99,1+SUM(IF(AND(C383+D383-E383&gt;0,OR(C383+D383-E383&lt;AA383+AB383-AC383,AND(C383+D383-E383=AA383+AB383-AC383,0&lt;4))),1,0),IF(AND(I383+J383-K383&gt;0,OR(I383+J383-K383&lt;AA383+AB383-AC383,AND(I383+J383-K383=AA383+AB383-AC383,1&lt;4))),1,0),IF(AND(O383+P383-Q383&gt;0,OR(O383+P383-Q383&lt;AA383+AB383-AC383,AND(O383+P383-Q383=AA383+AB383-AC383,2&lt;4))),1,0),IF(AND(U383+V383-W383&gt;0,OR(U383+V383-W383&lt;AA383+AB383-AC383,AND(U383+V383-W383=AA383+AB383-AC383,3&lt;4))),1,0)))</x:f>
        <x:v>99</x:v>
      </x:c>
      <x:c r="AE383" s="6" t="n">
        <x:f>IF('Debt strategy'!$C$16&gt;0,0,MIN(AA383+AB383-AC383,MAX(0,'Debt strategy'!$C$5-SUM(E383,K383,Q383,W383,AC383)-SUM(IF(F383&lt;AD383,C383+D383-E383,0),IF(L383&lt;AD383,I383+J383-K383,0),IF(R383&lt;AD383,O383+P383-Q383,0),IF(X383&lt;AD383,U383+V383-W383,0)))))</x:f>
        <x:v>0</x:v>
      </x:c>
      <x:c r="AF383" s="6" t="n">
        <x:f>ROUND(MAX(0,AA383+AB383-AC383-AE383),2)</x:f>
        <x:v>0</x:v>
      </x:c>
      <x:c r="AG383" s="6" t="n">
        <x:f>SUM(H383,N383,T383,Z383,AF383)</x:f>
        <x:v>0</x:v>
      </x:c>
      <x:c r="AH383" s="6" t="n">
        <x:f>SUM(D383,J383,P383,V383,AB383)+AH382</x:f>
        <x:v>1353.9499999999996</x:v>
      </x:c>
      <x:c r="AI383" s="2"/>
    </x:row>
    <x:row r="384" ht="23" customHeight="1">
      <x:c r="B384" s="2" t="n">
        <x:f>376</x:f>
        <x:v>376</x:v>
      </x:c>
      <x:c r="C384" s="6" t="n">
        <x:f>H383</x:f>
        <x:v>0</x:v>
      </x:c>
      <x:c r="D384" s="6" t="n">
        <x:f>ROUND(C384*'Debt strategy'!$D$9/12,2)</x:f>
        <x:v>0</x:v>
      </x:c>
      <x:c r="E384" s="6" t="n">
        <x:f>MIN(C384+D384,'Debt strategy'!$E$9)</x:f>
        <x:v>0</x:v>
      </x:c>
      <x:c r="F384" s="27" t="n">
        <x:f>IF(C384+D384-E384&lt;=0,99,1+SUM(IF(AND(I384+J384-K384&gt;0,OR(I384+J384-K384&lt;C384+D384-E384,AND(I384+J384-K384=C384+D384-E384,1&lt;0))),1,0),IF(AND(O384+P384-Q384&gt;0,OR(O384+P384-Q384&lt;C384+D384-E384,AND(O384+P384-Q384=C384+D384-E384,2&lt;0))),1,0),IF(AND(U384+V384-W384&gt;0,OR(U384+V384-W384&lt;C384+D384-E384,AND(U384+V384-W384=C384+D384-E384,3&lt;0))),1,0),IF(AND(AA384+AB384-AC384&gt;0,OR(AA384+AB384-AC384&lt;C384+D384-E384,AND(AA384+AB384-AC384=C384+D384-E384,4&lt;0))),1,0)))</x:f>
        <x:v>99</x:v>
      </x:c>
      <x:c r="G384" s="6" t="n">
        <x:f>IF('Debt strategy'!$C$16&gt;0,0,MIN(C384+D384-E384,MAX(0,'Debt strategy'!$C$5-SUM(E384,K384,Q384,W384,AC384)-SUM(IF(L384&lt;F384,I384+J384-K384,0),IF(R384&lt;F384,O384+P384-Q384,0),IF(X384&lt;F384,U384+V384-W384,0),IF(AD384&lt;F384,AA384+AB384-AC384,0)))))</x:f>
        <x:v>0</x:v>
      </x:c>
      <x:c r="H384" s="6" t="n">
        <x:f>ROUND(MAX(0,C384+D384-E384-G384),2)</x:f>
        <x:v>0</x:v>
      </x:c>
      <x:c r="I384" s="6" t="n">
        <x:f>N383</x:f>
        <x:v>0</x:v>
      </x:c>
      <x:c r="J384" s="6" t="n">
        <x:f>ROUND(I384*'Debt strategy'!$D$10/12,2)</x:f>
        <x:v>0</x:v>
      </x:c>
      <x:c r="K384" s="6" t="n">
        <x:f>MIN(I384+J384,'Debt strategy'!$E$10)</x:f>
        <x:v>0</x:v>
      </x:c>
      <x:c r="L384" s="27" t="n">
        <x:f>IF(I384+J384-K384&lt;=0,99,1+SUM(IF(AND(C384+D384-E384&gt;0,OR(C384+D384-E384&lt;I384+J384-K384,AND(C384+D384-E384=I384+J384-K384,0&lt;1))),1,0),IF(AND(O384+P384-Q384&gt;0,OR(O384+P384-Q384&lt;I384+J384-K384,AND(O384+P384-Q384=I384+J384-K384,2&lt;1))),1,0),IF(AND(U384+V384-W384&gt;0,OR(U384+V384-W384&lt;I384+J384-K384,AND(U384+V384-W384=I384+J384-K384,3&lt;1))),1,0),IF(AND(AA384+AB384-AC384&gt;0,OR(AA384+AB384-AC384&lt;I384+J384-K384,AND(AA384+AB384-AC384=I384+J384-K384,4&lt;1))),1,0)))</x:f>
        <x:v>99</x:v>
      </x:c>
      <x:c r="M384" s="6" t="n">
        <x:f>IF('Debt strategy'!$C$16&gt;0,0,MIN(I384+J384-K384,MAX(0,'Debt strategy'!$C$5-SUM(E384,K384,Q384,W384,AC384)-SUM(IF(F384&lt;L384,C384+D384-E384,0),IF(R384&lt;L384,O384+P384-Q384,0),IF(X384&lt;L384,U384+V384-W384,0),IF(AD384&lt;L384,AA384+AB384-AC384,0)))))</x:f>
        <x:v>0</x:v>
      </x:c>
      <x:c r="N384" s="6" t="n">
        <x:f>ROUND(MAX(0,I384+J384-K384-M384),2)</x:f>
        <x:v>0</x:v>
      </x:c>
      <x:c r="O384" s="6" t="n">
        <x:f>T383</x:f>
        <x:v>0</x:v>
      </x:c>
      <x:c r="P384" s="6" t="n">
        <x:f>ROUND(O384*'Debt strategy'!$D$11/12,2)</x:f>
        <x:v>0</x:v>
      </x:c>
      <x:c r="Q384" s="6" t="n">
        <x:f>MIN(O384+P384,'Debt strategy'!$E$11)</x:f>
        <x:v>0</x:v>
      </x:c>
      <x:c r="R384" s="27" t="n">
        <x:f>IF(O384+P384-Q384&lt;=0,99,1+SUM(IF(AND(C384+D384-E384&gt;0,OR(C384+D384-E384&lt;O384+P384-Q384,AND(C384+D384-E384=O384+P384-Q384,0&lt;2))),1,0),IF(AND(I384+J384-K384&gt;0,OR(I384+J384-K384&lt;O384+P384-Q384,AND(I384+J384-K384=O384+P384-Q384,1&lt;2))),1,0),IF(AND(U384+V384-W384&gt;0,OR(U384+V384-W384&lt;O384+P384-Q384,AND(U384+V384-W384=O384+P384-Q384,3&lt;2))),1,0),IF(AND(AA384+AB384-AC384&gt;0,OR(AA384+AB384-AC384&lt;O384+P384-Q384,AND(AA384+AB384-AC384=O384+P384-Q384,4&lt;2))),1,0)))</x:f>
        <x:v>99</x:v>
      </x:c>
      <x:c r="S384" s="6" t="n">
        <x:f>IF('Debt strategy'!$C$16&gt;0,0,MIN(O384+P384-Q384,MAX(0,'Debt strategy'!$C$5-SUM(E384,K384,Q384,W384,AC384)-SUM(IF(F384&lt;R384,C384+D384-E384,0),IF(L384&lt;R384,I384+J384-K384,0),IF(X384&lt;R384,U384+V384-W384,0),IF(AD384&lt;R384,AA384+AB384-AC384,0)))))</x:f>
        <x:v>0</x:v>
      </x:c>
      <x:c r="T384" s="6" t="n">
        <x:f>ROUND(MAX(0,O384+P384-Q384-S384),2)</x:f>
        <x:v>0</x:v>
      </x:c>
      <x:c r="U384" s="6" t="n">
        <x:f>Z383</x:f>
        <x:v>0</x:v>
      </x:c>
      <x:c r="V384" s="6" t="n">
        <x:f>ROUND(U384*'Debt strategy'!$D$12/12,2)</x:f>
        <x:v>0</x:v>
      </x:c>
      <x:c r="W384" s="6" t="n">
        <x:f>MIN(U384+V384,'Debt strategy'!$E$12)</x:f>
        <x:v>0</x:v>
      </x:c>
      <x:c r="X384" s="27" t="n">
        <x:f>IF(U384+V384-W384&lt;=0,99,1+SUM(IF(AND(C384+D384-E384&gt;0,OR(C384+D384-E384&lt;U384+V384-W384,AND(C384+D384-E384=U384+V384-W384,0&lt;3))),1,0),IF(AND(I384+J384-K384&gt;0,OR(I384+J384-K384&lt;U384+V384-W384,AND(I384+J384-K384=U384+V384-W384,1&lt;3))),1,0),IF(AND(O384+P384-Q384&gt;0,OR(O384+P384-Q384&lt;U384+V384-W384,AND(O384+P384-Q384=U384+V384-W384,2&lt;3))),1,0),IF(AND(AA384+AB384-AC384&gt;0,OR(AA384+AB384-AC384&lt;U384+V384-W384,AND(AA384+AB384-AC384=U384+V384-W384,4&lt;3))),1,0)))</x:f>
        <x:v>99</x:v>
      </x:c>
      <x:c r="Y384" s="6" t="n">
        <x:f>IF('Debt strategy'!$C$16&gt;0,0,MIN(U384+V384-W384,MAX(0,'Debt strategy'!$C$5-SUM(E384,K384,Q384,W384,AC384)-SUM(IF(F384&lt;X384,C384+D384-E384,0),IF(L384&lt;X384,I384+J384-K384,0),IF(R384&lt;X384,O384+P384-Q384,0),IF(AD384&lt;X384,AA384+AB384-AC384,0)))))</x:f>
        <x:v>0</x:v>
      </x:c>
      <x:c r="Z384" s="6" t="n">
        <x:f>ROUND(MAX(0,U384+V384-W384-Y384),2)</x:f>
        <x:v>0</x:v>
      </x:c>
      <x:c r="AA384" s="6" t="n">
        <x:f>AF383</x:f>
        <x:v>0</x:v>
      </x:c>
      <x:c r="AB384" s="6" t="n">
        <x:f>ROUND(AA384*'Debt strategy'!$D$13/12,2)</x:f>
        <x:v>0</x:v>
      </x:c>
      <x:c r="AC384" s="6" t="n">
        <x:f>MIN(AA384+AB384,'Debt strategy'!$E$13)</x:f>
        <x:v>0</x:v>
      </x:c>
      <x:c r="AD384" s="27" t="n">
        <x:f>IF(AA384+AB384-AC384&lt;=0,99,1+SUM(IF(AND(C384+D384-E384&gt;0,OR(C384+D384-E384&lt;AA384+AB384-AC384,AND(C384+D384-E384=AA384+AB384-AC384,0&lt;4))),1,0),IF(AND(I384+J384-K384&gt;0,OR(I384+J384-K384&lt;AA384+AB384-AC384,AND(I384+J384-K384=AA384+AB384-AC384,1&lt;4))),1,0),IF(AND(O384+P384-Q384&gt;0,OR(O384+P384-Q384&lt;AA384+AB384-AC384,AND(O384+P384-Q384=AA384+AB384-AC384,2&lt;4))),1,0),IF(AND(U384+V384-W384&gt;0,OR(U384+V384-W384&lt;AA384+AB384-AC384,AND(U384+V384-W384=AA384+AB384-AC384,3&lt;4))),1,0)))</x:f>
        <x:v>99</x:v>
      </x:c>
      <x:c r="AE384" s="6" t="n">
        <x:f>IF('Debt strategy'!$C$16&gt;0,0,MIN(AA384+AB384-AC384,MAX(0,'Debt strategy'!$C$5-SUM(E384,K384,Q384,W384,AC384)-SUM(IF(F384&lt;AD384,C384+D384-E384,0),IF(L384&lt;AD384,I384+J384-K384,0),IF(R384&lt;AD384,O384+P384-Q384,0),IF(X384&lt;AD384,U384+V384-W384,0)))))</x:f>
        <x:v>0</x:v>
      </x:c>
      <x:c r="AF384" s="6" t="n">
        <x:f>ROUND(MAX(0,AA384+AB384-AC384-AE384),2)</x:f>
        <x:v>0</x:v>
      </x:c>
      <x:c r="AG384" s="6" t="n">
        <x:f>SUM(H384,N384,T384,Z384,AF384)</x:f>
        <x:v>0</x:v>
      </x:c>
      <x:c r="AH384" s="6" t="n">
        <x:f>SUM(D384,J384,P384,V384,AB384)+AH383</x:f>
        <x:v>1353.9499999999996</x:v>
      </x:c>
      <x:c r="AI384" s="2"/>
    </x:row>
    <x:row r="385" ht="23" customHeight="1">
      <x:c r="B385" s="2" t="n">
        <x:f>377</x:f>
        <x:v>377</x:v>
      </x:c>
      <x:c r="C385" s="6" t="n">
        <x:f>H384</x:f>
        <x:v>0</x:v>
      </x:c>
      <x:c r="D385" s="6" t="n">
        <x:f>ROUND(C385*'Debt strategy'!$D$9/12,2)</x:f>
        <x:v>0</x:v>
      </x:c>
      <x:c r="E385" s="6" t="n">
        <x:f>MIN(C385+D385,'Debt strategy'!$E$9)</x:f>
        <x:v>0</x:v>
      </x:c>
      <x:c r="F385" s="27" t="n">
        <x:f>IF(C385+D385-E385&lt;=0,99,1+SUM(IF(AND(I385+J385-K385&gt;0,OR(I385+J385-K385&lt;C385+D385-E385,AND(I385+J385-K385=C385+D385-E385,1&lt;0))),1,0),IF(AND(O385+P385-Q385&gt;0,OR(O385+P385-Q385&lt;C385+D385-E385,AND(O385+P385-Q385=C385+D385-E385,2&lt;0))),1,0),IF(AND(U385+V385-W385&gt;0,OR(U385+V385-W385&lt;C385+D385-E385,AND(U385+V385-W385=C385+D385-E385,3&lt;0))),1,0),IF(AND(AA385+AB385-AC385&gt;0,OR(AA385+AB385-AC385&lt;C385+D385-E385,AND(AA385+AB385-AC385=C385+D385-E385,4&lt;0))),1,0)))</x:f>
        <x:v>99</x:v>
      </x:c>
      <x:c r="G385" s="6" t="n">
        <x:f>IF('Debt strategy'!$C$16&gt;0,0,MIN(C385+D385-E385,MAX(0,'Debt strategy'!$C$5-SUM(E385,K385,Q385,W385,AC385)-SUM(IF(L385&lt;F385,I385+J385-K385,0),IF(R385&lt;F385,O385+P385-Q385,0),IF(X385&lt;F385,U385+V385-W385,0),IF(AD385&lt;F385,AA385+AB385-AC385,0)))))</x:f>
        <x:v>0</x:v>
      </x:c>
      <x:c r="H385" s="6" t="n">
        <x:f>ROUND(MAX(0,C385+D385-E385-G385),2)</x:f>
        <x:v>0</x:v>
      </x:c>
      <x:c r="I385" s="6" t="n">
        <x:f>N384</x:f>
        <x:v>0</x:v>
      </x:c>
      <x:c r="J385" s="6" t="n">
        <x:f>ROUND(I385*'Debt strategy'!$D$10/12,2)</x:f>
        <x:v>0</x:v>
      </x:c>
      <x:c r="K385" s="6" t="n">
        <x:f>MIN(I385+J385,'Debt strategy'!$E$10)</x:f>
        <x:v>0</x:v>
      </x:c>
      <x:c r="L385" s="27" t="n">
        <x:f>IF(I385+J385-K385&lt;=0,99,1+SUM(IF(AND(C385+D385-E385&gt;0,OR(C385+D385-E385&lt;I385+J385-K385,AND(C385+D385-E385=I385+J385-K385,0&lt;1))),1,0),IF(AND(O385+P385-Q385&gt;0,OR(O385+P385-Q385&lt;I385+J385-K385,AND(O385+P385-Q385=I385+J385-K385,2&lt;1))),1,0),IF(AND(U385+V385-W385&gt;0,OR(U385+V385-W385&lt;I385+J385-K385,AND(U385+V385-W385=I385+J385-K385,3&lt;1))),1,0),IF(AND(AA385+AB385-AC385&gt;0,OR(AA385+AB385-AC385&lt;I385+J385-K385,AND(AA385+AB385-AC385=I385+J385-K385,4&lt;1))),1,0)))</x:f>
        <x:v>99</x:v>
      </x:c>
      <x:c r="M385" s="6" t="n">
        <x:f>IF('Debt strategy'!$C$16&gt;0,0,MIN(I385+J385-K385,MAX(0,'Debt strategy'!$C$5-SUM(E385,K385,Q385,W385,AC385)-SUM(IF(F385&lt;L385,C385+D385-E385,0),IF(R385&lt;L385,O385+P385-Q385,0),IF(X385&lt;L385,U385+V385-W385,0),IF(AD385&lt;L385,AA385+AB385-AC385,0)))))</x:f>
        <x:v>0</x:v>
      </x:c>
      <x:c r="N385" s="6" t="n">
        <x:f>ROUND(MAX(0,I385+J385-K385-M385),2)</x:f>
        <x:v>0</x:v>
      </x:c>
      <x:c r="O385" s="6" t="n">
        <x:f>T384</x:f>
        <x:v>0</x:v>
      </x:c>
      <x:c r="P385" s="6" t="n">
        <x:f>ROUND(O385*'Debt strategy'!$D$11/12,2)</x:f>
        <x:v>0</x:v>
      </x:c>
      <x:c r="Q385" s="6" t="n">
        <x:f>MIN(O385+P385,'Debt strategy'!$E$11)</x:f>
        <x:v>0</x:v>
      </x:c>
      <x:c r="R385" s="27" t="n">
        <x:f>IF(O385+P385-Q385&lt;=0,99,1+SUM(IF(AND(C385+D385-E385&gt;0,OR(C385+D385-E385&lt;O385+P385-Q385,AND(C385+D385-E385=O385+P385-Q385,0&lt;2))),1,0),IF(AND(I385+J385-K385&gt;0,OR(I385+J385-K385&lt;O385+P385-Q385,AND(I385+J385-K385=O385+P385-Q385,1&lt;2))),1,0),IF(AND(U385+V385-W385&gt;0,OR(U385+V385-W385&lt;O385+P385-Q385,AND(U385+V385-W385=O385+P385-Q385,3&lt;2))),1,0),IF(AND(AA385+AB385-AC385&gt;0,OR(AA385+AB385-AC385&lt;O385+P385-Q385,AND(AA385+AB385-AC385=O385+P385-Q385,4&lt;2))),1,0)))</x:f>
        <x:v>99</x:v>
      </x:c>
      <x:c r="S385" s="6" t="n">
        <x:f>IF('Debt strategy'!$C$16&gt;0,0,MIN(O385+P385-Q385,MAX(0,'Debt strategy'!$C$5-SUM(E385,K385,Q385,W385,AC385)-SUM(IF(F385&lt;R385,C385+D385-E385,0),IF(L385&lt;R385,I385+J385-K385,0),IF(X385&lt;R385,U385+V385-W385,0),IF(AD385&lt;R385,AA385+AB385-AC385,0)))))</x:f>
        <x:v>0</x:v>
      </x:c>
      <x:c r="T385" s="6" t="n">
        <x:f>ROUND(MAX(0,O385+P385-Q385-S385),2)</x:f>
        <x:v>0</x:v>
      </x:c>
      <x:c r="U385" s="6" t="n">
        <x:f>Z384</x:f>
        <x:v>0</x:v>
      </x:c>
      <x:c r="V385" s="6" t="n">
        <x:f>ROUND(U385*'Debt strategy'!$D$12/12,2)</x:f>
        <x:v>0</x:v>
      </x:c>
      <x:c r="W385" s="6" t="n">
        <x:f>MIN(U385+V385,'Debt strategy'!$E$12)</x:f>
        <x:v>0</x:v>
      </x:c>
      <x:c r="X385" s="27" t="n">
        <x:f>IF(U385+V385-W385&lt;=0,99,1+SUM(IF(AND(C385+D385-E385&gt;0,OR(C385+D385-E385&lt;U385+V385-W385,AND(C385+D385-E385=U385+V385-W385,0&lt;3))),1,0),IF(AND(I385+J385-K385&gt;0,OR(I385+J385-K385&lt;U385+V385-W385,AND(I385+J385-K385=U385+V385-W385,1&lt;3))),1,0),IF(AND(O385+P385-Q385&gt;0,OR(O385+P385-Q385&lt;U385+V385-W385,AND(O385+P385-Q385=U385+V385-W385,2&lt;3))),1,0),IF(AND(AA385+AB385-AC385&gt;0,OR(AA385+AB385-AC385&lt;U385+V385-W385,AND(AA385+AB385-AC385=U385+V385-W385,4&lt;3))),1,0)))</x:f>
        <x:v>99</x:v>
      </x:c>
      <x:c r="Y385" s="6" t="n">
        <x:f>IF('Debt strategy'!$C$16&gt;0,0,MIN(U385+V385-W385,MAX(0,'Debt strategy'!$C$5-SUM(E385,K385,Q385,W385,AC385)-SUM(IF(F385&lt;X385,C385+D385-E385,0),IF(L385&lt;X385,I385+J385-K385,0),IF(R385&lt;X385,O385+P385-Q385,0),IF(AD385&lt;X385,AA385+AB385-AC385,0)))))</x:f>
        <x:v>0</x:v>
      </x:c>
      <x:c r="Z385" s="6" t="n">
        <x:f>ROUND(MAX(0,U385+V385-W385-Y385),2)</x:f>
        <x:v>0</x:v>
      </x:c>
      <x:c r="AA385" s="6" t="n">
        <x:f>AF384</x:f>
        <x:v>0</x:v>
      </x:c>
      <x:c r="AB385" s="6" t="n">
        <x:f>ROUND(AA385*'Debt strategy'!$D$13/12,2)</x:f>
        <x:v>0</x:v>
      </x:c>
      <x:c r="AC385" s="6" t="n">
        <x:f>MIN(AA385+AB385,'Debt strategy'!$E$13)</x:f>
        <x:v>0</x:v>
      </x:c>
      <x:c r="AD385" s="27" t="n">
        <x:f>IF(AA385+AB385-AC385&lt;=0,99,1+SUM(IF(AND(C385+D385-E385&gt;0,OR(C385+D385-E385&lt;AA385+AB385-AC385,AND(C385+D385-E385=AA385+AB385-AC385,0&lt;4))),1,0),IF(AND(I385+J385-K385&gt;0,OR(I385+J385-K385&lt;AA385+AB385-AC385,AND(I385+J385-K385=AA385+AB385-AC385,1&lt;4))),1,0),IF(AND(O385+P385-Q385&gt;0,OR(O385+P385-Q385&lt;AA385+AB385-AC385,AND(O385+P385-Q385=AA385+AB385-AC385,2&lt;4))),1,0),IF(AND(U385+V385-W385&gt;0,OR(U385+V385-W385&lt;AA385+AB385-AC385,AND(U385+V385-W385=AA385+AB385-AC385,3&lt;4))),1,0)))</x:f>
        <x:v>99</x:v>
      </x:c>
      <x:c r="AE385" s="6" t="n">
        <x:f>IF('Debt strategy'!$C$16&gt;0,0,MIN(AA385+AB385-AC385,MAX(0,'Debt strategy'!$C$5-SUM(E385,K385,Q385,W385,AC385)-SUM(IF(F385&lt;AD385,C385+D385-E385,0),IF(L385&lt;AD385,I385+J385-K385,0),IF(R385&lt;AD385,O385+P385-Q385,0),IF(X385&lt;AD385,U385+V385-W385,0)))))</x:f>
        <x:v>0</x:v>
      </x:c>
      <x:c r="AF385" s="6" t="n">
        <x:f>ROUND(MAX(0,AA385+AB385-AC385-AE385),2)</x:f>
        <x:v>0</x:v>
      </x:c>
      <x:c r="AG385" s="6" t="n">
        <x:f>SUM(H385,N385,T385,Z385,AF385)</x:f>
        <x:v>0</x:v>
      </x:c>
      <x:c r="AH385" s="6" t="n">
        <x:f>SUM(D385,J385,P385,V385,AB385)+AH384</x:f>
        <x:v>1353.9499999999996</x:v>
      </x:c>
      <x:c r="AI385" s="2"/>
    </x:row>
    <x:row r="386" ht="23" customHeight="1">
      <x:c r="B386" s="2" t="n">
        <x:f>378</x:f>
        <x:v>378</x:v>
      </x:c>
      <x:c r="C386" s="6" t="n">
        <x:f>H385</x:f>
        <x:v>0</x:v>
      </x:c>
      <x:c r="D386" s="6" t="n">
        <x:f>ROUND(C386*'Debt strategy'!$D$9/12,2)</x:f>
        <x:v>0</x:v>
      </x:c>
      <x:c r="E386" s="6" t="n">
        <x:f>MIN(C386+D386,'Debt strategy'!$E$9)</x:f>
        <x:v>0</x:v>
      </x:c>
      <x:c r="F386" s="27" t="n">
        <x:f>IF(C386+D386-E386&lt;=0,99,1+SUM(IF(AND(I386+J386-K386&gt;0,OR(I386+J386-K386&lt;C386+D386-E386,AND(I386+J386-K386=C386+D386-E386,1&lt;0))),1,0),IF(AND(O386+P386-Q386&gt;0,OR(O386+P386-Q386&lt;C386+D386-E386,AND(O386+P386-Q386=C386+D386-E386,2&lt;0))),1,0),IF(AND(U386+V386-W386&gt;0,OR(U386+V386-W386&lt;C386+D386-E386,AND(U386+V386-W386=C386+D386-E386,3&lt;0))),1,0),IF(AND(AA386+AB386-AC386&gt;0,OR(AA386+AB386-AC386&lt;C386+D386-E386,AND(AA386+AB386-AC386=C386+D386-E386,4&lt;0))),1,0)))</x:f>
        <x:v>99</x:v>
      </x:c>
      <x:c r="G386" s="6" t="n">
        <x:f>IF('Debt strategy'!$C$16&gt;0,0,MIN(C386+D386-E386,MAX(0,'Debt strategy'!$C$5-SUM(E386,K386,Q386,W386,AC386)-SUM(IF(L386&lt;F386,I386+J386-K386,0),IF(R386&lt;F386,O386+P386-Q386,0),IF(X386&lt;F386,U386+V386-W386,0),IF(AD386&lt;F386,AA386+AB386-AC386,0)))))</x:f>
        <x:v>0</x:v>
      </x:c>
      <x:c r="H386" s="6" t="n">
        <x:f>ROUND(MAX(0,C386+D386-E386-G386),2)</x:f>
        <x:v>0</x:v>
      </x:c>
      <x:c r="I386" s="6" t="n">
        <x:f>N385</x:f>
        <x:v>0</x:v>
      </x:c>
      <x:c r="J386" s="6" t="n">
        <x:f>ROUND(I386*'Debt strategy'!$D$10/12,2)</x:f>
        <x:v>0</x:v>
      </x:c>
      <x:c r="K386" s="6" t="n">
        <x:f>MIN(I386+J386,'Debt strategy'!$E$10)</x:f>
        <x:v>0</x:v>
      </x:c>
      <x:c r="L386" s="27" t="n">
        <x:f>IF(I386+J386-K386&lt;=0,99,1+SUM(IF(AND(C386+D386-E386&gt;0,OR(C386+D386-E386&lt;I386+J386-K386,AND(C386+D386-E386=I386+J386-K386,0&lt;1))),1,0),IF(AND(O386+P386-Q386&gt;0,OR(O386+P386-Q386&lt;I386+J386-K386,AND(O386+P386-Q386=I386+J386-K386,2&lt;1))),1,0),IF(AND(U386+V386-W386&gt;0,OR(U386+V386-W386&lt;I386+J386-K386,AND(U386+V386-W386=I386+J386-K386,3&lt;1))),1,0),IF(AND(AA386+AB386-AC386&gt;0,OR(AA386+AB386-AC386&lt;I386+J386-K386,AND(AA386+AB386-AC386=I386+J386-K386,4&lt;1))),1,0)))</x:f>
        <x:v>99</x:v>
      </x:c>
      <x:c r="M386" s="6" t="n">
        <x:f>IF('Debt strategy'!$C$16&gt;0,0,MIN(I386+J386-K386,MAX(0,'Debt strategy'!$C$5-SUM(E386,K386,Q386,W386,AC386)-SUM(IF(F386&lt;L386,C386+D386-E386,0),IF(R386&lt;L386,O386+P386-Q386,0),IF(X386&lt;L386,U386+V386-W386,0),IF(AD386&lt;L386,AA386+AB386-AC386,0)))))</x:f>
        <x:v>0</x:v>
      </x:c>
      <x:c r="N386" s="6" t="n">
        <x:f>ROUND(MAX(0,I386+J386-K386-M386),2)</x:f>
        <x:v>0</x:v>
      </x:c>
      <x:c r="O386" s="6" t="n">
        <x:f>T385</x:f>
        <x:v>0</x:v>
      </x:c>
      <x:c r="P386" s="6" t="n">
        <x:f>ROUND(O386*'Debt strategy'!$D$11/12,2)</x:f>
        <x:v>0</x:v>
      </x:c>
      <x:c r="Q386" s="6" t="n">
        <x:f>MIN(O386+P386,'Debt strategy'!$E$11)</x:f>
        <x:v>0</x:v>
      </x:c>
      <x:c r="R386" s="27" t="n">
        <x:f>IF(O386+P386-Q386&lt;=0,99,1+SUM(IF(AND(C386+D386-E386&gt;0,OR(C386+D386-E386&lt;O386+P386-Q386,AND(C386+D386-E386=O386+P386-Q386,0&lt;2))),1,0),IF(AND(I386+J386-K386&gt;0,OR(I386+J386-K386&lt;O386+P386-Q386,AND(I386+J386-K386=O386+P386-Q386,1&lt;2))),1,0),IF(AND(U386+V386-W386&gt;0,OR(U386+V386-W386&lt;O386+P386-Q386,AND(U386+V386-W386=O386+P386-Q386,3&lt;2))),1,0),IF(AND(AA386+AB386-AC386&gt;0,OR(AA386+AB386-AC386&lt;O386+P386-Q386,AND(AA386+AB386-AC386=O386+P386-Q386,4&lt;2))),1,0)))</x:f>
        <x:v>99</x:v>
      </x:c>
      <x:c r="S386" s="6" t="n">
        <x:f>IF('Debt strategy'!$C$16&gt;0,0,MIN(O386+P386-Q386,MAX(0,'Debt strategy'!$C$5-SUM(E386,K386,Q386,W386,AC386)-SUM(IF(F386&lt;R386,C386+D386-E386,0),IF(L386&lt;R386,I386+J386-K386,0),IF(X386&lt;R386,U386+V386-W386,0),IF(AD386&lt;R386,AA386+AB386-AC386,0)))))</x:f>
        <x:v>0</x:v>
      </x:c>
      <x:c r="T386" s="6" t="n">
        <x:f>ROUND(MAX(0,O386+P386-Q386-S386),2)</x:f>
        <x:v>0</x:v>
      </x:c>
      <x:c r="U386" s="6" t="n">
        <x:f>Z385</x:f>
        <x:v>0</x:v>
      </x:c>
      <x:c r="V386" s="6" t="n">
        <x:f>ROUND(U386*'Debt strategy'!$D$12/12,2)</x:f>
        <x:v>0</x:v>
      </x:c>
      <x:c r="W386" s="6" t="n">
        <x:f>MIN(U386+V386,'Debt strategy'!$E$12)</x:f>
        <x:v>0</x:v>
      </x:c>
      <x:c r="X386" s="27" t="n">
        <x:f>IF(U386+V386-W386&lt;=0,99,1+SUM(IF(AND(C386+D386-E386&gt;0,OR(C386+D386-E386&lt;U386+V386-W386,AND(C386+D386-E386=U386+V386-W386,0&lt;3))),1,0),IF(AND(I386+J386-K386&gt;0,OR(I386+J386-K386&lt;U386+V386-W386,AND(I386+J386-K386=U386+V386-W386,1&lt;3))),1,0),IF(AND(O386+P386-Q386&gt;0,OR(O386+P386-Q386&lt;U386+V386-W386,AND(O386+P386-Q386=U386+V386-W386,2&lt;3))),1,0),IF(AND(AA386+AB386-AC386&gt;0,OR(AA386+AB386-AC386&lt;U386+V386-W386,AND(AA386+AB386-AC386=U386+V386-W386,4&lt;3))),1,0)))</x:f>
        <x:v>99</x:v>
      </x:c>
      <x:c r="Y386" s="6" t="n">
        <x:f>IF('Debt strategy'!$C$16&gt;0,0,MIN(U386+V386-W386,MAX(0,'Debt strategy'!$C$5-SUM(E386,K386,Q386,W386,AC386)-SUM(IF(F386&lt;X386,C386+D386-E386,0),IF(L386&lt;X386,I386+J386-K386,0),IF(R386&lt;X386,O386+P386-Q386,0),IF(AD386&lt;X386,AA386+AB386-AC386,0)))))</x:f>
        <x:v>0</x:v>
      </x:c>
      <x:c r="Z386" s="6" t="n">
        <x:f>ROUND(MAX(0,U386+V386-W386-Y386),2)</x:f>
        <x:v>0</x:v>
      </x:c>
      <x:c r="AA386" s="6" t="n">
        <x:f>AF385</x:f>
        <x:v>0</x:v>
      </x:c>
      <x:c r="AB386" s="6" t="n">
        <x:f>ROUND(AA386*'Debt strategy'!$D$13/12,2)</x:f>
        <x:v>0</x:v>
      </x:c>
      <x:c r="AC386" s="6" t="n">
        <x:f>MIN(AA386+AB386,'Debt strategy'!$E$13)</x:f>
        <x:v>0</x:v>
      </x:c>
      <x:c r="AD386" s="27" t="n">
        <x:f>IF(AA386+AB386-AC386&lt;=0,99,1+SUM(IF(AND(C386+D386-E386&gt;0,OR(C386+D386-E386&lt;AA386+AB386-AC386,AND(C386+D386-E386=AA386+AB386-AC386,0&lt;4))),1,0),IF(AND(I386+J386-K386&gt;0,OR(I386+J386-K386&lt;AA386+AB386-AC386,AND(I386+J386-K386=AA386+AB386-AC386,1&lt;4))),1,0),IF(AND(O386+P386-Q386&gt;0,OR(O386+P386-Q386&lt;AA386+AB386-AC386,AND(O386+P386-Q386=AA386+AB386-AC386,2&lt;4))),1,0),IF(AND(U386+V386-W386&gt;0,OR(U386+V386-W386&lt;AA386+AB386-AC386,AND(U386+V386-W386=AA386+AB386-AC386,3&lt;4))),1,0)))</x:f>
        <x:v>99</x:v>
      </x:c>
      <x:c r="AE386" s="6" t="n">
        <x:f>IF('Debt strategy'!$C$16&gt;0,0,MIN(AA386+AB386-AC386,MAX(0,'Debt strategy'!$C$5-SUM(E386,K386,Q386,W386,AC386)-SUM(IF(F386&lt;AD386,C386+D386-E386,0),IF(L386&lt;AD386,I386+J386-K386,0),IF(R386&lt;AD386,O386+P386-Q386,0),IF(X386&lt;AD386,U386+V386-W386,0)))))</x:f>
        <x:v>0</x:v>
      </x:c>
      <x:c r="AF386" s="6" t="n">
        <x:f>ROUND(MAX(0,AA386+AB386-AC386-AE386),2)</x:f>
        <x:v>0</x:v>
      </x:c>
      <x:c r="AG386" s="6" t="n">
        <x:f>SUM(H386,N386,T386,Z386,AF386)</x:f>
        <x:v>0</x:v>
      </x:c>
      <x:c r="AH386" s="6" t="n">
        <x:f>SUM(D386,J386,P386,V386,AB386)+AH385</x:f>
        <x:v>1353.9499999999996</x:v>
      </x:c>
      <x:c r="AI386" s="2"/>
    </x:row>
    <x:row r="387" ht="23" customHeight="1">
      <x:c r="B387" s="2" t="n">
        <x:f>379</x:f>
        <x:v>379</x:v>
      </x:c>
      <x:c r="C387" s="6" t="n">
        <x:f>H386</x:f>
        <x:v>0</x:v>
      </x:c>
      <x:c r="D387" s="6" t="n">
        <x:f>ROUND(C387*'Debt strategy'!$D$9/12,2)</x:f>
        <x:v>0</x:v>
      </x:c>
      <x:c r="E387" s="6" t="n">
        <x:f>MIN(C387+D387,'Debt strategy'!$E$9)</x:f>
        <x:v>0</x:v>
      </x:c>
      <x:c r="F387" s="27" t="n">
        <x:f>IF(C387+D387-E387&lt;=0,99,1+SUM(IF(AND(I387+J387-K387&gt;0,OR(I387+J387-K387&lt;C387+D387-E387,AND(I387+J387-K387=C387+D387-E387,1&lt;0))),1,0),IF(AND(O387+P387-Q387&gt;0,OR(O387+P387-Q387&lt;C387+D387-E387,AND(O387+P387-Q387=C387+D387-E387,2&lt;0))),1,0),IF(AND(U387+V387-W387&gt;0,OR(U387+V387-W387&lt;C387+D387-E387,AND(U387+V387-W387=C387+D387-E387,3&lt;0))),1,0),IF(AND(AA387+AB387-AC387&gt;0,OR(AA387+AB387-AC387&lt;C387+D387-E387,AND(AA387+AB387-AC387=C387+D387-E387,4&lt;0))),1,0)))</x:f>
        <x:v>99</x:v>
      </x:c>
      <x:c r="G387" s="6" t="n">
        <x:f>IF('Debt strategy'!$C$16&gt;0,0,MIN(C387+D387-E387,MAX(0,'Debt strategy'!$C$5-SUM(E387,K387,Q387,W387,AC387)-SUM(IF(L387&lt;F387,I387+J387-K387,0),IF(R387&lt;F387,O387+P387-Q387,0),IF(X387&lt;F387,U387+V387-W387,0),IF(AD387&lt;F387,AA387+AB387-AC387,0)))))</x:f>
        <x:v>0</x:v>
      </x:c>
      <x:c r="H387" s="6" t="n">
        <x:f>ROUND(MAX(0,C387+D387-E387-G387),2)</x:f>
        <x:v>0</x:v>
      </x:c>
      <x:c r="I387" s="6" t="n">
        <x:f>N386</x:f>
        <x:v>0</x:v>
      </x:c>
      <x:c r="J387" s="6" t="n">
        <x:f>ROUND(I387*'Debt strategy'!$D$10/12,2)</x:f>
        <x:v>0</x:v>
      </x:c>
      <x:c r="K387" s="6" t="n">
        <x:f>MIN(I387+J387,'Debt strategy'!$E$10)</x:f>
        <x:v>0</x:v>
      </x:c>
      <x:c r="L387" s="27" t="n">
        <x:f>IF(I387+J387-K387&lt;=0,99,1+SUM(IF(AND(C387+D387-E387&gt;0,OR(C387+D387-E387&lt;I387+J387-K387,AND(C387+D387-E387=I387+J387-K387,0&lt;1))),1,0),IF(AND(O387+P387-Q387&gt;0,OR(O387+P387-Q387&lt;I387+J387-K387,AND(O387+P387-Q387=I387+J387-K387,2&lt;1))),1,0),IF(AND(U387+V387-W387&gt;0,OR(U387+V387-W387&lt;I387+J387-K387,AND(U387+V387-W387=I387+J387-K387,3&lt;1))),1,0),IF(AND(AA387+AB387-AC387&gt;0,OR(AA387+AB387-AC387&lt;I387+J387-K387,AND(AA387+AB387-AC387=I387+J387-K387,4&lt;1))),1,0)))</x:f>
        <x:v>99</x:v>
      </x:c>
      <x:c r="M387" s="6" t="n">
        <x:f>IF('Debt strategy'!$C$16&gt;0,0,MIN(I387+J387-K387,MAX(0,'Debt strategy'!$C$5-SUM(E387,K387,Q387,W387,AC387)-SUM(IF(F387&lt;L387,C387+D387-E387,0),IF(R387&lt;L387,O387+P387-Q387,0),IF(X387&lt;L387,U387+V387-W387,0),IF(AD387&lt;L387,AA387+AB387-AC387,0)))))</x:f>
        <x:v>0</x:v>
      </x:c>
      <x:c r="N387" s="6" t="n">
        <x:f>ROUND(MAX(0,I387+J387-K387-M387),2)</x:f>
        <x:v>0</x:v>
      </x:c>
      <x:c r="O387" s="6" t="n">
        <x:f>T386</x:f>
        <x:v>0</x:v>
      </x:c>
      <x:c r="P387" s="6" t="n">
        <x:f>ROUND(O387*'Debt strategy'!$D$11/12,2)</x:f>
        <x:v>0</x:v>
      </x:c>
      <x:c r="Q387" s="6" t="n">
        <x:f>MIN(O387+P387,'Debt strategy'!$E$11)</x:f>
        <x:v>0</x:v>
      </x:c>
      <x:c r="R387" s="27" t="n">
        <x:f>IF(O387+P387-Q387&lt;=0,99,1+SUM(IF(AND(C387+D387-E387&gt;0,OR(C387+D387-E387&lt;O387+P387-Q387,AND(C387+D387-E387=O387+P387-Q387,0&lt;2))),1,0),IF(AND(I387+J387-K387&gt;0,OR(I387+J387-K387&lt;O387+P387-Q387,AND(I387+J387-K387=O387+P387-Q387,1&lt;2))),1,0),IF(AND(U387+V387-W387&gt;0,OR(U387+V387-W387&lt;O387+P387-Q387,AND(U387+V387-W387=O387+P387-Q387,3&lt;2))),1,0),IF(AND(AA387+AB387-AC387&gt;0,OR(AA387+AB387-AC387&lt;O387+P387-Q387,AND(AA387+AB387-AC387=O387+P387-Q387,4&lt;2))),1,0)))</x:f>
        <x:v>99</x:v>
      </x:c>
      <x:c r="S387" s="6" t="n">
        <x:f>IF('Debt strategy'!$C$16&gt;0,0,MIN(O387+P387-Q387,MAX(0,'Debt strategy'!$C$5-SUM(E387,K387,Q387,W387,AC387)-SUM(IF(F387&lt;R387,C387+D387-E387,0),IF(L387&lt;R387,I387+J387-K387,0),IF(X387&lt;R387,U387+V387-W387,0),IF(AD387&lt;R387,AA387+AB387-AC387,0)))))</x:f>
        <x:v>0</x:v>
      </x:c>
      <x:c r="T387" s="6" t="n">
        <x:f>ROUND(MAX(0,O387+P387-Q387-S387),2)</x:f>
        <x:v>0</x:v>
      </x:c>
      <x:c r="U387" s="6" t="n">
        <x:f>Z386</x:f>
        <x:v>0</x:v>
      </x:c>
      <x:c r="V387" s="6" t="n">
        <x:f>ROUND(U387*'Debt strategy'!$D$12/12,2)</x:f>
        <x:v>0</x:v>
      </x:c>
      <x:c r="W387" s="6" t="n">
        <x:f>MIN(U387+V387,'Debt strategy'!$E$12)</x:f>
        <x:v>0</x:v>
      </x:c>
      <x:c r="X387" s="27" t="n">
        <x:f>IF(U387+V387-W387&lt;=0,99,1+SUM(IF(AND(C387+D387-E387&gt;0,OR(C387+D387-E387&lt;U387+V387-W387,AND(C387+D387-E387=U387+V387-W387,0&lt;3))),1,0),IF(AND(I387+J387-K387&gt;0,OR(I387+J387-K387&lt;U387+V387-W387,AND(I387+J387-K387=U387+V387-W387,1&lt;3))),1,0),IF(AND(O387+P387-Q387&gt;0,OR(O387+P387-Q387&lt;U387+V387-W387,AND(O387+P387-Q387=U387+V387-W387,2&lt;3))),1,0),IF(AND(AA387+AB387-AC387&gt;0,OR(AA387+AB387-AC387&lt;U387+V387-W387,AND(AA387+AB387-AC387=U387+V387-W387,4&lt;3))),1,0)))</x:f>
        <x:v>99</x:v>
      </x:c>
      <x:c r="Y387" s="6" t="n">
        <x:f>IF('Debt strategy'!$C$16&gt;0,0,MIN(U387+V387-W387,MAX(0,'Debt strategy'!$C$5-SUM(E387,K387,Q387,W387,AC387)-SUM(IF(F387&lt;X387,C387+D387-E387,0),IF(L387&lt;X387,I387+J387-K387,0),IF(R387&lt;X387,O387+P387-Q387,0),IF(AD387&lt;X387,AA387+AB387-AC387,0)))))</x:f>
        <x:v>0</x:v>
      </x:c>
      <x:c r="Z387" s="6" t="n">
        <x:f>ROUND(MAX(0,U387+V387-W387-Y387),2)</x:f>
        <x:v>0</x:v>
      </x:c>
      <x:c r="AA387" s="6" t="n">
        <x:f>AF386</x:f>
        <x:v>0</x:v>
      </x:c>
      <x:c r="AB387" s="6" t="n">
        <x:f>ROUND(AA387*'Debt strategy'!$D$13/12,2)</x:f>
        <x:v>0</x:v>
      </x:c>
      <x:c r="AC387" s="6" t="n">
        <x:f>MIN(AA387+AB387,'Debt strategy'!$E$13)</x:f>
        <x:v>0</x:v>
      </x:c>
      <x:c r="AD387" s="27" t="n">
        <x:f>IF(AA387+AB387-AC387&lt;=0,99,1+SUM(IF(AND(C387+D387-E387&gt;0,OR(C387+D387-E387&lt;AA387+AB387-AC387,AND(C387+D387-E387=AA387+AB387-AC387,0&lt;4))),1,0),IF(AND(I387+J387-K387&gt;0,OR(I387+J387-K387&lt;AA387+AB387-AC387,AND(I387+J387-K387=AA387+AB387-AC387,1&lt;4))),1,0),IF(AND(O387+P387-Q387&gt;0,OR(O387+P387-Q387&lt;AA387+AB387-AC387,AND(O387+P387-Q387=AA387+AB387-AC387,2&lt;4))),1,0),IF(AND(U387+V387-W387&gt;0,OR(U387+V387-W387&lt;AA387+AB387-AC387,AND(U387+V387-W387=AA387+AB387-AC387,3&lt;4))),1,0)))</x:f>
        <x:v>99</x:v>
      </x:c>
      <x:c r="AE387" s="6" t="n">
        <x:f>IF('Debt strategy'!$C$16&gt;0,0,MIN(AA387+AB387-AC387,MAX(0,'Debt strategy'!$C$5-SUM(E387,K387,Q387,W387,AC387)-SUM(IF(F387&lt;AD387,C387+D387-E387,0),IF(L387&lt;AD387,I387+J387-K387,0),IF(R387&lt;AD387,O387+P387-Q387,0),IF(X387&lt;AD387,U387+V387-W387,0)))))</x:f>
        <x:v>0</x:v>
      </x:c>
      <x:c r="AF387" s="6" t="n">
        <x:f>ROUND(MAX(0,AA387+AB387-AC387-AE387),2)</x:f>
        <x:v>0</x:v>
      </x:c>
      <x:c r="AG387" s="6" t="n">
        <x:f>SUM(H387,N387,T387,Z387,AF387)</x:f>
        <x:v>0</x:v>
      </x:c>
      <x:c r="AH387" s="6" t="n">
        <x:f>SUM(D387,J387,P387,V387,AB387)+AH386</x:f>
        <x:v>1353.9499999999996</x:v>
      </x:c>
      <x:c r="AI387" s="2"/>
    </x:row>
    <x:row r="388" ht="23" customHeight="1">
      <x:c r="B388" s="2" t="n">
        <x:f>380</x:f>
        <x:v>380</x:v>
      </x:c>
      <x:c r="C388" s="6" t="n">
        <x:f>H387</x:f>
        <x:v>0</x:v>
      </x:c>
      <x:c r="D388" s="6" t="n">
        <x:f>ROUND(C388*'Debt strategy'!$D$9/12,2)</x:f>
        <x:v>0</x:v>
      </x:c>
      <x:c r="E388" s="6" t="n">
        <x:f>MIN(C388+D388,'Debt strategy'!$E$9)</x:f>
        <x:v>0</x:v>
      </x:c>
      <x:c r="F388" s="27" t="n">
        <x:f>IF(C388+D388-E388&lt;=0,99,1+SUM(IF(AND(I388+J388-K388&gt;0,OR(I388+J388-K388&lt;C388+D388-E388,AND(I388+J388-K388=C388+D388-E388,1&lt;0))),1,0),IF(AND(O388+P388-Q388&gt;0,OR(O388+P388-Q388&lt;C388+D388-E388,AND(O388+P388-Q388=C388+D388-E388,2&lt;0))),1,0),IF(AND(U388+V388-W388&gt;0,OR(U388+V388-W388&lt;C388+D388-E388,AND(U388+V388-W388=C388+D388-E388,3&lt;0))),1,0),IF(AND(AA388+AB388-AC388&gt;0,OR(AA388+AB388-AC388&lt;C388+D388-E388,AND(AA388+AB388-AC388=C388+D388-E388,4&lt;0))),1,0)))</x:f>
        <x:v>99</x:v>
      </x:c>
      <x:c r="G388" s="6" t="n">
        <x:f>IF('Debt strategy'!$C$16&gt;0,0,MIN(C388+D388-E388,MAX(0,'Debt strategy'!$C$5-SUM(E388,K388,Q388,W388,AC388)-SUM(IF(L388&lt;F388,I388+J388-K388,0),IF(R388&lt;F388,O388+P388-Q388,0),IF(X388&lt;F388,U388+V388-W388,0),IF(AD388&lt;F388,AA388+AB388-AC388,0)))))</x:f>
        <x:v>0</x:v>
      </x:c>
      <x:c r="H388" s="6" t="n">
        <x:f>ROUND(MAX(0,C388+D388-E388-G388),2)</x:f>
        <x:v>0</x:v>
      </x:c>
      <x:c r="I388" s="6" t="n">
        <x:f>N387</x:f>
        <x:v>0</x:v>
      </x:c>
      <x:c r="J388" s="6" t="n">
        <x:f>ROUND(I388*'Debt strategy'!$D$10/12,2)</x:f>
        <x:v>0</x:v>
      </x:c>
      <x:c r="K388" s="6" t="n">
        <x:f>MIN(I388+J388,'Debt strategy'!$E$10)</x:f>
        <x:v>0</x:v>
      </x:c>
      <x:c r="L388" s="27" t="n">
        <x:f>IF(I388+J388-K388&lt;=0,99,1+SUM(IF(AND(C388+D388-E388&gt;0,OR(C388+D388-E388&lt;I388+J388-K388,AND(C388+D388-E388=I388+J388-K388,0&lt;1))),1,0),IF(AND(O388+P388-Q388&gt;0,OR(O388+P388-Q388&lt;I388+J388-K388,AND(O388+P388-Q388=I388+J388-K388,2&lt;1))),1,0),IF(AND(U388+V388-W388&gt;0,OR(U388+V388-W388&lt;I388+J388-K388,AND(U388+V388-W388=I388+J388-K388,3&lt;1))),1,0),IF(AND(AA388+AB388-AC388&gt;0,OR(AA388+AB388-AC388&lt;I388+J388-K388,AND(AA388+AB388-AC388=I388+J388-K388,4&lt;1))),1,0)))</x:f>
        <x:v>99</x:v>
      </x:c>
      <x:c r="M388" s="6" t="n">
        <x:f>IF('Debt strategy'!$C$16&gt;0,0,MIN(I388+J388-K388,MAX(0,'Debt strategy'!$C$5-SUM(E388,K388,Q388,W388,AC388)-SUM(IF(F388&lt;L388,C388+D388-E388,0),IF(R388&lt;L388,O388+P388-Q388,0),IF(X388&lt;L388,U388+V388-W388,0),IF(AD388&lt;L388,AA388+AB388-AC388,0)))))</x:f>
        <x:v>0</x:v>
      </x:c>
      <x:c r="N388" s="6" t="n">
        <x:f>ROUND(MAX(0,I388+J388-K388-M388),2)</x:f>
        <x:v>0</x:v>
      </x:c>
      <x:c r="O388" s="6" t="n">
        <x:f>T387</x:f>
        <x:v>0</x:v>
      </x:c>
      <x:c r="P388" s="6" t="n">
        <x:f>ROUND(O388*'Debt strategy'!$D$11/12,2)</x:f>
        <x:v>0</x:v>
      </x:c>
      <x:c r="Q388" s="6" t="n">
        <x:f>MIN(O388+P388,'Debt strategy'!$E$11)</x:f>
        <x:v>0</x:v>
      </x:c>
      <x:c r="R388" s="27" t="n">
        <x:f>IF(O388+P388-Q388&lt;=0,99,1+SUM(IF(AND(C388+D388-E388&gt;0,OR(C388+D388-E388&lt;O388+P388-Q388,AND(C388+D388-E388=O388+P388-Q388,0&lt;2))),1,0),IF(AND(I388+J388-K388&gt;0,OR(I388+J388-K388&lt;O388+P388-Q388,AND(I388+J388-K388=O388+P388-Q388,1&lt;2))),1,0),IF(AND(U388+V388-W388&gt;0,OR(U388+V388-W388&lt;O388+P388-Q388,AND(U388+V388-W388=O388+P388-Q388,3&lt;2))),1,0),IF(AND(AA388+AB388-AC388&gt;0,OR(AA388+AB388-AC388&lt;O388+P388-Q388,AND(AA388+AB388-AC388=O388+P388-Q388,4&lt;2))),1,0)))</x:f>
        <x:v>99</x:v>
      </x:c>
      <x:c r="S388" s="6" t="n">
        <x:f>IF('Debt strategy'!$C$16&gt;0,0,MIN(O388+P388-Q388,MAX(0,'Debt strategy'!$C$5-SUM(E388,K388,Q388,W388,AC388)-SUM(IF(F388&lt;R388,C388+D388-E388,0),IF(L388&lt;R388,I388+J388-K388,0),IF(X388&lt;R388,U388+V388-W388,0),IF(AD388&lt;R388,AA388+AB388-AC388,0)))))</x:f>
        <x:v>0</x:v>
      </x:c>
      <x:c r="T388" s="6" t="n">
        <x:f>ROUND(MAX(0,O388+P388-Q388-S388),2)</x:f>
        <x:v>0</x:v>
      </x:c>
      <x:c r="U388" s="6" t="n">
        <x:f>Z387</x:f>
        <x:v>0</x:v>
      </x:c>
      <x:c r="V388" s="6" t="n">
        <x:f>ROUND(U388*'Debt strategy'!$D$12/12,2)</x:f>
        <x:v>0</x:v>
      </x:c>
      <x:c r="W388" s="6" t="n">
        <x:f>MIN(U388+V388,'Debt strategy'!$E$12)</x:f>
        <x:v>0</x:v>
      </x:c>
      <x:c r="X388" s="27" t="n">
        <x:f>IF(U388+V388-W388&lt;=0,99,1+SUM(IF(AND(C388+D388-E388&gt;0,OR(C388+D388-E388&lt;U388+V388-W388,AND(C388+D388-E388=U388+V388-W388,0&lt;3))),1,0),IF(AND(I388+J388-K388&gt;0,OR(I388+J388-K388&lt;U388+V388-W388,AND(I388+J388-K388=U388+V388-W388,1&lt;3))),1,0),IF(AND(O388+P388-Q388&gt;0,OR(O388+P388-Q388&lt;U388+V388-W388,AND(O388+P388-Q388=U388+V388-W388,2&lt;3))),1,0),IF(AND(AA388+AB388-AC388&gt;0,OR(AA388+AB388-AC388&lt;U388+V388-W388,AND(AA388+AB388-AC388=U388+V388-W388,4&lt;3))),1,0)))</x:f>
        <x:v>99</x:v>
      </x:c>
      <x:c r="Y388" s="6" t="n">
        <x:f>IF('Debt strategy'!$C$16&gt;0,0,MIN(U388+V388-W388,MAX(0,'Debt strategy'!$C$5-SUM(E388,K388,Q388,W388,AC388)-SUM(IF(F388&lt;X388,C388+D388-E388,0),IF(L388&lt;X388,I388+J388-K388,0),IF(R388&lt;X388,O388+P388-Q388,0),IF(AD388&lt;X388,AA388+AB388-AC388,0)))))</x:f>
        <x:v>0</x:v>
      </x:c>
      <x:c r="Z388" s="6" t="n">
        <x:f>ROUND(MAX(0,U388+V388-W388-Y388),2)</x:f>
        <x:v>0</x:v>
      </x:c>
      <x:c r="AA388" s="6" t="n">
        <x:f>AF387</x:f>
        <x:v>0</x:v>
      </x:c>
      <x:c r="AB388" s="6" t="n">
        <x:f>ROUND(AA388*'Debt strategy'!$D$13/12,2)</x:f>
        <x:v>0</x:v>
      </x:c>
      <x:c r="AC388" s="6" t="n">
        <x:f>MIN(AA388+AB388,'Debt strategy'!$E$13)</x:f>
        <x:v>0</x:v>
      </x:c>
      <x:c r="AD388" s="27" t="n">
        <x:f>IF(AA388+AB388-AC388&lt;=0,99,1+SUM(IF(AND(C388+D388-E388&gt;0,OR(C388+D388-E388&lt;AA388+AB388-AC388,AND(C388+D388-E388=AA388+AB388-AC388,0&lt;4))),1,0),IF(AND(I388+J388-K388&gt;0,OR(I388+J388-K388&lt;AA388+AB388-AC388,AND(I388+J388-K388=AA388+AB388-AC388,1&lt;4))),1,0),IF(AND(O388+P388-Q388&gt;0,OR(O388+P388-Q388&lt;AA388+AB388-AC388,AND(O388+P388-Q388=AA388+AB388-AC388,2&lt;4))),1,0),IF(AND(U388+V388-W388&gt;0,OR(U388+V388-W388&lt;AA388+AB388-AC388,AND(U388+V388-W388=AA388+AB388-AC388,3&lt;4))),1,0)))</x:f>
        <x:v>99</x:v>
      </x:c>
      <x:c r="AE388" s="6" t="n">
        <x:f>IF('Debt strategy'!$C$16&gt;0,0,MIN(AA388+AB388-AC388,MAX(0,'Debt strategy'!$C$5-SUM(E388,K388,Q388,W388,AC388)-SUM(IF(F388&lt;AD388,C388+D388-E388,0),IF(L388&lt;AD388,I388+J388-K388,0),IF(R388&lt;AD388,O388+P388-Q388,0),IF(X388&lt;AD388,U388+V388-W388,0)))))</x:f>
        <x:v>0</x:v>
      </x:c>
      <x:c r="AF388" s="6" t="n">
        <x:f>ROUND(MAX(0,AA388+AB388-AC388-AE388),2)</x:f>
        <x:v>0</x:v>
      </x:c>
      <x:c r="AG388" s="6" t="n">
        <x:f>SUM(H388,N388,T388,Z388,AF388)</x:f>
        <x:v>0</x:v>
      </x:c>
      <x:c r="AH388" s="6" t="n">
        <x:f>SUM(D388,J388,P388,V388,AB388)+AH387</x:f>
        <x:v>1353.9499999999996</x:v>
      </x:c>
      <x:c r="AI388" s="2"/>
    </x:row>
    <x:row r="389" ht="23" customHeight="1">
      <x:c r="B389" s="2" t="n">
        <x:f>381</x:f>
        <x:v>381</x:v>
      </x:c>
      <x:c r="C389" s="6" t="n">
        <x:f>H388</x:f>
        <x:v>0</x:v>
      </x:c>
      <x:c r="D389" s="6" t="n">
        <x:f>ROUND(C389*'Debt strategy'!$D$9/12,2)</x:f>
        <x:v>0</x:v>
      </x:c>
      <x:c r="E389" s="6" t="n">
        <x:f>MIN(C389+D389,'Debt strategy'!$E$9)</x:f>
        <x:v>0</x:v>
      </x:c>
      <x:c r="F389" s="27" t="n">
        <x:f>IF(C389+D389-E389&lt;=0,99,1+SUM(IF(AND(I389+J389-K389&gt;0,OR(I389+J389-K389&lt;C389+D389-E389,AND(I389+J389-K389=C389+D389-E389,1&lt;0))),1,0),IF(AND(O389+P389-Q389&gt;0,OR(O389+P389-Q389&lt;C389+D389-E389,AND(O389+P389-Q389=C389+D389-E389,2&lt;0))),1,0),IF(AND(U389+V389-W389&gt;0,OR(U389+V389-W389&lt;C389+D389-E389,AND(U389+V389-W389=C389+D389-E389,3&lt;0))),1,0),IF(AND(AA389+AB389-AC389&gt;0,OR(AA389+AB389-AC389&lt;C389+D389-E389,AND(AA389+AB389-AC389=C389+D389-E389,4&lt;0))),1,0)))</x:f>
        <x:v>99</x:v>
      </x:c>
      <x:c r="G389" s="6" t="n">
        <x:f>IF('Debt strategy'!$C$16&gt;0,0,MIN(C389+D389-E389,MAX(0,'Debt strategy'!$C$5-SUM(E389,K389,Q389,W389,AC389)-SUM(IF(L389&lt;F389,I389+J389-K389,0),IF(R389&lt;F389,O389+P389-Q389,0),IF(X389&lt;F389,U389+V389-W389,0),IF(AD389&lt;F389,AA389+AB389-AC389,0)))))</x:f>
        <x:v>0</x:v>
      </x:c>
      <x:c r="H389" s="6" t="n">
        <x:f>ROUND(MAX(0,C389+D389-E389-G389),2)</x:f>
        <x:v>0</x:v>
      </x:c>
      <x:c r="I389" s="6" t="n">
        <x:f>N388</x:f>
        <x:v>0</x:v>
      </x:c>
      <x:c r="J389" s="6" t="n">
        <x:f>ROUND(I389*'Debt strategy'!$D$10/12,2)</x:f>
        <x:v>0</x:v>
      </x:c>
      <x:c r="K389" s="6" t="n">
        <x:f>MIN(I389+J389,'Debt strategy'!$E$10)</x:f>
        <x:v>0</x:v>
      </x:c>
      <x:c r="L389" s="27" t="n">
        <x:f>IF(I389+J389-K389&lt;=0,99,1+SUM(IF(AND(C389+D389-E389&gt;0,OR(C389+D389-E389&lt;I389+J389-K389,AND(C389+D389-E389=I389+J389-K389,0&lt;1))),1,0),IF(AND(O389+P389-Q389&gt;0,OR(O389+P389-Q389&lt;I389+J389-K389,AND(O389+P389-Q389=I389+J389-K389,2&lt;1))),1,0),IF(AND(U389+V389-W389&gt;0,OR(U389+V389-W389&lt;I389+J389-K389,AND(U389+V389-W389=I389+J389-K389,3&lt;1))),1,0),IF(AND(AA389+AB389-AC389&gt;0,OR(AA389+AB389-AC389&lt;I389+J389-K389,AND(AA389+AB389-AC389=I389+J389-K389,4&lt;1))),1,0)))</x:f>
        <x:v>99</x:v>
      </x:c>
      <x:c r="M389" s="6" t="n">
        <x:f>IF('Debt strategy'!$C$16&gt;0,0,MIN(I389+J389-K389,MAX(0,'Debt strategy'!$C$5-SUM(E389,K389,Q389,W389,AC389)-SUM(IF(F389&lt;L389,C389+D389-E389,0),IF(R389&lt;L389,O389+P389-Q389,0),IF(X389&lt;L389,U389+V389-W389,0),IF(AD389&lt;L389,AA389+AB389-AC389,0)))))</x:f>
        <x:v>0</x:v>
      </x:c>
      <x:c r="N389" s="6" t="n">
        <x:f>ROUND(MAX(0,I389+J389-K389-M389),2)</x:f>
        <x:v>0</x:v>
      </x:c>
      <x:c r="O389" s="6" t="n">
        <x:f>T388</x:f>
        <x:v>0</x:v>
      </x:c>
      <x:c r="P389" s="6" t="n">
        <x:f>ROUND(O389*'Debt strategy'!$D$11/12,2)</x:f>
        <x:v>0</x:v>
      </x:c>
      <x:c r="Q389" s="6" t="n">
        <x:f>MIN(O389+P389,'Debt strategy'!$E$11)</x:f>
        <x:v>0</x:v>
      </x:c>
      <x:c r="R389" s="27" t="n">
        <x:f>IF(O389+P389-Q389&lt;=0,99,1+SUM(IF(AND(C389+D389-E389&gt;0,OR(C389+D389-E389&lt;O389+P389-Q389,AND(C389+D389-E389=O389+P389-Q389,0&lt;2))),1,0),IF(AND(I389+J389-K389&gt;0,OR(I389+J389-K389&lt;O389+P389-Q389,AND(I389+J389-K389=O389+P389-Q389,1&lt;2))),1,0),IF(AND(U389+V389-W389&gt;0,OR(U389+V389-W389&lt;O389+P389-Q389,AND(U389+V389-W389=O389+P389-Q389,3&lt;2))),1,0),IF(AND(AA389+AB389-AC389&gt;0,OR(AA389+AB389-AC389&lt;O389+P389-Q389,AND(AA389+AB389-AC389=O389+P389-Q389,4&lt;2))),1,0)))</x:f>
        <x:v>99</x:v>
      </x:c>
      <x:c r="S389" s="6" t="n">
        <x:f>IF('Debt strategy'!$C$16&gt;0,0,MIN(O389+P389-Q389,MAX(0,'Debt strategy'!$C$5-SUM(E389,K389,Q389,W389,AC389)-SUM(IF(F389&lt;R389,C389+D389-E389,0),IF(L389&lt;R389,I389+J389-K389,0),IF(X389&lt;R389,U389+V389-W389,0),IF(AD389&lt;R389,AA389+AB389-AC389,0)))))</x:f>
        <x:v>0</x:v>
      </x:c>
      <x:c r="T389" s="6" t="n">
        <x:f>ROUND(MAX(0,O389+P389-Q389-S389),2)</x:f>
        <x:v>0</x:v>
      </x:c>
      <x:c r="U389" s="6" t="n">
        <x:f>Z388</x:f>
        <x:v>0</x:v>
      </x:c>
      <x:c r="V389" s="6" t="n">
        <x:f>ROUND(U389*'Debt strategy'!$D$12/12,2)</x:f>
        <x:v>0</x:v>
      </x:c>
      <x:c r="W389" s="6" t="n">
        <x:f>MIN(U389+V389,'Debt strategy'!$E$12)</x:f>
        <x:v>0</x:v>
      </x:c>
      <x:c r="X389" s="27" t="n">
        <x:f>IF(U389+V389-W389&lt;=0,99,1+SUM(IF(AND(C389+D389-E389&gt;0,OR(C389+D389-E389&lt;U389+V389-W389,AND(C389+D389-E389=U389+V389-W389,0&lt;3))),1,0),IF(AND(I389+J389-K389&gt;0,OR(I389+J389-K389&lt;U389+V389-W389,AND(I389+J389-K389=U389+V389-W389,1&lt;3))),1,0),IF(AND(O389+P389-Q389&gt;0,OR(O389+P389-Q389&lt;U389+V389-W389,AND(O389+P389-Q389=U389+V389-W389,2&lt;3))),1,0),IF(AND(AA389+AB389-AC389&gt;0,OR(AA389+AB389-AC389&lt;U389+V389-W389,AND(AA389+AB389-AC389=U389+V389-W389,4&lt;3))),1,0)))</x:f>
        <x:v>99</x:v>
      </x:c>
      <x:c r="Y389" s="6" t="n">
        <x:f>IF('Debt strategy'!$C$16&gt;0,0,MIN(U389+V389-W389,MAX(0,'Debt strategy'!$C$5-SUM(E389,K389,Q389,W389,AC389)-SUM(IF(F389&lt;X389,C389+D389-E389,0),IF(L389&lt;X389,I389+J389-K389,0),IF(R389&lt;X389,O389+P389-Q389,0),IF(AD389&lt;X389,AA389+AB389-AC389,0)))))</x:f>
        <x:v>0</x:v>
      </x:c>
      <x:c r="Z389" s="6" t="n">
        <x:f>ROUND(MAX(0,U389+V389-W389-Y389),2)</x:f>
        <x:v>0</x:v>
      </x:c>
      <x:c r="AA389" s="6" t="n">
        <x:f>AF388</x:f>
        <x:v>0</x:v>
      </x:c>
      <x:c r="AB389" s="6" t="n">
        <x:f>ROUND(AA389*'Debt strategy'!$D$13/12,2)</x:f>
        <x:v>0</x:v>
      </x:c>
      <x:c r="AC389" s="6" t="n">
        <x:f>MIN(AA389+AB389,'Debt strategy'!$E$13)</x:f>
        <x:v>0</x:v>
      </x:c>
      <x:c r="AD389" s="27" t="n">
        <x:f>IF(AA389+AB389-AC389&lt;=0,99,1+SUM(IF(AND(C389+D389-E389&gt;0,OR(C389+D389-E389&lt;AA389+AB389-AC389,AND(C389+D389-E389=AA389+AB389-AC389,0&lt;4))),1,0),IF(AND(I389+J389-K389&gt;0,OR(I389+J389-K389&lt;AA389+AB389-AC389,AND(I389+J389-K389=AA389+AB389-AC389,1&lt;4))),1,0),IF(AND(O389+P389-Q389&gt;0,OR(O389+P389-Q389&lt;AA389+AB389-AC389,AND(O389+P389-Q389=AA389+AB389-AC389,2&lt;4))),1,0),IF(AND(U389+V389-W389&gt;0,OR(U389+V389-W389&lt;AA389+AB389-AC389,AND(U389+V389-W389=AA389+AB389-AC389,3&lt;4))),1,0)))</x:f>
        <x:v>99</x:v>
      </x:c>
      <x:c r="AE389" s="6" t="n">
        <x:f>IF('Debt strategy'!$C$16&gt;0,0,MIN(AA389+AB389-AC389,MAX(0,'Debt strategy'!$C$5-SUM(E389,K389,Q389,W389,AC389)-SUM(IF(F389&lt;AD389,C389+D389-E389,0),IF(L389&lt;AD389,I389+J389-K389,0),IF(R389&lt;AD389,O389+P389-Q389,0),IF(X389&lt;AD389,U389+V389-W389,0)))))</x:f>
        <x:v>0</x:v>
      </x:c>
      <x:c r="AF389" s="6" t="n">
        <x:f>ROUND(MAX(0,AA389+AB389-AC389-AE389),2)</x:f>
        <x:v>0</x:v>
      </x:c>
      <x:c r="AG389" s="6" t="n">
        <x:f>SUM(H389,N389,T389,Z389,AF389)</x:f>
        <x:v>0</x:v>
      </x:c>
      <x:c r="AH389" s="6" t="n">
        <x:f>SUM(D389,J389,P389,V389,AB389)+AH388</x:f>
        <x:v>1353.9499999999996</x:v>
      </x:c>
      <x:c r="AI389" s="2"/>
    </x:row>
    <x:row r="390" ht="23" customHeight="1">
      <x:c r="B390" s="2" t="n">
        <x:f>382</x:f>
        <x:v>382</x:v>
      </x:c>
      <x:c r="C390" s="6" t="n">
        <x:f>H389</x:f>
        <x:v>0</x:v>
      </x:c>
      <x:c r="D390" s="6" t="n">
        <x:f>ROUND(C390*'Debt strategy'!$D$9/12,2)</x:f>
        <x:v>0</x:v>
      </x:c>
      <x:c r="E390" s="6" t="n">
        <x:f>MIN(C390+D390,'Debt strategy'!$E$9)</x:f>
        <x:v>0</x:v>
      </x:c>
      <x:c r="F390" s="27" t="n">
        <x:f>IF(C390+D390-E390&lt;=0,99,1+SUM(IF(AND(I390+J390-K390&gt;0,OR(I390+J390-K390&lt;C390+D390-E390,AND(I390+J390-K390=C390+D390-E390,1&lt;0))),1,0),IF(AND(O390+P390-Q390&gt;0,OR(O390+P390-Q390&lt;C390+D390-E390,AND(O390+P390-Q390=C390+D390-E390,2&lt;0))),1,0),IF(AND(U390+V390-W390&gt;0,OR(U390+V390-W390&lt;C390+D390-E390,AND(U390+V390-W390=C390+D390-E390,3&lt;0))),1,0),IF(AND(AA390+AB390-AC390&gt;0,OR(AA390+AB390-AC390&lt;C390+D390-E390,AND(AA390+AB390-AC390=C390+D390-E390,4&lt;0))),1,0)))</x:f>
        <x:v>99</x:v>
      </x:c>
      <x:c r="G390" s="6" t="n">
        <x:f>IF('Debt strategy'!$C$16&gt;0,0,MIN(C390+D390-E390,MAX(0,'Debt strategy'!$C$5-SUM(E390,K390,Q390,W390,AC390)-SUM(IF(L390&lt;F390,I390+J390-K390,0),IF(R390&lt;F390,O390+P390-Q390,0),IF(X390&lt;F390,U390+V390-W390,0),IF(AD390&lt;F390,AA390+AB390-AC390,0)))))</x:f>
        <x:v>0</x:v>
      </x:c>
      <x:c r="H390" s="6" t="n">
        <x:f>ROUND(MAX(0,C390+D390-E390-G390),2)</x:f>
        <x:v>0</x:v>
      </x:c>
      <x:c r="I390" s="6" t="n">
        <x:f>N389</x:f>
        <x:v>0</x:v>
      </x:c>
      <x:c r="J390" s="6" t="n">
        <x:f>ROUND(I390*'Debt strategy'!$D$10/12,2)</x:f>
        <x:v>0</x:v>
      </x:c>
      <x:c r="K390" s="6" t="n">
        <x:f>MIN(I390+J390,'Debt strategy'!$E$10)</x:f>
        <x:v>0</x:v>
      </x:c>
      <x:c r="L390" s="27" t="n">
        <x:f>IF(I390+J390-K390&lt;=0,99,1+SUM(IF(AND(C390+D390-E390&gt;0,OR(C390+D390-E390&lt;I390+J390-K390,AND(C390+D390-E390=I390+J390-K390,0&lt;1))),1,0),IF(AND(O390+P390-Q390&gt;0,OR(O390+P390-Q390&lt;I390+J390-K390,AND(O390+P390-Q390=I390+J390-K390,2&lt;1))),1,0),IF(AND(U390+V390-W390&gt;0,OR(U390+V390-W390&lt;I390+J390-K390,AND(U390+V390-W390=I390+J390-K390,3&lt;1))),1,0),IF(AND(AA390+AB390-AC390&gt;0,OR(AA390+AB390-AC390&lt;I390+J390-K390,AND(AA390+AB390-AC390=I390+J390-K390,4&lt;1))),1,0)))</x:f>
        <x:v>99</x:v>
      </x:c>
      <x:c r="M390" s="6" t="n">
        <x:f>IF('Debt strategy'!$C$16&gt;0,0,MIN(I390+J390-K390,MAX(0,'Debt strategy'!$C$5-SUM(E390,K390,Q390,W390,AC390)-SUM(IF(F390&lt;L390,C390+D390-E390,0),IF(R390&lt;L390,O390+P390-Q390,0),IF(X390&lt;L390,U390+V390-W390,0),IF(AD390&lt;L390,AA390+AB390-AC390,0)))))</x:f>
        <x:v>0</x:v>
      </x:c>
      <x:c r="N390" s="6" t="n">
        <x:f>ROUND(MAX(0,I390+J390-K390-M390),2)</x:f>
        <x:v>0</x:v>
      </x:c>
      <x:c r="O390" s="6" t="n">
        <x:f>T389</x:f>
        <x:v>0</x:v>
      </x:c>
      <x:c r="P390" s="6" t="n">
        <x:f>ROUND(O390*'Debt strategy'!$D$11/12,2)</x:f>
        <x:v>0</x:v>
      </x:c>
      <x:c r="Q390" s="6" t="n">
        <x:f>MIN(O390+P390,'Debt strategy'!$E$11)</x:f>
        <x:v>0</x:v>
      </x:c>
      <x:c r="R390" s="27" t="n">
        <x:f>IF(O390+P390-Q390&lt;=0,99,1+SUM(IF(AND(C390+D390-E390&gt;0,OR(C390+D390-E390&lt;O390+P390-Q390,AND(C390+D390-E390=O390+P390-Q390,0&lt;2))),1,0),IF(AND(I390+J390-K390&gt;0,OR(I390+J390-K390&lt;O390+P390-Q390,AND(I390+J390-K390=O390+P390-Q390,1&lt;2))),1,0),IF(AND(U390+V390-W390&gt;0,OR(U390+V390-W390&lt;O390+P390-Q390,AND(U390+V390-W390=O390+P390-Q390,3&lt;2))),1,0),IF(AND(AA390+AB390-AC390&gt;0,OR(AA390+AB390-AC390&lt;O390+P390-Q390,AND(AA390+AB390-AC390=O390+P390-Q390,4&lt;2))),1,0)))</x:f>
        <x:v>99</x:v>
      </x:c>
      <x:c r="S390" s="6" t="n">
        <x:f>IF('Debt strategy'!$C$16&gt;0,0,MIN(O390+P390-Q390,MAX(0,'Debt strategy'!$C$5-SUM(E390,K390,Q390,W390,AC390)-SUM(IF(F390&lt;R390,C390+D390-E390,0),IF(L390&lt;R390,I390+J390-K390,0),IF(X390&lt;R390,U390+V390-W390,0),IF(AD390&lt;R390,AA390+AB390-AC390,0)))))</x:f>
        <x:v>0</x:v>
      </x:c>
      <x:c r="T390" s="6" t="n">
        <x:f>ROUND(MAX(0,O390+P390-Q390-S390),2)</x:f>
        <x:v>0</x:v>
      </x:c>
      <x:c r="U390" s="6" t="n">
        <x:f>Z389</x:f>
        <x:v>0</x:v>
      </x:c>
      <x:c r="V390" s="6" t="n">
        <x:f>ROUND(U390*'Debt strategy'!$D$12/12,2)</x:f>
        <x:v>0</x:v>
      </x:c>
      <x:c r="W390" s="6" t="n">
        <x:f>MIN(U390+V390,'Debt strategy'!$E$12)</x:f>
        <x:v>0</x:v>
      </x:c>
      <x:c r="X390" s="27" t="n">
        <x:f>IF(U390+V390-W390&lt;=0,99,1+SUM(IF(AND(C390+D390-E390&gt;0,OR(C390+D390-E390&lt;U390+V390-W390,AND(C390+D390-E390=U390+V390-W390,0&lt;3))),1,0),IF(AND(I390+J390-K390&gt;0,OR(I390+J390-K390&lt;U390+V390-W390,AND(I390+J390-K390=U390+V390-W390,1&lt;3))),1,0),IF(AND(O390+P390-Q390&gt;0,OR(O390+P390-Q390&lt;U390+V390-W390,AND(O390+P390-Q390=U390+V390-W390,2&lt;3))),1,0),IF(AND(AA390+AB390-AC390&gt;0,OR(AA390+AB390-AC390&lt;U390+V390-W390,AND(AA390+AB390-AC390=U390+V390-W390,4&lt;3))),1,0)))</x:f>
        <x:v>99</x:v>
      </x:c>
      <x:c r="Y390" s="6" t="n">
        <x:f>IF('Debt strategy'!$C$16&gt;0,0,MIN(U390+V390-W390,MAX(0,'Debt strategy'!$C$5-SUM(E390,K390,Q390,W390,AC390)-SUM(IF(F390&lt;X390,C390+D390-E390,0),IF(L390&lt;X390,I390+J390-K390,0),IF(R390&lt;X390,O390+P390-Q390,0),IF(AD390&lt;X390,AA390+AB390-AC390,0)))))</x:f>
        <x:v>0</x:v>
      </x:c>
      <x:c r="Z390" s="6" t="n">
        <x:f>ROUND(MAX(0,U390+V390-W390-Y390),2)</x:f>
        <x:v>0</x:v>
      </x:c>
      <x:c r="AA390" s="6" t="n">
        <x:f>AF389</x:f>
        <x:v>0</x:v>
      </x:c>
      <x:c r="AB390" s="6" t="n">
        <x:f>ROUND(AA390*'Debt strategy'!$D$13/12,2)</x:f>
        <x:v>0</x:v>
      </x:c>
      <x:c r="AC390" s="6" t="n">
        <x:f>MIN(AA390+AB390,'Debt strategy'!$E$13)</x:f>
        <x:v>0</x:v>
      </x:c>
      <x:c r="AD390" s="27" t="n">
        <x:f>IF(AA390+AB390-AC390&lt;=0,99,1+SUM(IF(AND(C390+D390-E390&gt;0,OR(C390+D390-E390&lt;AA390+AB390-AC390,AND(C390+D390-E390=AA390+AB390-AC390,0&lt;4))),1,0),IF(AND(I390+J390-K390&gt;0,OR(I390+J390-K390&lt;AA390+AB390-AC390,AND(I390+J390-K390=AA390+AB390-AC390,1&lt;4))),1,0),IF(AND(O390+P390-Q390&gt;0,OR(O390+P390-Q390&lt;AA390+AB390-AC390,AND(O390+P390-Q390=AA390+AB390-AC390,2&lt;4))),1,0),IF(AND(U390+V390-W390&gt;0,OR(U390+V390-W390&lt;AA390+AB390-AC390,AND(U390+V390-W390=AA390+AB390-AC390,3&lt;4))),1,0)))</x:f>
        <x:v>99</x:v>
      </x:c>
      <x:c r="AE390" s="6" t="n">
        <x:f>IF('Debt strategy'!$C$16&gt;0,0,MIN(AA390+AB390-AC390,MAX(0,'Debt strategy'!$C$5-SUM(E390,K390,Q390,W390,AC390)-SUM(IF(F390&lt;AD390,C390+D390-E390,0),IF(L390&lt;AD390,I390+J390-K390,0),IF(R390&lt;AD390,O390+P390-Q390,0),IF(X390&lt;AD390,U390+V390-W390,0)))))</x:f>
        <x:v>0</x:v>
      </x:c>
      <x:c r="AF390" s="6" t="n">
        <x:f>ROUND(MAX(0,AA390+AB390-AC390-AE390),2)</x:f>
        <x:v>0</x:v>
      </x:c>
      <x:c r="AG390" s="6" t="n">
        <x:f>SUM(H390,N390,T390,Z390,AF390)</x:f>
        <x:v>0</x:v>
      </x:c>
      <x:c r="AH390" s="6" t="n">
        <x:f>SUM(D390,J390,P390,V390,AB390)+AH389</x:f>
        <x:v>1353.9499999999996</x:v>
      </x:c>
      <x:c r="AI390" s="2"/>
    </x:row>
    <x:row r="391" ht="23" customHeight="1">
      <x:c r="B391" s="2" t="n">
        <x:f>383</x:f>
        <x:v>383</x:v>
      </x:c>
      <x:c r="C391" s="6" t="n">
        <x:f>H390</x:f>
        <x:v>0</x:v>
      </x:c>
      <x:c r="D391" s="6" t="n">
        <x:f>ROUND(C391*'Debt strategy'!$D$9/12,2)</x:f>
        <x:v>0</x:v>
      </x:c>
      <x:c r="E391" s="6" t="n">
        <x:f>MIN(C391+D391,'Debt strategy'!$E$9)</x:f>
        <x:v>0</x:v>
      </x:c>
      <x:c r="F391" s="27" t="n">
        <x:f>IF(C391+D391-E391&lt;=0,99,1+SUM(IF(AND(I391+J391-K391&gt;0,OR(I391+J391-K391&lt;C391+D391-E391,AND(I391+J391-K391=C391+D391-E391,1&lt;0))),1,0),IF(AND(O391+P391-Q391&gt;0,OR(O391+P391-Q391&lt;C391+D391-E391,AND(O391+P391-Q391=C391+D391-E391,2&lt;0))),1,0),IF(AND(U391+V391-W391&gt;0,OR(U391+V391-W391&lt;C391+D391-E391,AND(U391+V391-W391=C391+D391-E391,3&lt;0))),1,0),IF(AND(AA391+AB391-AC391&gt;0,OR(AA391+AB391-AC391&lt;C391+D391-E391,AND(AA391+AB391-AC391=C391+D391-E391,4&lt;0))),1,0)))</x:f>
        <x:v>99</x:v>
      </x:c>
      <x:c r="G391" s="6" t="n">
        <x:f>IF('Debt strategy'!$C$16&gt;0,0,MIN(C391+D391-E391,MAX(0,'Debt strategy'!$C$5-SUM(E391,K391,Q391,W391,AC391)-SUM(IF(L391&lt;F391,I391+J391-K391,0),IF(R391&lt;F391,O391+P391-Q391,0),IF(X391&lt;F391,U391+V391-W391,0),IF(AD391&lt;F391,AA391+AB391-AC391,0)))))</x:f>
        <x:v>0</x:v>
      </x:c>
      <x:c r="H391" s="6" t="n">
        <x:f>ROUND(MAX(0,C391+D391-E391-G391),2)</x:f>
        <x:v>0</x:v>
      </x:c>
      <x:c r="I391" s="6" t="n">
        <x:f>N390</x:f>
        <x:v>0</x:v>
      </x:c>
      <x:c r="J391" s="6" t="n">
        <x:f>ROUND(I391*'Debt strategy'!$D$10/12,2)</x:f>
        <x:v>0</x:v>
      </x:c>
      <x:c r="K391" s="6" t="n">
        <x:f>MIN(I391+J391,'Debt strategy'!$E$10)</x:f>
        <x:v>0</x:v>
      </x:c>
      <x:c r="L391" s="27" t="n">
        <x:f>IF(I391+J391-K391&lt;=0,99,1+SUM(IF(AND(C391+D391-E391&gt;0,OR(C391+D391-E391&lt;I391+J391-K391,AND(C391+D391-E391=I391+J391-K391,0&lt;1))),1,0),IF(AND(O391+P391-Q391&gt;0,OR(O391+P391-Q391&lt;I391+J391-K391,AND(O391+P391-Q391=I391+J391-K391,2&lt;1))),1,0),IF(AND(U391+V391-W391&gt;0,OR(U391+V391-W391&lt;I391+J391-K391,AND(U391+V391-W391=I391+J391-K391,3&lt;1))),1,0),IF(AND(AA391+AB391-AC391&gt;0,OR(AA391+AB391-AC391&lt;I391+J391-K391,AND(AA391+AB391-AC391=I391+J391-K391,4&lt;1))),1,0)))</x:f>
        <x:v>99</x:v>
      </x:c>
      <x:c r="M391" s="6" t="n">
        <x:f>IF('Debt strategy'!$C$16&gt;0,0,MIN(I391+J391-K391,MAX(0,'Debt strategy'!$C$5-SUM(E391,K391,Q391,W391,AC391)-SUM(IF(F391&lt;L391,C391+D391-E391,0),IF(R391&lt;L391,O391+P391-Q391,0),IF(X391&lt;L391,U391+V391-W391,0),IF(AD391&lt;L391,AA391+AB391-AC391,0)))))</x:f>
        <x:v>0</x:v>
      </x:c>
      <x:c r="N391" s="6" t="n">
        <x:f>ROUND(MAX(0,I391+J391-K391-M391),2)</x:f>
        <x:v>0</x:v>
      </x:c>
      <x:c r="O391" s="6" t="n">
        <x:f>T390</x:f>
        <x:v>0</x:v>
      </x:c>
      <x:c r="P391" s="6" t="n">
        <x:f>ROUND(O391*'Debt strategy'!$D$11/12,2)</x:f>
        <x:v>0</x:v>
      </x:c>
      <x:c r="Q391" s="6" t="n">
        <x:f>MIN(O391+P391,'Debt strategy'!$E$11)</x:f>
        <x:v>0</x:v>
      </x:c>
      <x:c r="R391" s="27" t="n">
        <x:f>IF(O391+P391-Q391&lt;=0,99,1+SUM(IF(AND(C391+D391-E391&gt;0,OR(C391+D391-E391&lt;O391+P391-Q391,AND(C391+D391-E391=O391+P391-Q391,0&lt;2))),1,0),IF(AND(I391+J391-K391&gt;0,OR(I391+J391-K391&lt;O391+P391-Q391,AND(I391+J391-K391=O391+P391-Q391,1&lt;2))),1,0),IF(AND(U391+V391-W391&gt;0,OR(U391+V391-W391&lt;O391+P391-Q391,AND(U391+V391-W391=O391+P391-Q391,3&lt;2))),1,0),IF(AND(AA391+AB391-AC391&gt;0,OR(AA391+AB391-AC391&lt;O391+P391-Q391,AND(AA391+AB391-AC391=O391+P391-Q391,4&lt;2))),1,0)))</x:f>
        <x:v>99</x:v>
      </x:c>
      <x:c r="S391" s="6" t="n">
        <x:f>IF('Debt strategy'!$C$16&gt;0,0,MIN(O391+P391-Q391,MAX(0,'Debt strategy'!$C$5-SUM(E391,K391,Q391,W391,AC391)-SUM(IF(F391&lt;R391,C391+D391-E391,0),IF(L391&lt;R391,I391+J391-K391,0),IF(X391&lt;R391,U391+V391-W391,0),IF(AD391&lt;R391,AA391+AB391-AC391,0)))))</x:f>
        <x:v>0</x:v>
      </x:c>
      <x:c r="T391" s="6" t="n">
        <x:f>ROUND(MAX(0,O391+P391-Q391-S391),2)</x:f>
        <x:v>0</x:v>
      </x:c>
      <x:c r="U391" s="6" t="n">
        <x:f>Z390</x:f>
        <x:v>0</x:v>
      </x:c>
      <x:c r="V391" s="6" t="n">
        <x:f>ROUND(U391*'Debt strategy'!$D$12/12,2)</x:f>
        <x:v>0</x:v>
      </x:c>
      <x:c r="W391" s="6" t="n">
        <x:f>MIN(U391+V391,'Debt strategy'!$E$12)</x:f>
        <x:v>0</x:v>
      </x:c>
      <x:c r="X391" s="27" t="n">
        <x:f>IF(U391+V391-W391&lt;=0,99,1+SUM(IF(AND(C391+D391-E391&gt;0,OR(C391+D391-E391&lt;U391+V391-W391,AND(C391+D391-E391=U391+V391-W391,0&lt;3))),1,0),IF(AND(I391+J391-K391&gt;0,OR(I391+J391-K391&lt;U391+V391-W391,AND(I391+J391-K391=U391+V391-W391,1&lt;3))),1,0),IF(AND(O391+P391-Q391&gt;0,OR(O391+P391-Q391&lt;U391+V391-W391,AND(O391+P391-Q391=U391+V391-W391,2&lt;3))),1,0),IF(AND(AA391+AB391-AC391&gt;0,OR(AA391+AB391-AC391&lt;U391+V391-W391,AND(AA391+AB391-AC391=U391+V391-W391,4&lt;3))),1,0)))</x:f>
        <x:v>99</x:v>
      </x:c>
      <x:c r="Y391" s="6" t="n">
        <x:f>IF('Debt strategy'!$C$16&gt;0,0,MIN(U391+V391-W391,MAX(0,'Debt strategy'!$C$5-SUM(E391,K391,Q391,W391,AC391)-SUM(IF(F391&lt;X391,C391+D391-E391,0),IF(L391&lt;X391,I391+J391-K391,0),IF(R391&lt;X391,O391+P391-Q391,0),IF(AD391&lt;X391,AA391+AB391-AC391,0)))))</x:f>
        <x:v>0</x:v>
      </x:c>
      <x:c r="Z391" s="6" t="n">
        <x:f>ROUND(MAX(0,U391+V391-W391-Y391),2)</x:f>
        <x:v>0</x:v>
      </x:c>
      <x:c r="AA391" s="6" t="n">
        <x:f>AF390</x:f>
        <x:v>0</x:v>
      </x:c>
      <x:c r="AB391" s="6" t="n">
        <x:f>ROUND(AA391*'Debt strategy'!$D$13/12,2)</x:f>
        <x:v>0</x:v>
      </x:c>
      <x:c r="AC391" s="6" t="n">
        <x:f>MIN(AA391+AB391,'Debt strategy'!$E$13)</x:f>
        <x:v>0</x:v>
      </x:c>
      <x:c r="AD391" s="27" t="n">
        <x:f>IF(AA391+AB391-AC391&lt;=0,99,1+SUM(IF(AND(C391+D391-E391&gt;0,OR(C391+D391-E391&lt;AA391+AB391-AC391,AND(C391+D391-E391=AA391+AB391-AC391,0&lt;4))),1,0),IF(AND(I391+J391-K391&gt;0,OR(I391+J391-K391&lt;AA391+AB391-AC391,AND(I391+J391-K391=AA391+AB391-AC391,1&lt;4))),1,0),IF(AND(O391+P391-Q391&gt;0,OR(O391+P391-Q391&lt;AA391+AB391-AC391,AND(O391+P391-Q391=AA391+AB391-AC391,2&lt;4))),1,0),IF(AND(U391+V391-W391&gt;0,OR(U391+V391-W391&lt;AA391+AB391-AC391,AND(U391+V391-W391=AA391+AB391-AC391,3&lt;4))),1,0)))</x:f>
        <x:v>99</x:v>
      </x:c>
      <x:c r="AE391" s="6" t="n">
        <x:f>IF('Debt strategy'!$C$16&gt;0,0,MIN(AA391+AB391-AC391,MAX(0,'Debt strategy'!$C$5-SUM(E391,K391,Q391,W391,AC391)-SUM(IF(F391&lt;AD391,C391+D391-E391,0),IF(L391&lt;AD391,I391+J391-K391,0),IF(R391&lt;AD391,O391+P391-Q391,0),IF(X391&lt;AD391,U391+V391-W391,0)))))</x:f>
        <x:v>0</x:v>
      </x:c>
      <x:c r="AF391" s="6" t="n">
        <x:f>ROUND(MAX(0,AA391+AB391-AC391-AE391),2)</x:f>
        <x:v>0</x:v>
      </x:c>
      <x:c r="AG391" s="6" t="n">
        <x:f>SUM(H391,N391,T391,Z391,AF391)</x:f>
        <x:v>0</x:v>
      </x:c>
      <x:c r="AH391" s="6" t="n">
        <x:f>SUM(D391,J391,P391,V391,AB391)+AH390</x:f>
        <x:v>1353.9499999999996</x:v>
      </x:c>
      <x:c r="AI391" s="2"/>
    </x:row>
    <x:row r="392" ht="23" customHeight="1">
      <x:c r="B392" s="2" t="n">
        <x:f>384</x:f>
        <x:v>384</x:v>
      </x:c>
      <x:c r="C392" s="6" t="n">
        <x:f>H391</x:f>
        <x:v>0</x:v>
      </x:c>
      <x:c r="D392" s="6" t="n">
        <x:f>ROUND(C392*'Debt strategy'!$D$9/12,2)</x:f>
        <x:v>0</x:v>
      </x:c>
      <x:c r="E392" s="6" t="n">
        <x:f>MIN(C392+D392,'Debt strategy'!$E$9)</x:f>
        <x:v>0</x:v>
      </x:c>
      <x:c r="F392" s="27" t="n">
        <x:f>IF(C392+D392-E392&lt;=0,99,1+SUM(IF(AND(I392+J392-K392&gt;0,OR(I392+J392-K392&lt;C392+D392-E392,AND(I392+J392-K392=C392+D392-E392,1&lt;0))),1,0),IF(AND(O392+P392-Q392&gt;0,OR(O392+P392-Q392&lt;C392+D392-E392,AND(O392+P392-Q392=C392+D392-E392,2&lt;0))),1,0),IF(AND(U392+V392-W392&gt;0,OR(U392+V392-W392&lt;C392+D392-E392,AND(U392+V392-W392=C392+D392-E392,3&lt;0))),1,0),IF(AND(AA392+AB392-AC392&gt;0,OR(AA392+AB392-AC392&lt;C392+D392-E392,AND(AA392+AB392-AC392=C392+D392-E392,4&lt;0))),1,0)))</x:f>
        <x:v>99</x:v>
      </x:c>
      <x:c r="G392" s="6" t="n">
        <x:f>IF('Debt strategy'!$C$16&gt;0,0,MIN(C392+D392-E392,MAX(0,'Debt strategy'!$C$5-SUM(E392,K392,Q392,W392,AC392)-SUM(IF(L392&lt;F392,I392+J392-K392,0),IF(R392&lt;F392,O392+P392-Q392,0),IF(X392&lt;F392,U392+V392-W392,0),IF(AD392&lt;F392,AA392+AB392-AC392,0)))))</x:f>
        <x:v>0</x:v>
      </x:c>
      <x:c r="H392" s="6" t="n">
        <x:f>ROUND(MAX(0,C392+D392-E392-G392),2)</x:f>
        <x:v>0</x:v>
      </x:c>
      <x:c r="I392" s="6" t="n">
        <x:f>N391</x:f>
        <x:v>0</x:v>
      </x:c>
      <x:c r="J392" s="6" t="n">
        <x:f>ROUND(I392*'Debt strategy'!$D$10/12,2)</x:f>
        <x:v>0</x:v>
      </x:c>
      <x:c r="K392" s="6" t="n">
        <x:f>MIN(I392+J392,'Debt strategy'!$E$10)</x:f>
        <x:v>0</x:v>
      </x:c>
      <x:c r="L392" s="27" t="n">
        <x:f>IF(I392+J392-K392&lt;=0,99,1+SUM(IF(AND(C392+D392-E392&gt;0,OR(C392+D392-E392&lt;I392+J392-K392,AND(C392+D392-E392=I392+J392-K392,0&lt;1))),1,0),IF(AND(O392+P392-Q392&gt;0,OR(O392+P392-Q392&lt;I392+J392-K392,AND(O392+P392-Q392=I392+J392-K392,2&lt;1))),1,0),IF(AND(U392+V392-W392&gt;0,OR(U392+V392-W392&lt;I392+J392-K392,AND(U392+V392-W392=I392+J392-K392,3&lt;1))),1,0),IF(AND(AA392+AB392-AC392&gt;0,OR(AA392+AB392-AC392&lt;I392+J392-K392,AND(AA392+AB392-AC392=I392+J392-K392,4&lt;1))),1,0)))</x:f>
        <x:v>99</x:v>
      </x:c>
      <x:c r="M392" s="6" t="n">
        <x:f>IF('Debt strategy'!$C$16&gt;0,0,MIN(I392+J392-K392,MAX(0,'Debt strategy'!$C$5-SUM(E392,K392,Q392,W392,AC392)-SUM(IF(F392&lt;L392,C392+D392-E392,0),IF(R392&lt;L392,O392+P392-Q392,0),IF(X392&lt;L392,U392+V392-W392,0),IF(AD392&lt;L392,AA392+AB392-AC392,0)))))</x:f>
        <x:v>0</x:v>
      </x:c>
      <x:c r="N392" s="6" t="n">
        <x:f>ROUND(MAX(0,I392+J392-K392-M392),2)</x:f>
        <x:v>0</x:v>
      </x:c>
      <x:c r="O392" s="6" t="n">
        <x:f>T391</x:f>
        <x:v>0</x:v>
      </x:c>
      <x:c r="P392" s="6" t="n">
        <x:f>ROUND(O392*'Debt strategy'!$D$11/12,2)</x:f>
        <x:v>0</x:v>
      </x:c>
      <x:c r="Q392" s="6" t="n">
        <x:f>MIN(O392+P392,'Debt strategy'!$E$11)</x:f>
        <x:v>0</x:v>
      </x:c>
      <x:c r="R392" s="27" t="n">
        <x:f>IF(O392+P392-Q392&lt;=0,99,1+SUM(IF(AND(C392+D392-E392&gt;0,OR(C392+D392-E392&lt;O392+P392-Q392,AND(C392+D392-E392=O392+P392-Q392,0&lt;2))),1,0),IF(AND(I392+J392-K392&gt;0,OR(I392+J392-K392&lt;O392+P392-Q392,AND(I392+J392-K392=O392+P392-Q392,1&lt;2))),1,0),IF(AND(U392+V392-W392&gt;0,OR(U392+V392-W392&lt;O392+P392-Q392,AND(U392+V392-W392=O392+P392-Q392,3&lt;2))),1,0),IF(AND(AA392+AB392-AC392&gt;0,OR(AA392+AB392-AC392&lt;O392+P392-Q392,AND(AA392+AB392-AC392=O392+P392-Q392,4&lt;2))),1,0)))</x:f>
        <x:v>99</x:v>
      </x:c>
      <x:c r="S392" s="6" t="n">
        <x:f>IF('Debt strategy'!$C$16&gt;0,0,MIN(O392+P392-Q392,MAX(0,'Debt strategy'!$C$5-SUM(E392,K392,Q392,W392,AC392)-SUM(IF(F392&lt;R392,C392+D392-E392,0),IF(L392&lt;R392,I392+J392-K392,0),IF(X392&lt;R392,U392+V392-W392,0),IF(AD392&lt;R392,AA392+AB392-AC392,0)))))</x:f>
        <x:v>0</x:v>
      </x:c>
      <x:c r="T392" s="6" t="n">
        <x:f>ROUND(MAX(0,O392+P392-Q392-S392),2)</x:f>
        <x:v>0</x:v>
      </x:c>
      <x:c r="U392" s="6" t="n">
        <x:f>Z391</x:f>
        <x:v>0</x:v>
      </x:c>
      <x:c r="V392" s="6" t="n">
        <x:f>ROUND(U392*'Debt strategy'!$D$12/12,2)</x:f>
        <x:v>0</x:v>
      </x:c>
      <x:c r="W392" s="6" t="n">
        <x:f>MIN(U392+V392,'Debt strategy'!$E$12)</x:f>
        <x:v>0</x:v>
      </x:c>
      <x:c r="X392" s="27" t="n">
        <x:f>IF(U392+V392-W392&lt;=0,99,1+SUM(IF(AND(C392+D392-E392&gt;0,OR(C392+D392-E392&lt;U392+V392-W392,AND(C392+D392-E392=U392+V392-W392,0&lt;3))),1,0),IF(AND(I392+J392-K392&gt;0,OR(I392+J392-K392&lt;U392+V392-W392,AND(I392+J392-K392=U392+V392-W392,1&lt;3))),1,0),IF(AND(O392+P392-Q392&gt;0,OR(O392+P392-Q392&lt;U392+V392-W392,AND(O392+P392-Q392=U392+V392-W392,2&lt;3))),1,0),IF(AND(AA392+AB392-AC392&gt;0,OR(AA392+AB392-AC392&lt;U392+V392-W392,AND(AA392+AB392-AC392=U392+V392-W392,4&lt;3))),1,0)))</x:f>
        <x:v>99</x:v>
      </x:c>
      <x:c r="Y392" s="6" t="n">
        <x:f>IF('Debt strategy'!$C$16&gt;0,0,MIN(U392+V392-W392,MAX(0,'Debt strategy'!$C$5-SUM(E392,K392,Q392,W392,AC392)-SUM(IF(F392&lt;X392,C392+D392-E392,0),IF(L392&lt;X392,I392+J392-K392,0),IF(R392&lt;X392,O392+P392-Q392,0),IF(AD392&lt;X392,AA392+AB392-AC392,0)))))</x:f>
        <x:v>0</x:v>
      </x:c>
      <x:c r="Z392" s="6" t="n">
        <x:f>ROUND(MAX(0,U392+V392-W392-Y392),2)</x:f>
        <x:v>0</x:v>
      </x:c>
      <x:c r="AA392" s="6" t="n">
        <x:f>AF391</x:f>
        <x:v>0</x:v>
      </x:c>
      <x:c r="AB392" s="6" t="n">
        <x:f>ROUND(AA392*'Debt strategy'!$D$13/12,2)</x:f>
        <x:v>0</x:v>
      </x:c>
      <x:c r="AC392" s="6" t="n">
        <x:f>MIN(AA392+AB392,'Debt strategy'!$E$13)</x:f>
        <x:v>0</x:v>
      </x:c>
      <x:c r="AD392" s="27" t="n">
        <x:f>IF(AA392+AB392-AC392&lt;=0,99,1+SUM(IF(AND(C392+D392-E392&gt;0,OR(C392+D392-E392&lt;AA392+AB392-AC392,AND(C392+D392-E392=AA392+AB392-AC392,0&lt;4))),1,0),IF(AND(I392+J392-K392&gt;0,OR(I392+J392-K392&lt;AA392+AB392-AC392,AND(I392+J392-K392=AA392+AB392-AC392,1&lt;4))),1,0),IF(AND(O392+P392-Q392&gt;0,OR(O392+P392-Q392&lt;AA392+AB392-AC392,AND(O392+P392-Q392=AA392+AB392-AC392,2&lt;4))),1,0),IF(AND(U392+V392-W392&gt;0,OR(U392+V392-W392&lt;AA392+AB392-AC392,AND(U392+V392-W392=AA392+AB392-AC392,3&lt;4))),1,0)))</x:f>
        <x:v>99</x:v>
      </x:c>
      <x:c r="AE392" s="6" t="n">
        <x:f>IF('Debt strategy'!$C$16&gt;0,0,MIN(AA392+AB392-AC392,MAX(0,'Debt strategy'!$C$5-SUM(E392,K392,Q392,W392,AC392)-SUM(IF(F392&lt;AD392,C392+D392-E392,0),IF(L392&lt;AD392,I392+J392-K392,0),IF(R392&lt;AD392,O392+P392-Q392,0),IF(X392&lt;AD392,U392+V392-W392,0)))))</x:f>
        <x:v>0</x:v>
      </x:c>
      <x:c r="AF392" s="6" t="n">
        <x:f>ROUND(MAX(0,AA392+AB392-AC392-AE392),2)</x:f>
        <x:v>0</x:v>
      </x:c>
      <x:c r="AG392" s="6" t="n">
        <x:f>SUM(H392,N392,T392,Z392,AF392)</x:f>
        <x:v>0</x:v>
      </x:c>
      <x:c r="AH392" s="6" t="n">
        <x:f>SUM(D392,J392,P392,V392,AB392)+AH391</x:f>
        <x:v>1353.9499999999996</x:v>
      </x:c>
      <x:c r="AI392" s="2"/>
    </x:row>
    <x:row r="393" ht="23" customHeight="1">
      <x:c r="B393" s="2" t="n">
        <x:f>385</x:f>
        <x:v>385</x:v>
      </x:c>
      <x:c r="C393" s="6" t="n">
        <x:f>H392</x:f>
        <x:v>0</x:v>
      </x:c>
      <x:c r="D393" s="6" t="n">
        <x:f>ROUND(C393*'Debt strategy'!$D$9/12,2)</x:f>
        <x:v>0</x:v>
      </x:c>
      <x:c r="E393" s="6" t="n">
        <x:f>MIN(C393+D393,'Debt strategy'!$E$9)</x:f>
        <x:v>0</x:v>
      </x:c>
      <x:c r="F393" s="27" t="n">
        <x:f>IF(C393+D393-E393&lt;=0,99,1+SUM(IF(AND(I393+J393-K393&gt;0,OR(I393+J393-K393&lt;C393+D393-E393,AND(I393+J393-K393=C393+D393-E393,1&lt;0))),1,0),IF(AND(O393+P393-Q393&gt;0,OR(O393+P393-Q393&lt;C393+D393-E393,AND(O393+P393-Q393=C393+D393-E393,2&lt;0))),1,0),IF(AND(U393+V393-W393&gt;0,OR(U393+V393-W393&lt;C393+D393-E393,AND(U393+V393-W393=C393+D393-E393,3&lt;0))),1,0),IF(AND(AA393+AB393-AC393&gt;0,OR(AA393+AB393-AC393&lt;C393+D393-E393,AND(AA393+AB393-AC393=C393+D393-E393,4&lt;0))),1,0)))</x:f>
        <x:v>99</x:v>
      </x:c>
      <x:c r="G393" s="6" t="n">
        <x:f>IF('Debt strategy'!$C$16&gt;0,0,MIN(C393+D393-E393,MAX(0,'Debt strategy'!$C$5-SUM(E393,K393,Q393,W393,AC393)-SUM(IF(L393&lt;F393,I393+J393-K393,0),IF(R393&lt;F393,O393+P393-Q393,0),IF(X393&lt;F393,U393+V393-W393,0),IF(AD393&lt;F393,AA393+AB393-AC393,0)))))</x:f>
        <x:v>0</x:v>
      </x:c>
      <x:c r="H393" s="6" t="n">
        <x:f>ROUND(MAX(0,C393+D393-E393-G393),2)</x:f>
        <x:v>0</x:v>
      </x:c>
      <x:c r="I393" s="6" t="n">
        <x:f>N392</x:f>
        <x:v>0</x:v>
      </x:c>
      <x:c r="J393" s="6" t="n">
        <x:f>ROUND(I393*'Debt strategy'!$D$10/12,2)</x:f>
        <x:v>0</x:v>
      </x:c>
      <x:c r="K393" s="6" t="n">
        <x:f>MIN(I393+J393,'Debt strategy'!$E$10)</x:f>
        <x:v>0</x:v>
      </x:c>
      <x:c r="L393" s="27" t="n">
        <x:f>IF(I393+J393-K393&lt;=0,99,1+SUM(IF(AND(C393+D393-E393&gt;0,OR(C393+D393-E393&lt;I393+J393-K393,AND(C393+D393-E393=I393+J393-K393,0&lt;1))),1,0),IF(AND(O393+P393-Q393&gt;0,OR(O393+P393-Q393&lt;I393+J393-K393,AND(O393+P393-Q393=I393+J393-K393,2&lt;1))),1,0),IF(AND(U393+V393-W393&gt;0,OR(U393+V393-W393&lt;I393+J393-K393,AND(U393+V393-W393=I393+J393-K393,3&lt;1))),1,0),IF(AND(AA393+AB393-AC393&gt;0,OR(AA393+AB393-AC393&lt;I393+J393-K393,AND(AA393+AB393-AC393=I393+J393-K393,4&lt;1))),1,0)))</x:f>
        <x:v>99</x:v>
      </x:c>
      <x:c r="M393" s="6" t="n">
        <x:f>IF('Debt strategy'!$C$16&gt;0,0,MIN(I393+J393-K393,MAX(0,'Debt strategy'!$C$5-SUM(E393,K393,Q393,W393,AC393)-SUM(IF(F393&lt;L393,C393+D393-E393,0),IF(R393&lt;L393,O393+P393-Q393,0),IF(X393&lt;L393,U393+V393-W393,0),IF(AD393&lt;L393,AA393+AB393-AC393,0)))))</x:f>
        <x:v>0</x:v>
      </x:c>
      <x:c r="N393" s="6" t="n">
        <x:f>ROUND(MAX(0,I393+J393-K393-M393),2)</x:f>
        <x:v>0</x:v>
      </x:c>
      <x:c r="O393" s="6" t="n">
        <x:f>T392</x:f>
        <x:v>0</x:v>
      </x:c>
      <x:c r="P393" s="6" t="n">
        <x:f>ROUND(O393*'Debt strategy'!$D$11/12,2)</x:f>
        <x:v>0</x:v>
      </x:c>
      <x:c r="Q393" s="6" t="n">
        <x:f>MIN(O393+P393,'Debt strategy'!$E$11)</x:f>
        <x:v>0</x:v>
      </x:c>
      <x:c r="R393" s="27" t="n">
        <x:f>IF(O393+P393-Q393&lt;=0,99,1+SUM(IF(AND(C393+D393-E393&gt;0,OR(C393+D393-E393&lt;O393+P393-Q393,AND(C393+D393-E393=O393+P393-Q393,0&lt;2))),1,0),IF(AND(I393+J393-K393&gt;0,OR(I393+J393-K393&lt;O393+P393-Q393,AND(I393+J393-K393=O393+P393-Q393,1&lt;2))),1,0),IF(AND(U393+V393-W393&gt;0,OR(U393+V393-W393&lt;O393+P393-Q393,AND(U393+V393-W393=O393+P393-Q393,3&lt;2))),1,0),IF(AND(AA393+AB393-AC393&gt;0,OR(AA393+AB393-AC393&lt;O393+P393-Q393,AND(AA393+AB393-AC393=O393+P393-Q393,4&lt;2))),1,0)))</x:f>
        <x:v>99</x:v>
      </x:c>
      <x:c r="S393" s="6" t="n">
        <x:f>IF('Debt strategy'!$C$16&gt;0,0,MIN(O393+P393-Q393,MAX(0,'Debt strategy'!$C$5-SUM(E393,K393,Q393,W393,AC393)-SUM(IF(F393&lt;R393,C393+D393-E393,0),IF(L393&lt;R393,I393+J393-K393,0),IF(X393&lt;R393,U393+V393-W393,0),IF(AD393&lt;R393,AA393+AB393-AC393,0)))))</x:f>
        <x:v>0</x:v>
      </x:c>
      <x:c r="T393" s="6" t="n">
        <x:f>ROUND(MAX(0,O393+P393-Q393-S393),2)</x:f>
        <x:v>0</x:v>
      </x:c>
      <x:c r="U393" s="6" t="n">
        <x:f>Z392</x:f>
        <x:v>0</x:v>
      </x:c>
      <x:c r="V393" s="6" t="n">
        <x:f>ROUND(U393*'Debt strategy'!$D$12/12,2)</x:f>
        <x:v>0</x:v>
      </x:c>
      <x:c r="W393" s="6" t="n">
        <x:f>MIN(U393+V393,'Debt strategy'!$E$12)</x:f>
        <x:v>0</x:v>
      </x:c>
      <x:c r="X393" s="27" t="n">
        <x:f>IF(U393+V393-W393&lt;=0,99,1+SUM(IF(AND(C393+D393-E393&gt;0,OR(C393+D393-E393&lt;U393+V393-W393,AND(C393+D393-E393=U393+V393-W393,0&lt;3))),1,0),IF(AND(I393+J393-K393&gt;0,OR(I393+J393-K393&lt;U393+V393-W393,AND(I393+J393-K393=U393+V393-W393,1&lt;3))),1,0),IF(AND(O393+P393-Q393&gt;0,OR(O393+P393-Q393&lt;U393+V393-W393,AND(O393+P393-Q393=U393+V393-W393,2&lt;3))),1,0),IF(AND(AA393+AB393-AC393&gt;0,OR(AA393+AB393-AC393&lt;U393+V393-W393,AND(AA393+AB393-AC393=U393+V393-W393,4&lt;3))),1,0)))</x:f>
        <x:v>99</x:v>
      </x:c>
      <x:c r="Y393" s="6" t="n">
        <x:f>IF('Debt strategy'!$C$16&gt;0,0,MIN(U393+V393-W393,MAX(0,'Debt strategy'!$C$5-SUM(E393,K393,Q393,W393,AC393)-SUM(IF(F393&lt;X393,C393+D393-E393,0),IF(L393&lt;X393,I393+J393-K393,0),IF(R393&lt;X393,O393+P393-Q393,0),IF(AD393&lt;X393,AA393+AB393-AC393,0)))))</x:f>
        <x:v>0</x:v>
      </x:c>
      <x:c r="Z393" s="6" t="n">
        <x:f>ROUND(MAX(0,U393+V393-W393-Y393),2)</x:f>
        <x:v>0</x:v>
      </x:c>
      <x:c r="AA393" s="6" t="n">
        <x:f>AF392</x:f>
        <x:v>0</x:v>
      </x:c>
      <x:c r="AB393" s="6" t="n">
        <x:f>ROUND(AA393*'Debt strategy'!$D$13/12,2)</x:f>
        <x:v>0</x:v>
      </x:c>
      <x:c r="AC393" s="6" t="n">
        <x:f>MIN(AA393+AB393,'Debt strategy'!$E$13)</x:f>
        <x:v>0</x:v>
      </x:c>
      <x:c r="AD393" s="27" t="n">
        <x:f>IF(AA393+AB393-AC393&lt;=0,99,1+SUM(IF(AND(C393+D393-E393&gt;0,OR(C393+D393-E393&lt;AA393+AB393-AC393,AND(C393+D393-E393=AA393+AB393-AC393,0&lt;4))),1,0),IF(AND(I393+J393-K393&gt;0,OR(I393+J393-K393&lt;AA393+AB393-AC393,AND(I393+J393-K393=AA393+AB393-AC393,1&lt;4))),1,0),IF(AND(O393+P393-Q393&gt;0,OR(O393+P393-Q393&lt;AA393+AB393-AC393,AND(O393+P393-Q393=AA393+AB393-AC393,2&lt;4))),1,0),IF(AND(U393+V393-W393&gt;0,OR(U393+V393-W393&lt;AA393+AB393-AC393,AND(U393+V393-W393=AA393+AB393-AC393,3&lt;4))),1,0)))</x:f>
        <x:v>99</x:v>
      </x:c>
      <x:c r="AE393" s="6" t="n">
        <x:f>IF('Debt strategy'!$C$16&gt;0,0,MIN(AA393+AB393-AC393,MAX(0,'Debt strategy'!$C$5-SUM(E393,K393,Q393,W393,AC393)-SUM(IF(F393&lt;AD393,C393+D393-E393,0),IF(L393&lt;AD393,I393+J393-K393,0),IF(R393&lt;AD393,O393+P393-Q393,0),IF(X393&lt;AD393,U393+V393-W393,0)))))</x:f>
        <x:v>0</x:v>
      </x:c>
      <x:c r="AF393" s="6" t="n">
        <x:f>ROUND(MAX(0,AA393+AB393-AC393-AE393),2)</x:f>
        <x:v>0</x:v>
      </x:c>
      <x:c r="AG393" s="6" t="n">
        <x:f>SUM(H393,N393,T393,Z393,AF393)</x:f>
        <x:v>0</x:v>
      </x:c>
      <x:c r="AH393" s="6" t="n">
        <x:f>SUM(D393,J393,P393,V393,AB393)+AH392</x:f>
        <x:v>1353.9499999999996</x:v>
      </x:c>
      <x:c r="AI393" s="2"/>
    </x:row>
    <x:row r="394" ht="23" customHeight="1">
      <x:c r="B394" s="2" t="n">
        <x:f>386</x:f>
        <x:v>386</x:v>
      </x:c>
      <x:c r="C394" s="6" t="n">
        <x:f>H393</x:f>
        <x:v>0</x:v>
      </x:c>
      <x:c r="D394" s="6" t="n">
        <x:f>ROUND(C394*'Debt strategy'!$D$9/12,2)</x:f>
        <x:v>0</x:v>
      </x:c>
      <x:c r="E394" s="6" t="n">
        <x:f>MIN(C394+D394,'Debt strategy'!$E$9)</x:f>
        <x:v>0</x:v>
      </x:c>
      <x:c r="F394" s="27" t="n">
        <x:f>IF(C394+D394-E394&lt;=0,99,1+SUM(IF(AND(I394+J394-K394&gt;0,OR(I394+J394-K394&lt;C394+D394-E394,AND(I394+J394-K394=C394+D394-E394,1&lt;0))),1,0),IF(AND(O394+P394-Q394&gt;0,OR(O394+P394-Q394&lt;C394+D394-E394,AND(O394+P394-Q394=C394+D394-E394,2&lt;0))),1,0),IF(AND(U394+V394-W394&gt;0,OR(U394+V394-W394&lt;C394+D394-E394,AND(U394+V394-W394=C394+D394-E394,3&lt;0))),1,0),IF(AND(AA394+AB394-AC394&gt;0,OR(AA394+AB394-AC394&lt;C394+D394-E394,AND(AA394+AB394-AC394=C394+D394-E394,4&lt;0))),1,0)))</x:f>
        <x:v>99</x:v>
      </x:c>
      <x:c r="G394" s="6" t="n">
        <x:f>IF('Debt strategy'!$C$16&gt;0,0,MIN(C394+D394-E394,MAX(0,'Debt strategy'!$C$5-SUM(E394,K394,Q394,W394,AC394)-SUM(IF(L394&lt;F394,I394+J394-K394,0),IF(R394&lt;F394,O394+P394-Q394,0),IF(X394&lt;F394,U394+V394-W394,0),IF(AD394&lt;F394,AA394+AB394-AC394,0)))))</x:f>
        <x:v>0</x:v>
      </x:c>
      <x:c r="H394" s="6" t="n">
        <x:f>ROUND(MAX(0,C394+D394-E394-G394),2)</x:f>
        <x:v>0</x:v>
      </x:c>
      <x:c r="I394" s="6" t="n">
        <x:f>N393</x:f>
        <x:v>0</x:v>
      </x:c>
      <x:c r="J394" s="6" t="n">
        <x:f>ROUND(I394*'Debt strategy'!$D$10/12,2)</x:f>
        <x:v>0</x:v>
      </x:c>
      <x:c r="K394" s="6" t="n">
        <x:f>MIN(I394+J394,'Debt strategy'!$E$10)</x:f>
        <x:v>0</x:v>
      </x:c>
      <x:c r="L394" s="27" t="n">
        <x:f>IF(I394+J394-K394&lt;=0,99,1+SUM(IF(AND(C394+D394-E394&gt;0,OR(C394+D394-E394&lt;I394+J394-K394,AND(C394+D394-E394=I394+J394-K394,0&lt;1))),1,0),IF(AND(O394+P394-Q394&gt;0,OR(O394+P394-Q394&lt;I394+J394-K394,AND(O394+P394-Q394=I394+J394-K394,2&lt;1))),1,0),IF(AND(U394+V394-W394&gt;0,OR(U394+V394-W394&lt;I394+J394-K394,AND(U394+V394-W394=I394+J394-K394,3&lt;1))),1,0),IF(AND(AA394+AB394-AC394&gt;0,OR(AA394+AB394-AC394&lt;I394+J394-K394,AND(AA394+AB394-AC394=I394+J394-K394,4&lt;1))),1,0)))</x:f>
        <x:v>99</x:v>
      </x:c>
      <x:c r="M394" s="6" t="n">
        <x:f>IF('Debt strategy'!$C$16&gt;0,0,MIN(I394+J394-K394,MAX(0,'Debt strategy'!$C$5-SUM(E394,K394,Q394,W394,AC394)-SUM(IF(F394&lt;L394,C394+D394-E394,0),IF(R394&lt;L394,O394+P394-Q394,0),IF(X394&lt;L394,U394+V394-W394,0),IF(AD394&lt;L394,AA394+AB394-AC394,0)))))</x:f>
        <x:v>0</x:v>
      </x:c>
      <x:c r="N394" s="6" t="n">
        <x:f>ROUND(MAX(0,I394+J394-K394-M394),2)</x:f>
        <x:v>0</x:v>
      </x:c>
      <x:c r="O394" s="6" t="n">
        <x:f>T393</x:f>
        <x:v>0</x:v>
      </x:c>
      <x:c r="P394" s="6" t="n">
        <x:f>ROUND(O394*'Debt strategy'!$D$11/12,2)</x:f>
        <x:v>0</x:v>
      </x:c>
      <x:c r="Q394" s="6" t="n">
        <x:f>MIN(O394+P394,'Debt strategy'!$E$11)</x:f>
        <x:v>0</x:v>
      </x:c>
      <x:c r="R394" s="27" t="n">
        <x:f>IF(O394+P394-Q394&lt;=0,99,1+SUM(IF(AND(C394+D394-E394&gt;0,OR(C394+D394-E394&lt;O394+P394-Q394,AND(C394+D394-E394=O394+P394-Q394,0&lt;2))),1,0),IF(AND(I394+J394-K394&gt;0,OR(I394+J394-K394&lt;O394+P394-Q394,AND(I394+J394-K394=O394+P394-Q394,1&lt;2))),1,0),IF(AND(U394+V394-W394&gt;0,OR(U394+V394-W394&lt;O394+P394-Q394,AND(U394+V394-W394=O394+P394-Q394,3&lt;2))),1,0),IF(AND(AA394+AB394-AC394&gt;0,OR(AA394+AB394-AC394&lt;O394+P394-Q394,AND(AA394+AB394-AC394=O394+P394-Q394,4&lt;2))),1,0)))</x:f>
        <x:v>99</x:v>
      </x:c>
      <x:c r="S394" s="6" t="n">
        <x:f>IF('Debt strategy'!$C$16&gt;0,0,MIN(O394+P394-Q394,MAX(0,'Debt strategy'!$C$5-SUM(E394,K394,Q394,W394,AC394)-SUM(IF(F394&lt;R394,C394+D394-E394,0),IF(L394&lt;R394,I394+J394-K394,0),IF(X394&lt;R394,U394+V394-W394,0),IF(AD394&lt;R394,AA394+AB394-AC394,0)))))</x:f>
        <x:v>0</x:v>
      </x:c>
      <x:c r="T394" s="6" t="n">
        <x:f>ROUND(MAX(0,O394+P394-Q394-S394),2)</x:f>
        <x:v>0</x:v>
      </x:c>
      <x:c r="U394" s="6" t="n">
        <x:f>Z393</x:f>
        <x:v>0</x:v>
      </x:c>
      <x:c r="V394" s="6" t="n">
        <x:f>ROUND(U394*'Debt strategy'!$D$12/12,2)</x:f>
        <x:v>0</x:v>
      </x:c>
      <x:c r="W394" s="6" t="n">
        <x:f>MIN(U394+V394,'Debt strategy'!$E$12)</x:f>
        <x:v>0</x:v>
      </x:c>
      <x:c r="X394" s="27" t="n">
        <x:f>IF(U394+V394-W394&lt;=0,99,1+SUM(IF(AND(C394+D394-E394&gt;0,OR(C394+D394-E394&lt;U394+V394-W394,AND(C394+D394-E394=U394+V394-W394,0&lt;3))),1,0),IF(AND(I394+J394-K394&gt;0,OR(I394+J394-K394&lt;U394+V394-W394,AND(I394+J394-K394=U394+V394-W394,1&lt;3))),1,0),IF(AND(O394+P394-Q394&gt;0,OR(O394+P394-Q394&lt;U394+V394-W394,AND(O394+P394-Q394=U394+V394-W394,2&lt;3))),1,0),IF(AND(AA394+AB394-AC394&gt;0,OR(AA394+AB394-AC394&lt;U394+V394-W394,AND(AA394+AB394-AC394=U394+V394-W394,4&lt;3))),1,0)))</x:f>
        <x:v>99</x:v>
      </x:c>
      <x:c r="Y394" s="6" t="n">
        <x:f>IF('Debt strategy'!$C$16&gt;0,0,MIN(U394+V394-W394,MAX(0,'Debt strategy'!$C$5-SUM(E394,K394,Q394,W394,AC394)-SUM(IF(F394&lt;X394,C394+D394-E394,0),IF(L394&lt;X394,I394+J394-K394,0),IF(R394&lt;X394,O394+P394-Q394,0),IF(AD394&lt;X394,AA394+AB394-AC394,0)))))</x:f>
        <x:v>0</x:v>
      </x:c>
      <x:c r="Z394" s="6" t="n">
        <x:f>ROUND(MAX(0,U394+V394-W394-Y394),2)</x:f>
        <x:v>0</x:v>
      </x:c>
      <x:c r="AA394" s="6" t="n">
        <x:f>AF393</x:f>
        <x:v>0</x:v>
      </x:c>
      <x:c r="AB394" s="6" t="n">
        <x:f>ROUND(AA394*'Debt strategy'!$D$13/12,2)</x:f>
        <x:v>0</x:v>
      </x:c>
      <x:c r="AC394" s="6" t="n">
        <x:f>MIN(AA394+AB394,'Debt strategy'!$E$13)</x:f>
        <x:v>0</x:v>
      </x:c>
      <x:c r="AD394" s="27" t="n">
        <x:f>IF(AA394+AB394-AC394&lt;=0,99,1+SUM(IF(AND(C394+D394-E394&gt;0,OR(C394+D394-E394&lt;AA394+AB394-AC394,AND(C394+D394-E394=AA394+AB394-AC394,0&lt;4))),1,0),IF(AND(I394+J394-K394&gt;0,OR(I394+J394-K394&lt;AA394+AB394-AC394,AND(I394+J394-K394=AA394+AB394-AC394,1&lt;4))),1,0),IF(AND(O394+P394-Q394&gt;0,OR(O394+P394-Q394&lt;AA394+AB394-AC394,AND(O394+P394-Q394=AA394+AB394-AC394,2&lt;4))),1,0),IF(AND(U394+V394-W394&gt;0,OR(U394+V394-W394&lt;AA394+AB394-AC394,AND(U394+V394-W394=AA394+AB394-AC394,3&lt;4))),1,0)))</x:f>
        <x:v>99</x:v>
      </x:c>
      <x:c r="AE394" s="6" t="n">
        <x:f>IF('Debt strategy'!$C$16&gt;0,0,MIN(AA394+AB394-AC394,MAX(0,'Debt strategy'!$C$5-SUM(E394,K394,Q394,W394,AC394)-SUM(IF(F394&lt;AD394,C394+D394-E394,0),IF(L394&lt;AD394,I394+J394-K394,0),IF(R394&lt;AD394,O394+P394-Q394,0),IF(X394&lt;AD394,U394+V394-W394,0)))))</x:f>
        <x:v>0</x:v>
      </x:c>
      <x:c r="AF394" s="6" t="n">
        <x:f>ROUND(MAX(0,AA394+AB394-AC394-AE394),2)</x:f>
        <x:v>0</x:v>
      </x:c>
      <x:c r="AG394" s="6" t="n">
        <x:f>SUM(H394,N394,T394,Z394,AF394)</x:f>
        <x:v>0</x:v>
      </x:c>
      <x:c r="AH394" s="6" t="n">
        <x:f>SUM(D394,J394,P394,V394,AB394)+AH393</x:f>
        <x:v>1353.9499999999996</x:v>
      </x:c>
      <x:c r="AI394" s="2"/>
    </x:row>
    <x:row r="395" ht="23" customHeight="1">
      <x:c r="B395" s="2" t="n">
        <x:f>387</x:f>
        <x:v>387</x:v>
      </x:c>
      <x:c r="C395" s="6" t="n">
        <x:f>H394</x:f>
        <x:v>0</x:v>
      </x:c>
      <x:c r="D395" s="6" t="n">
        <x:f>ROUND(C395*'Debt strategy'!$D$9/12,2)</x:f>
        <x:v>0</x:v>
      </x:c>
      <x:c r="E395" s="6" t="n">
        <x:f>MIN(C395+D395,'Debt strategy'!$E$9)</x:f>
        <x:v>0</x:v>
      </x:c>
      <x:c r="F395" s="27" t="n">
        <x:f>IF(C395+D395-E395&lt;=0,99,1+SUM(IF(AND(I395+J395-K395&gt;0,OR(I395+J395-K395&lt;C395+D395-E395,AND(I395+J395-K395=C395+D395-E395,1&lt;0))),1,0),IF(AND(O395+P395-Q395&gt;0,OR(O395+P395-Q395&lt;C395+D395-E395,AND(O395+P395-Q395=C395+D395-E395,2&lt;0))),1,0),IF(AND(U395+V395-W395&gt;0,OR(U395+V395-W395&lt;C395+D395-E395,AND(U395+V395-W395=C395+D395-E395,3&lt;0))),1,0),IF(AND(AA395+AB395-AC395&gt;0,OR(AA395+AB395-AC395&lt;C395+D395-E395,AND(AA395+AB395-AC395=C395+D395-E395,4&lt;0))),1,0)))</x:f>
        <x:v>99</x:v>
      </x:c>
      <x:c r="G395" s="6" t="n">
        <x:f>IF('Debt strategy'!$C$16&gt;0,0,MIN(C395+D395-E395,MAX(0,'Debt strategy'!$C$5-SUM(E395,K395,Q395,W395,AC395)-SUM(IF(L395&lt;F395,I395+J395-K395,0),IF(R395&lt;F395,O395+P395-Q395,0),IF(X395&lt;F395,U395+V395-W395,0),IF(AD395&lt;F395,AA395+AB395-AC395,0)))))</x:f>
        <x:v>0</x:v>
      </x:c>
      <x:c r="H395" s="6" t="n">
        <x:f>ROUND(MAX(0,C395+D395-E395-G395),2)</x:f>
        <x:v>0</x:v>
      </x:c>
      <x:c r="I395" s="6" t="n">
        <x:f>N394</x:f>
        <x:v>0</x:v>
      </x:c>
      <x:c r="J395" s="6" t="n">
        <x:f>ROUND(I395*'Debt strategy'!$D$10/12,2)</x:f>
        <x:v>0</x:v>
      </x:c>
      <x:c r="K395" s="6" t="n">
        <x:f>MIN(I395+J395,'Debt strategy'!$E$10)</x:f>
        <x:v>0</x:v>
      </x:c>
      <x:c r="L395" s="27" t="n">
        <x:f>IF(I395+J395-K395&lt;=0,99,1+SUM(IF(AND(C395+D395-E395&gt;0,OR(C395+D395-E395&lt;I395+J395-K395,AND(C395+D395-E395=I395+J395-K395,0&lt;1))),1,0),IF(AND(O395+P395-Q395&gt;0,OR(O395+P395-Q395&lt;I395+J395-K395,AND(O395+P395-Q395=I395+J395-K395,2&lt;1))),1,0),IF(AND(U395+V395-W395&gt;0,OR(U395+V395-W395&lt;I395+J395-K395,AND(U395+V395-W395=I395+J395-K395,3&lt;1))),1,0),IF(AND(AA395+AB395-AC395&gt;0,OR(AA395+AB395-AC395&lt;I395+J395-K395,AND(AA395+AB395-AC395=I395+J395-K395,4&lt;1))),1,0)))</x:f>
        <x:v>99</x:v>
      </x:c>
      <x:c r="M395" s="6" t="n">
        <x:f>IF('Debt strategy'!$C$16&gt;0,0,MIN(I395+J395-K395,MAX(0,'Debt strategy'!$C$5-SUM(E395,K395,Q395,W395,AC395)-SUM(IF(F395&lt;L395,C395+D395-E395,0),IF(R395&lt;L395,O395+P395-Q395,0),IF(X395&lt;L395,U395+V395-W395,0),IF(AD395&lt;L395,AA395+AB395-AC395,0)))))</x:f>
        <x:v>0</x:v>
      </x:c>
      <x:c r="N395" s="6" t="n">
        <x:f>ROUND(MAX(0,I395+J395-K395-M395),2)</x:f>
        <x:v>0</x:v>
      </x:c>
      <x:c r="O395" s="6" t="n">
        <x:f>T394</x:f>
        <x:v>0</x:v>
      </x:c>
      <x:c r="P395" s="6" t="n">
        <x:f>ROUND(O395*'Debt strategy'!$D$11/12,2)</x:f>
        <x:v>0</x:v>
      </x:c>
      <x:c r="Q395" s="6" t="n">
        <x:f>MIN(O395+P395,'Debt strategy'!$E$11)</x:f>
        <x:v>0</x:v>
      </x:c>
      <x:c r="R395" s="27" t="n">
        <x:f>IF(O395+P395-Q395&lt;=0,99,1+SUM(IF(AND(C395+D395-E395&gt;0,OR(C395+D395-E395&lt;O395+P395-Q395,AND(C395+D395-E395=O395+P395-Q395,0&lt;2))),1,0),IF(AND(I395+J395-K395&gt;0,OR(I395+J395-K395&lt;O395+P395-Q395,AND(I395+J395-K395=O395+P395-Q395,1&lt;2))),1,0),IF(AND(U395+V395-W395&gt;0,OR(U395+V395-W395&lt;O395+P395-Q395,AND(U395+V395-W395=O395+P395-Q395,3&lt;2))),1,0),IF(AND(AA395+AB395-AC395&gt;0,OR(AA395+AB395-AC395&lt;O395+P395-Q395,AND(AA395+AB395-AC395=O395+P395-Q395,4&lt;2))),1,0)))</x:f>
        <x:v>99</x:v>
      </x:c>
      <x:c r="S395" s="6" t="n">
        <x:f>IF('Debt strategy'!$C$16&gt;0,0,MIN(O395+P395-Q395,MAX(0,'Debt strategy'!$C$5-SUM(E395,K395,Q395,W395,AC395)-SUM(IF(F395&lt;R395,C395+D395-E395,0),IF(L395&lt;R395,I395+J395-K395,0),IF(X395&lt;R395,U395+V395-W395,0),IF(AD395&lt;R395,AA395+AB395-AC395,0)))))</x:f>
        <x:v>0</x:v>
      </x:c>
      <x:c r="T395" s="6" t="n">
        <x:f>ROUND(MAX(0,O395+P395-Q395-S395),2)</x:f>
        <x:v>0</x:v>
      </x:c>
      <x:c r="U395" s="6" t="n">
        <x:f>Z394</x:f>
        <x:v>0</x:v>
      </x:c>
      <x:c r="V395" s="6" t="n">
        <x:f>ROUND(U395*'Debt strategy'!$D$12/12,2)</x:f>
        <x:v>0</x:v>
      </x:c>
      <x:c r="W395" s="6" t="n">
        <x:f>MIN(U395+V395,'Debt strategy'!$E$12)</x:f>
        <x:v>0</x:v>
      </x:c>
      <x:c r="X395" s="27" t="n">
        <x:f>IF(U395+V395-W395&lt;=0,99,1+SUM(IF(AND(C395+D395-E395&gt;0,OR(C395+D395-E395&lt;U395+V395-W395,AND(C395+D395-E395=U395+V395-W395,0&lt;3))),1,0),IF(AND(I395+J395-K395&gt;0,OR(I395+J395-K395&lt;U395+V395-W395,AND(I395+J395-K395=U395+V395-W395,1&lt;3))),1,0),IF(AND(O395+P395-Q395&gt;0,OR(O395+P395-Q395&lt;U395+V395-W395,AND(O395+P395-Q395=U395+V395-W395,2&lt;3))),1,0),IF(AND(AA395+AB395-AC395&gt;0,OR(AA395+AB395-AC395&lt;U395+V395-W395,AND(AA395+AB395-AC395=U395+V395-W395,4&lt;3))),1,0)))</x:f>
        <x:v>99</x:v>
      </x:c>
      <x:c r="Y395" s="6" t="n">
        <x:f>IF('Debt strategy'!$C$16&gt;0,0,MIN(U395+V395-W395,MAX(0,'Debt strategy'!$C$5-SUM(E395,K395,Q395,W395,AC395)-SUM(IF(F395&lt;X395,C395+D395-E395,0),IF(L395&lt;X395,I395+J395-K395,0),IF(R395&lt;X395,O395+P395-Q395,0),IF(AD395&lt;X395,AA395+AB395-AC395,0)))))</x:f>
        <x:v>0</x:v>
      </x:c>
      <x:c r="Z395" s="6" t="n">
        <x:f>ROUND(MAX(0,U395+V395-W395-Y395),2)</x:f>
        <x:v>0</x:v>
      </x:c>
      <x:c r="AA395" s="6" t="n">
        <x:f>AF394</x:f>
        <x:v>0</x:v>
      </x:c>
      <x:c r="AB395" s="6" t="n">
        <x:f>ROUND(AA395*'Debt strategy'!$D$13/12,2)</x:f>
        <x:v>0</x:v>
      </x:c>
      <x:c r="AC395" s="6" t="n">
        <x:f>MIN(AA395+AB395,'Debt strategy'!$E$13)</x:f>
        <x:v>0</x:v>
      </x:c>
      <x:c r="AD395" s="27" t="n">
        <x:f>IF(AA395+AB395-AC395&lt;=0,99,1+SUM(IF(AND(C395+D395-E395&gt;0,OR(C395+D395-E395&lt;AA395+AB395-AC395,AND(C395+D395-E395=AA395+AB395-AC395,0&lt;4))),1,0),IF(AND(I395+J395-K395&gt;0,OR(I395+J395-K395&lt;AA395+AB395-AC395,AND(I395+J395-K395=AA395+AB395-AC395,1&lt;4))),1,0),IF(AND(O395+P395-Q395&gt;0,OR(O395+P395-Q395&lt;AA395+AB395-AC395,AND(O395+P395-Q395=AA395+AB395-AC395,2&lt;4))),1,0),IF(AND(U395+V395-W395&gt;0,OR(U395+V395-W395&lt;AA395+AB395-AC395,AND(U395+V395-W395=AA395+AB395-AC395,3&lt;4))),1,0)))</x:f>
        <x:v>99</x:v>
      </x:c>
      <x:c r="AE395" s="6" t="n">
        <x:f>IF('Debt strategy'!$C$16&gt;0,0,MIN(AA395+AB395-AC395,MAX(0,'Debt strategy'!$C$5-SUM(E395,K395,Q395,W395,AC395)-SUM(IF(F395&lt;AD395,C395+D395-E395,0),IF(L395&lt;AD395,I395+J395-K395,0),IF(R395&lt;AD395,O395+P395-Q395,0),IF(X395&lt;AD395,U395+V395-W395,0)))))</x:f>
        <x:v>0</x:v>
      </x:c>
      <x:c r="AF395" s="6" t="n">
        <x:f>ROUND(MAX(0,AA395+AB395-AC395-AE395),2)</x:f>
        <x:v>0</x:v>
      </x:c>
      <x:c r="AG395" s="6" t="n">
        <x:f>SUM(H395,N395,T395,Z395,AF395)</x:f>
        <x:v>0</x:v>
      </x:c>
      <x:c r="AH395" s="6" t="n">
        <x:f>SUM(D395,J395,P395,V395,AB395)+AH394</x:f>
        <x:v>1353.9499999999996</x:v>
      </x:c>
      <x:c r="AI395" s="2"/>
    </x:row>
    <x:row r="396" ht="23" customHeight="1">
      <x:c r="B396" s="2" t="n">
        <x:f>388</x:f>
        <x:v>388</x:v>
      </x:c>
      <x:c r="C396" s="6" t="n">
        <x:f>H395</x:f>
        <x:v>0</x:v>
      </x:c>
      <x:c r="D396" s="6" t="n">
        <x:f>ROUND(C396*'Debt strategy'!$D$9/12,2)</x:f>
        <x:v>0</x:v>
      </x:c>
      <x:c r="E396" s="6" t="n">
        <x:f>MIN(C396+D396,'Debt strategy'!$E$9)</x:f>
        <x:v>0</x:v>
      </x:c>
      <x:c r="F396" s="27" t="n">
        <x:f>IF(C396+D396-E396&lt;=0,99,1+SUM(IF(AND(I396+J396-K396&gt;0,OR(I396+J396-K396&lt;C396+D396-E396,AND(I396+J396-K396=C396+D396-E396,1&lt;0))),1,0),IF(AND(O396+P396-Q396&gt;0,OR(O396+P396-Q396&lt;C396+D396-E396,AND(O396+P396-Q396=C396+D396-E396,2&lt;0))),1,0),IF(AND(U396+V396-W396&gt;0,OR(U396+V396-W396&lt;C396+D396-E396,AND(U396+V396-W396=C396+D396-E396,3&lt;0))),1,0),IF(AND(AA396+AB396-AC396&gt;0,OR(AA396+AB396-AC396&lt;C396+D396-E396,AND(AA396+AB396-AC396=C396+D396-E396,4&lt;0))),1,0)))</x:f>
        <x:v>99</x:v>
      </x:c>
      <x:c r="G396" s="6" t="n">
        <x:f>IF('Debt strategy'!$C$16&gt;0,0,MIN(C396+D396-E396,MAX(0,'Debt strategy'!$C$5-SUM(E396,K396,Q396,W396,AC396)-SUM(IF(L396&lt;F396,I396+J396-K396,0),IF(R396&lt;F396,O396+P396-Q396,0),IF(X396&lt;F396,U396+V396-W396,0),IF(AD396&lt;F396,AA396+AB396-AC396,0)))))</x:f>
        <x:v>0</x:v>
      </x:c>
      <x:c r="H396" s="6" t="n">
        <x:f>ROUND(MAX(0,C396+D396-E396-G396),2)</x:f>
        <x:v>0</x:v>
      </x:c>
      <x:c r="I396" s="6" t="n">
        <x:f>N395</x:f>
        <x:v>0</x:v>
      </x:c>
      <x:c r="J396" s="6" t="n">
        <x:f>ROUND(I396*'Debt strategy'!$D$10/12,2)</x:f>
        <x:v>0</x:v>
      </x:c>
      <x:c r="K396" s="6" t="n">
        <x:f>MIN(I396+J396,'Debt strategy'!$E$10)</x:f>
        <x:v>0</x:v>
      </x:c>
      <x:c r="L396" s="27" t="n">
        <x:f>IF(I396+J396-K396&lt;=0,99,1+SUM(IF(AND(C396+D396-E396&gt;0,OR(C396+D396-E396&lt;I396+J396-K396,AND(C396+D396-E396=I396+J396-K396,0&lt;1))),1,0),IF(AND(O396+P396-Q396&gt;0,OR(O396+P396-Q396&lt;I396+J396-K396,AND(O396+P396-Q396=I396+J396-K396,2&lt;1))),1,0),IF(AND(U396+V396-W396&gt;0,OR(U396+V396-W396&lt;I396+J396-K396,AND(U396+V396-W396=I396+J396-K396,3&lt;1))),1,0),IF(AND(AA396+AB396-AC396&gt;0,OR(AA396+AB396-AC396&lt;I396+J396-K396,AND(AA396+AB396-AC396=I396+J396-K396,4&lt;1))),1,0)))</x:f>
        <x:v>99</x:v>
      </x:c>
      <x:c r="M396" s="6" t="n">
        <x:f>IF('Debt strategy'!$C$16&gt;0,0,MIN(I396+J396-K396,MAX(0,'Debt strategy'!$C$5-SUM(E396,K396,Q396,W396,AC396)-SUM(IF(F396&lt;L396,C396+D396-E396,0),IF(R396&lt;L396,O396+P396-Q396,0),IF(X396&lt;L396,U396+V396-W396,0),IF(AD396&lt;L396,AA396+AB396-AC396,0)))))</x:f>
        <x:v>0</x:v>
      </x:c>
      <x:c r="N396" s="6" t="n">
        <x:f>ROUND(MAX(0,I396+J396-K396-M396),2)</x:f>
        <x:v>0</x:v>
      </x:c>
      <x:c r="O396" s="6" t="n">
        <x:f>T395</x:f>
        <x:v>0</x:v>
      </x:c>
      <x:c r="P396" s="6" t="n">
        <x:f>ROUND(O396*'Debt strategy'!$D$11/12,2)</x:f>
        <x:v>0</x:v>
      </x:c>
      <x:c r="Q396" s="6" t="n">
        <x:f>MIN(O396+P396,'Debt strategy'!$E$11)</x:f>
        <x:v>0</x:v>
      </x:c>
      <x:c r="R396" s="27" t="n">
        <x:f>IF(O396+P396-Q396&lt;=0,99,1+SUM(IF(AND(C396+D396-E396&gt;0,OR(C396+D396-E396&lt;O396+P396-Q396,AND(C396+D396-E396=O396+P396-Q396,0&lt;2))),1,0),IF(AND(I396+J396-K396&gt;0,OR(I396+J396-K396&lt;O396+P396-Q396,AND(I396+J396-K396=O396+P396-Q396,1&lt;2))),1,0),IF(AND(U396+V396-W396&gt;0,OR(U396+V396-W396&lt;O396+P396-Q396,AND(U396+V396-W396=O396+P396-Q396,3&lt;2))),1,0),IF(AND(AA396+AB396-AC396&gt;0,OR(AA396+AB396-AC396&lt;O396+P396-Q396,AND(AA396+AB396-AC396=O396+P396-Q396,4&lt;2))),1,0)))</x:f>
        <x:v>99</x:v>
      </x:c>
      <x:c r="S396" s="6" t="n">
        <x:f>IF('Debt strategy'!$C$16&gt;0,0,MIN(O396+P396-Q396,MAX(0,'Debt strategy'!$C$5-SUM(E396,K396,Q396,W396,AC396)-SUM(IF(F396&lt;R396,C396+D396-E396,0),IF(L396&lt;R396,I396+J396-K396,0),IF(X396&lt;R396,U396+V396-W396,0),IF(AD396&lt;R396,AA396+AB396-AC396,0)))))</x:f>
        <x:v>0</x:v>
      </x:c>
      <x:c r="T396" s="6" t="n">
        <x:f>ROUND(MAX(0,O396+P396-Q396-S396),2)</x:f>
        <x:v>0</x:v>
      </x:c>
      <x:c r="U396" s="6" t="n">
        <x:f>Z395</x:f>
        <x:v>0</x:v>
      </x:c>
      <x:c r="V396" s="6" t="n">
        <x:f>ROUND(U396*'Debt strategy'!$D$12/12,2)</x:f>
        <x:v>0</x:v>
      </x:c>
      <x:c r="W396" s="6" t="n">
        <x:f>MIN(U396+V396,'Debt strategy'!$E$12)</x:f>
        <x:v>0</x:v>
      </x:c>
      <x:c r="X396" s="27" t="n">
        <x:f>IF(U396+V396-W396&lt;=0,99,1+SUM(IF(AND(C396+D396-E396&gt;0,OR(C396+D396-E396&lt;U396+V396-W396,AND(C396+D396-E396=U396+V396-W396,0&lt;3))),1,0),IF(AND(I396+J396-K396&gt;0,OR(I396+J396-K396&lt;U396+V396-W396,AND(I396+J396-K396=U396+V396-W396,1&lt;3))),1,0),IF(AND(O396+P396-Q396&gt;0,OR(O396+P396-Q396&lt;U396+V396-W396,AND(O396+P396-Q396=U396+V396-W396,2&lt;3))),1,0),IF(AND(AA396+AB396-AC396&gt;0,OR(AA396+AB396-AC396&lt;U396+V396-W396,AND(AA396+AB396-AC396=U396+V396-W396,4&lt;3))),1,0)))</x:f>
        <x:v>99</x:v>
      </x:c>
      <x:c r="Y396" s="6" t="n">
        <x:f>IF('Debt strategy'!$C$16&gt;0,0,MIN(U396+V396-W396,MAX(0,'Debt strategy'!$C$5-SUM(E396,K396,Q396,W396,AC396)-SUM(IF(F396&lt;X396,C396+D396-E396,0),IF(L396&lt;X396,I396+J396-K396,0),IF(R396&lt;X396,O396+P396-Q396,0),IF(AD396&lt;X396,AA396+AB396-AC396,0)))))</x:f>
        <x:v>0</x:v>
      </x:c>
      <x:c r="Z396" s="6" t="n">
        <x:f>ROUND(MAX(0,U396+V396-W396-Y396),2)</x:f>
        <x:v>0</x:v>
      </x:c>
      <x:c r="AA396" s="6" t="n">
        <x:f>AF395</x:f>
        <x:v>0</x:v>
      </x:c>
      <x:c r="AB396" s="6" t="n">
        <x:f>ROUND(AA396*'Debt strategy'!$D$13/12,2)</x:f>
        <x:v>0</x:v>
      </x:c>
      <x:c r="AC396" s="6" t="n">
        <x:f>MIN(AA396+AB396,'Debt strategy'!$E$13)</x:f>
        <x:v>0</x:v>
      </x:c>
      <x:c r="AD396" s="27" t="n">
        <x:f>IF(AA396+AB396-AC396&lt;=0,99,1+SUM(IF(AND(C396+D396-E396&gt;0,OR(C396+D396-E396&lt;AA396+AB396-AC396,AND(C396+D396-E396=AA396+AB396-AC396,0&lt;4))),1,0),IF(AND(I396+J396-K396&gt;0,OR(I396+J396-K396&lt;AA396+AB396-AC396,AND(I396+J396-K396=AA396+AB396-AC396,1&lt;4))),1,0),IF(AND(O396+P396-Q396&gt;0,OR(O396+P396-Q396&lt;AA396+AB396-AC396,AND(O396+P396-Q396=AA396+AB396-AC396,2&lt;4))),1,0),IF(AND(U396+V396-W396&gt;0,OR(U396+V396-W396&lt;AA396+AB396-AC396,AND(U396+V396-W396=AA396+AB396-AC396,3&lt;4))),1,0)))</x:f>
        <x:v>99</x:v>
      </x:c>
      <x:c r="AE396" s="6" t="n">
        <x:f>IF('Debt strategy'!$C$16&gt;0,0,MIN(AA396+AB396-AC396,MAX(0,'Debt strategy'!$C$5-SUM(E396,K396,Q396,W396,AC396)-SUM(IF(F396&lt;AD396,C396+D396-E396,0),IF(L396&lt;AD396,I396+J396-K396,0),IF(R396&lt;AD396,O396+P396-Q396,0),IF(X396&lt;AD396,U396+V396-W396,0)))))</x:f>
        <x:v>0</x:v>
      </x:c>
      <x:c r="AF396" s="6" t="n">
        <x:f>ROUND(MAX(0,AA396+AB396-AC396-AE396),2)</x:f>
        <x:v>0</x:v>
      </x:c>
      <x:c r="AG396" s="6" t="n">
        <x:f>SUM(H396,N396,T396,Z396,AF396)</x:f>
        <x:v>0</x:v>
      </x:c>
      <x:c r="AH396" s="6" t="n">
        <x:f>SUM(D396,J396,P396,V396,AB396)+AH395</x:f>
        <x:v>1353.9499999999996</x:v>
      </x:c>
      <x:c r="AI396" s="2"/>
    </x:row>
    <x:row r="397" ht="23" customHeight="1">
      <x:c r="B397" s="2" t="n">
        <x:f>389</x:f>
        <x:v>389</x:v>
      </x:c>
      <x:c r="C397" s="6" t="n">
        <x:f>H396</x:f>
        <x:v>0</x:v>
      </x:c>
      <x:c r="D397" s="6" t="n">
        <x:f>ROUND(C397*'Debt strategy'!$D$9/12,2)</x:f>
        <x:v>0</x:v>
      </x:c>
      <x:c r="E397" s="6" t="n">
        <x:f>MIN(C397+D397,'Debt strategy'!$E$9)</x:f>
        <x:v>0</x:v>
      </x:c>
      <x:c r="F397" s="27" t="n">
        <x:f>IF(C397+D397-E397&lt;=0,99,1+SUM(IF(AND(I397+J397-K397&gt;0,OR(I397+J397-K397&lt;C397+D397-E397,AND(I397+J397-K397=C397+D397-E397,1&lt;0))),1,0),IF(AND(O397+P397-Q397&gt;0,OR(O397+P397-Q397&lt;C397+D397-E397,AND(O397+P397-Q397=C397+D397-E397,2&lt;0))),1,0),IF(AND(U397+V397-W397&gt;0,OR(U397+V397-W397&lt;C397+D397-E397,AND(U397+V397-W397=C397+D397-E397,3&lt;0))),1,0),IF(AND(AA397+AB397-AC397&gt;0,OR(AA397+AB397-AC397&lt;C397+D397-E397,AND(AA397+AB397-AC397=C397+D397-E397,4&lt;0))),1,0)))</x:f>
        <x:v>99</x:v>
      </x:c>
      <x:c r="G397" s="6" t="n">
        <x:f>IF('Debt strategy'!$C$16&gt;0,0,MIN(C397+D397-E397,MAX(0,'Debt strategy'!$C$5-SUM(E397,K397,Q397,W397,AC397)-SUM(IF(L397&lt;F397,I397+J397-K397,0),IF(R397&lt;F397,O397+P397-Q397,0),IF(X397&lt;F397,U397+V397-W397,0),IF(AD397&lt;F397,AA397+AB397-AC397,0)))))</x:f>
        <x:v>0</x:v>
      </x:c>
      <x:c r="H397" s="6" t="n">
        <x:f>ROUND(MAX(0,C397+D397-E397-G397),2)</x:f>
        <x:v>0</x:v>
      </x:c>
      <x:c r="I397" s="6" t="n">
        <x:f>N396</x:f>
        <x:v>0</x:v>
      </x:c>
      <x:c r="J397" s="6" t="n">
        <x:f>ROUND(I397*'Debt strategy'!$D$10/12,2)</x:f>
        <x:v>0</x:v>
      </x:c>
      <x:c r="K397" s="6" t="n">
        <x:f>MIN(I397+J397,'Debt strategy'!$E$10)</x:f>
        <x:v>0</x:v>
      </x:c>
      <x:c r="L397" s="27" t="n">
        <x:f>IF(I397+J397-K397&lt;=0,99,1+SUM(IF(AND(C397+D397-E397&gt;0,OR(C397+D397-E397&lt;I397+J397-K397,AND(C397+D397-E397=I397+J397-K397,0&lt;1))),1,0),IF(AND(O397+P397-Q397&gt;0,OR(O397+P397-Q397&lt;I397+J397-K397,AND(O397+P397-Q397=I397+J397-K397,2&lt;1))),1,0),IF(AND(U397+V397-W397&gt;0,OR(U397+V397-W397&lt;I397+J397-K397,AND(U397+V397-W397=I397+J397-K397,3&lt;1))),1,0),IF(AND(AA397+AB397-AC397&gt;0,OR(AA397+AB397-AC397&lt;I397+J397-K397,AND(AA397+AB397-AC397=I397+J397-K397,4&lt;1))),1,0)))</x:f>
        <x:v>99</x:v>
      </x:c>
      <x:c r="M397" s="6" t="n">
        <x:f>IF('Debt strategy'!$C$16&gt;0,0,MIN(I397+J397-K397,MAX(0,'Debt strategy'!$C$5-SUM(E397,K397,Q397,W397,AC397)-SUM(IF(F397&lt;L397,C397+D397-E397,0),IF(R397&lt;L397,O397+P397-Q397,0),IF(X397&lt;L397,U397+V397-W397,0),IF(AD397&lt;L397,AA397+AB397-AC397,0)))))</x:f>
        <x:v>0</x:v>
      </x:c>
      <x:c r="N397" s="6" t="n">
        <x:f>ROUND(MAX(0,I397+J397-K397-M397),2)</x:f>
        <x:v>0</x:v>
      </x:c>
      <x:c r="O397" s="6" t="n">
        <x:f>T396</x:f>
        <x:v>0</x:v>
      </x:c>
      <x:c r="P397" s="6" t="n">
        <x:f>ROUND(O397*'Debt strategy'!$D$11/12,2)</x:f>
        <x:v>0</x:v>
      </x:c>
      <x:c r="Q397" s="6" t="n">
        <x:f>MIN(O397+P397,'Debt strategy'!$E$11)</x:f>
        <x:v>0</x:v>
      </x:c>
      <x:c r="R397" s="27" t="n">
        <x:f>IF(O397+P397-Q397&lt;=0,99,1+SUM(IF(AND(C397+D397-E397&gt;0,OR(C397+D397-E397&lt;O397+P397-Q397,AND(C397+D397-E397=O397+P397-Q397,0&lt;2))),1,0),IF(AND(I397+J397-K397&gt;0,OR(I397+J397-K397&lt;O397+P397-Q397,AND(I397+J397-K397=O397+P397-Q397,1&lt;2))),1,0),IF(AND(U397+V397-W397&gt;0,OR(U397+V397-W397&lt;O397+P397-Q397,AND(U397+V397-W397=O397+P397-Q397,3&lt;2))),1,0),IF(AND(AA397+AB397-AC397&gt;0,OR(AA397+AB397-AC397&lt;O397+P397-Q397,AND(AA397+AB397-AC397=O397+P397-Q397,4&lt;2))),1,0)))</x:f>
        <x:v>99</x:v>
      </x:c>
      <x:c r="S397" s="6" t="n">
        <x:f>IF('Debt strategy'!$C$16&gt;0,0,MIN(O397+P397-Q397,MAX(0,'Debt strategy'!$C$5-SUM(E397,K397,Q397,W397,AC397)-SUM(IF(F397&lt;R397,C397+D397-E397,0),IF(L397&lt;R397,I397+J397-K397,0),IF(X397&lt;R397,U397+V397-W397,0),IF(AD397&lt;R397,AA397+AB397-AC397,0)))))</x:f>
        <x:v>0</x:v>
      </x:c>
      <x:c r="T397" s="6" t="n">
        <x:f>ROUND(MAX(0,O397+P397-Q397-S397),2)</x:f>
        <x:v>0</x:v>
      </x:c>
      <x:c r="U397" s="6" t="n">
        <x:f>Z396</x:f>
        <x:v>0</x:v>
      </x:c>
      <x:c r="V397" s="6" t="n">
        <x:f>ROUND(U397*'Debt strategy'!$D$12/12,2)</x:f>
        <x:v>0</x:v>
      </x:c>
      <x:c r="W397" s="6" t="n">
        <x:f>MIN(U397+V397,'Debt strategy'!$E$12)</x:f>
        <x:v>0</x:v>
      </x:c>
      <x:c r="X397" s="27" t="n">
        <x:f>IF(U397+V397-W397&lt;=0,99,1+SUM(IF(AND(C397+D397-E397&gt;0,OR(C397+D397-E397&lt;U397+V397-W397,AND(C397+D397-E397=U397+V397-W397,0&lt;3))),1,0),IF(AND(I397+J397-K397&gt;0,OR(I397+J397-K397&lt;U397+V397-W397,AND(I397+J397-K397=U397+V397-W397,1&lt;3))),1,0),IF(AND(O397+P397-Q397&gt;0,OR(O397+P397-Q397&lt;U397+V397-W397,AND(O397+P397-Q397=U397+V397-W397,2&lt;3))),1,0),IF(AND(AA397+AB397-AC397&gt;0,OR(AA397+AB397-AC397&lt;U397+V397-W397,AND(AA397+AB397-AC397=U397+V397-W397,4&lt;3))),1,0)))</x:f>
        <x:v>99</x:v>
      </x:c>
      <x:c r="Y397" s="6" t="n">
        <x:f>IF('Debt strategy'!$C$16&gt;0,0,MIN(U397+V397-W397,MAX(0,'Debt strategy'!$C$5-SUM(E397,K397,Q397,W397,AC397)-SUM(IF(F397&lt;X397,C397+D397-E397,0),IF(L397&lt;X397,I397+J397-K397,0),IF(R397&lt;X397,O397+P397-Q397,0),IF(AD397&lt;X397,AA397+AB397-AC397,0)))))</x:f>
        <x:v>0</x:v>
      </x:c>
      <x:c r="Z397" s="6" t="n">
        <x:f>ROUND(MAX(0,U397+V397-W397-Y397),2)</x:f>
        <x:v>0</x:v>
      </x:c>
      <x:c r="AA397" s="6" t="n">
        <x:f>AF396</x:f>
        <x:v>0</x:v>
      </x:c>
      <x:c r="AB397" s="6" t="n">
        <x:f>ROUND(AA397*'Debt strategy'!$D$13/12,2)</x:f>
        <x:v>0</x:v>
      </x:c>
      <x:c r="AC397" s="6" t="n">
        <x:f>MIN(AA397+AB397,'Debt strategy'!$E$13)</x:f>
        <x:v>0</x:v>
      </x:c>
      <x:c r="AD397" s="27" t="n">
        <x:f>IF(AA397+AB397-AC397&lt;=0,99,1+SUM(IF(AND(C397+D397-E397&gt;0,OR(C397+D397-E397&lt;AA397+AB397-AC397,AND(C397+D397-E397=AA397+AB397-AC397,0&lt;4))),1,0),IF(AND(I397+J397-K397&gt;0,OR(I397+J397-K397&lt;AA397+AB397-AC397,AND(I397+J397-K397=AA397+AB397-AC397,1&lt;4))),1,0),IF(AND(O397+P397-Q397&gt;0,OR(O397+P397-Q397&lt;AA397+AB397-AC397,AND(O397+P397-Q397=AA397+AB397-AC397,2&lt;4))),1,0),IF(AND(U397+V397-W397&gt;0,OR(U397+V397-W397&lt;AA397+AB397-AC397,AND(U397+V397-W397=AA397+AB397-AC397,3&lt;4))),1,0)))</x:f>
        <x:v>99</x:v>
      </x:c>
      <x:c r="AE397" s="6" t="n">
        <x:f>IF('Debt strategy'!$C$16&gt;0,0,MIN(AA397+AB397-AC397,MAX(0,'Debt strategy'!$C$5-SUM(E397,K397,Q397,W397,AC397)-SUM(IF(F397&lt;AD397,C397+D397-E397,0),IF(L397&lt;AD397,I397+J397-K397,0),IF(R397&lt;AD397,O397+P397-Q397,0),IF(X397&lt;AD397,U397+V397-W397,0)))))</x:f>
        <x:v>0</x:v>
      </x:c>
      <x:c r="AF397" s="6" t="n">
        <x:f>ROUND(MAX(0,AA397+AB397-AC397-AE397),2)</x:f>
        <x:v>0</x:v>
      </x:c>
      <x:c r="AG397" s="6" t="n">
        <x:f>SUM(H397,N397,T397,Z397,AF397)</x:f>
        <x:v>0</x:v>
      </x:c>
      <x:c r="AH397" s="6" t="n">
        <x:f>SUM(D397,J397,P397,V397,AB397)+AH396</x:f>
        <x:v>1353.9499999999996</x:v>
      </x:c>
      <x:c r="AI397" s="2"/>
    </x:row>
    <x:row r="398" ht="23" customHeight="1">
      <x:c r="B398" s="2" t="n">
        <x:f>390</x:f>
        <x:v>390</x:v>
      </x:c>
      <x:c r="C398" s="6" t="n">
        <x:f>H397</x:f>
        <x:v>0</x:v>
      </x:c>
      <x:c r="D398" s="6" t="n">
        <x:f>ROUND(C398*'Debt strategy'!$D$9/12,2)</x:f>
        <x:v>0</x:v>
      </x:c>
      <x:c r="E398" s="6" t="n">
        <x:f>MIN(C398+D398,'Debt strategy'!$E$9)</x:f>
        <x:v>0</x:v>
      </x:c>
      <x:c r="F398" s="27" t="n">
        <x:f>IF(C398+D398-E398&lt;=0,99,1+SUM(IF(AND(I398+J398-K398&gt;0,OR(I398+J398-K398&lt;C398+D398-E398,AND(I398+J398-K398=C398+D398-E398,1&lt;0))),1,0),IF(AND(O398+P398-Q398&gt;0,OR(O398+P398-Q398&lt;C398+D398-E398,AND(O398+P398-Q398=C398+D398-E398,2&lt;0))),1,0),IF(AND(U398+V398-W398&gt;0,OR(U398+V398-W398&lt;C398+D398-E398,AND(U398+V398-W398=C398+D398-E398,3&lt;0))),1,0),IF(AND(AA398+AB398-AC398&gt;0,OR(AA398+AB398-AC398&lt;C398+D398-E398,AND(AA398+AB398-AC398=C398+D398-E398,4&lt;0))),1,0)))</x:f>
        <x:v>99</x:v>
      </x:c>
      <x:c r="G398" s="6" t="n">
        <x:f>IF('Debt strategy'!$C$16&gt;0,0,MIN(C398+D398-E398,MAX(0,'Debt strategy'!$C$5-SUM(E398,K398,Q398,W398,AC398)-SUM(IF(L398&lt;F398,I398+J398-K398,0),IF(R398&lt;F398,O398+P398-Q398,0),IF(X398&lt;F398,U398+V398-W398,0),IF(AD398&lt;F398,AA398+AB398-AC398,0)))))</x:f>
        <x:v>0</x:v>
      </x:c>
      <x:c r="H398" s="6" t="n">
        <x:f>ROUND(MAX(0,C398+D398-E398-G398),2)</x:f>
        <x:v>0</x:v>
      </x:c>
      <x:c r="I398" s="6" t="n">
        <x:f>N397</x:f>
        <x:v>0</x:v>
      </x:c>
      <x:c r="J398" s="6" t="n">
        <x:f>ROUND(I398*'Debt strategy'!$D$10/12,2)</x:f>
        <x:v>0</x:v>
      </x:c>
      <x:c r="K398" s="6" t="n">
        <x:f>MIN(I398+J398,'Debt strategy'!$E$10)</x:f>
        <x:v>0</x:v>
      </x:c>
      <x:c r="L398" s="27" t="n">
        <x:f>IF(I398+J398-K398&lt;=0,99,1+SUM(IF(AND(C398+D398-E398&gt;0,OR(C398+D398-E398&lt;I398+J398-K398,AND(C398+D398-E398=I398+J398-K398,0&lt;1))),1,0),IF(AND(O398+P398-Q398&gt;0,OR(O398+P398-Q398&lt;I398+J398-K398,AND(O398+P398-Q398=I398+J398-K398,2&lt;1))),1,0),IF(AND(U398+V398-W398&gt;0,OR(U398+V398-W398&lt;I398+J398-K398,AND(U398+V398-W398=I398+J398-K398,3&lt;1))),1,0),IF(AND(AA398+AB398-AC398&gt;0,OR(AA398+AB398-AC398&lt;I398+J398-K398,AND(AA398+AB398-AC398=I398+J398-K398,4&lt;1))),1,0)))</x:f>
        <x:v>99</x:v>
      </x:c>
      <x:c r="M398" s="6" t="n">
        <x:f>IF('Debt strategy'!$C$16&gt;0,0,MIN(I398+J398-K398,MAX(0,'Debt strategy'!$C$5-SUM(E398,K398,Q398,W398,AC398)-SUM(IF(F398&lt;L398,C398+D398-E398,0),IF(R398&lt;L398,O398+P398-Q398,0),IF(X398&lt;L398,U398+V398-W398,0),IF(AD398&lt;L398,AA398+AB398-AC398,0)))))</x:f>
        <x:v>0</x:v>
      </x:c>
      <x:c r="N398" s="6" t="n">
        <x:f>ROUND(MAX(0,I398+J398-K398-M398),2)</x:f>
        <x:v>0</x:v>
      </x:c>
      <x:c r="O398" s="6" t="n">
        <x:f>T397</x:f>
        <x:v>0</x:v>
      </x:c>
      <x:c r="P398" s="6" t="n">
        <x:f>ROUND(O398*'Debt strategy'!$D$11/12,2)</x:f>
        <x:v>0</x:v>
      </x:c>
      <x:c r="Q398" s="6" t="n">
        <x:f>MIN(O398+P398,'Debt strategy'!$E$11)</x:f>
        <x:v>0</x:v>
      </x:c>
      <x:c r="R398" s="27" t="n">
        <x:f>IF(O398+P398-Q398&lt;=0,99,1+SUM(IF(AND(C398+D398-E398&gt;0,OR(C398+D398-E398&lt;O398+P398-Q398,AND(C398+D398-E398=O398+P398-Q398,0&lt;2))),1,0),IF(AND(I398+J398-K398&gt;0,OR(I398+J398-K398&lt;O398+P398-Q398,AND(I398+J398-K398=O398+P398-Q398,1&lt;2))),1,0),IF(AND(U398+V398-W398&gt;0,OR(U398+V398-W398&lt;O398+P398-Q398,AND(U398+V398-W398=O398+P398-Q398,3&lt;2))),1,0),IF(AND(AA398+AB398-AC398&gt;0,OR(AA398+AB398-AC398&lt;O398+P398-Q398,AND(AA398+AB398-AC398=O398+P398-Q398,4&lt;2))),1,0)))</x:f>
        <x:v>99</x:v>
      </x:c>
      <x:c r="S398" s="6" t="n">
        <x:f>IF('Debt strategy'!$C$16&gt;0,0,MIN(O398+P398-Q398,MAX(0,'Debt strategy'!$C$5-SUM(E398,K398,Q398,W398,AC398)-SUM(IF(F398&lt;R398,C398+D398-E398,0),IF(L398&lt;R398,I398+J398-K398,0),IF(X398&lt;R398,U398+V398-W398,0),IF(AD398&lt;R398,AA398+AB398-AC398,0)))))</x:f>
        <x:v>0</x:v>
      </x:c>
      <x:c r="T398" s="6" t="n">
        <x:f>ROUND(MAX(0,O398+P398-Q398-S398),2)</x:f>
        <x:v>0</x:v>
      </x:c>
      <x:c r="U398" s="6" t="n">
        <x:f>Z397</x:f>
        <x:v>0</x:v>
      </x:c>
      <x:c r="V398" s="6" t="n">
        <x:f>ROUND(U398*'Debt strategy'!$D$12/12,2)</x:f>
        <x:v>0</x:v>
      </x:c>
      <x:c r="W398" s="6" t="n">
        <x:f>MIN(U398+V398,'Debt strategy'!$E$12)</x:f>
        <x:v>0</x:v>
      </x:c>
      <x:c r="X398" s="27" t="n">
        <x:f>IF(U398+V398-W398&lt;=0,99,1+SUM(IF(AND(C398+D398-E398&gt;0,OR(C398+D398-E398&lt;U398+V398-W398,AND(C398+D398-E398=U398+V398-W398,0&lt;3))),1,0),IF(AND(I398+J398-K398&gt;0,OR(I398+J398-K398&lt;U398+V398-W398,AND(I398+J398-K398=U398+V398-W398,1&lt;3))),1,0),IF(AND(O398+P398-Q398&gt;0,OR(O398+P398-Q398&lt;U398+V398-W398,AND(O398+P398-Q398=U398+V398-W398,2&lt;3))),1,0),IF(AND(AA398+AB398-AC398&gt;0,OR(AA398+AB398-AC398&lt;U398+V398-W398,AND(AA398+AB398-AC398=U398+V398-W398,4&lt;3))),1,0)))</x:f>
        <x:v>99</x:v>
      </x:c>
      <x:c r="Y398" s="6" t="n">
        <x:f>IF('Debt strategy'!$C$16&gt;0,0,MIN(U398+V398-W398,MAX(0,'Debt strategy'!$C$5-SUM(E398,K398,Q398,W398,AC398)-SUM(IF(F398&lt;X398,C398+D398-E398,0),IF(L398&lt;X398,I398+J398-K398,0),IF(R398&lt;X398,O398+P398-Q398,0),IF(AD398&lt;X398,AA398+AB398-AC398,0)))))</x:f>
        <x:v>0</x:v>
      </x:c>
      <x:c r="Z398" s="6" t="n">
        <x:f>ROUND(MAX(0,U398+V398-W398-Y398),2)</x:f>
        <x:v>0</x:v>
      </x:c>
      <x:c r="AA398" s="6" t="n">
        <x:f>AF397</x:f>
        <x:v>0</x:v>
      </x:c>
      <x:c r="AB398" s="6" t="n">
        <x:f>ROUND(AA398*'Debt strategy'!$D$13/12,2)</x:f>
        <x:v>0</x:v>
      </x:c>
      <x:c r="AC398" s="6" t="n">
        <x:f>MIN(AA398+AB398,'Debt strategy'!$E$13)</x:f>
        <x:v>0</x:v>
      </x:c>
      <x:c r="AD398" s="27" t="n">
        <x:f>IF(AA398+AB398-AC398&lt;=0,99,1+SUM(IF(AND(C398+D398-E398&gt;0,OR(C398+D398-E398&lt;AA398+AB398-AC398,AND(C398+D398-E398=AA398+AB398-AC398,0&lt;4))),1,0),IF(AND(I398+J398-K398&gt;0,OR(I398+J398-K398&lt;AA398+AB398-AC398,AND(I398+J398-K398=AA398+AB398-AC398,1&lt;4))),1,0),IF(AND(O398+P398-Q398&gt;0,OR(O398+P398-Q398&lt;AA398+AB398-AC398,AND(O398+P398-Q398=AA398+AB398-AC398,2&lt;4))),1,0),IF(AND(U398+V398-W398&gt;0,OR(U398+V398-W398&lt;AA398+AB398-AC398,AND(U398+V398-W398=AA398+AB398-AC398,3&lt;4))),1,0)))</x:f>
        <x:v>99</x:v>
      </x:c>
      <x:c r="AE398" s="6" t="n">
        <x:f>IF('Debt strategy'!$C$16&gt;0,0,MIN(AA398+AB398-AC398,MAX(0,'Debt strategy'!$C$5-SUM(E398,K398,Q398,W398,AC398)-SUM(IF(F398&lt;AD398,C398+D398-E398,0),IF(L398&lt;AD398,I398+J398-K398,0),IF(R398&lt;AD398,O398+P398-Q398,0),IF(X398&lt;AD398,U398+V398-W398,0)))))</x:f>
        <x:v>0</x:v>
      </x:c>
      <x:c r="AF398" s="6" t="n">
        <x:f>ROUND(MAX(0,AA398+AB398-AC398-AE398),2)</x:f>
        <x:v>0</x:v>
      </x:c>
      <x:c r="AG398" s="6" t="n">
        <x:f>SUM(H398,N398,T398,Z398,AF398)</x:f>
        <x:v>0</x:v>
      </x:c>
      <x:c r="AH398" s="6" t="n">
        <x:f>SUM(D398,J398,P398,V398,AB398)+AH397</x:f>
        <x:v>1353.9499999999996</x:v>
      </x:c>
      <x:c r="AI398" s="2"/>
    </x:row>
    <x:row r="399" ht="23" customHeight="1">
      <x:c r="B399" s="2" t="n">
        <x:f>391</x:f>
        <x:v>391</x:v>
      </x:c>
      <x:c r="C399" s="6" t="n">
        <x:f>H398</x:f>
        <x:v>0</x:v>
      </x:c>
      <x:c r="D399" s="6" t="n">
        <x:f>ROUND(C399*'Debt strategy'!$D$9/12,2)</x:f>
        <x:v>0</x:v>
      </x:c>
      <x:c r="E399" s="6" t="n">
        <x:f>MIN(C399+D399,'Debt strategy'!$E$9)</x:f>
        <x:v>0</x:v>
      </x:c>
      <x:c r="F399" s="27" t="n">
        <x:f>IF(C399+D399-E399&lt;=0,99,1+SUM(IF(AND(I399+J399-K399&gt;0,OR(I399+J399-K399&lt;C399+D399-E399,AND(I399+J399-K399=C399+D399-E399,1&lt;0))),1,0),IF(AND(O399+P399-Q399&gt;0,OR(O399+P399-Q399&lt;C399+D399-E399,AND(O399+P399-Q399=C399+D399-E399,2&lt;0))),1,0),IF(AND(U399+V399-W399&gt;0,OR(U399+V399-W399&lt;C399+D399-E399,AND(U399+V399-W399=C399+D399-E399,3&lt;0))),1,0),IF(AND(AA399+AB399-AC399&gt;0,OR(AA399+AB399-AC399&lt;C399+D399-E399,AND(AA399+AB399-AC399=C399+D399-E399,4&lt;0))),1,0)))</x:f>
        <x:v>99</x:v>
      </x:c>
      <x:c r="G399" s="6" t="n">
        <x:f>IF('Debt strategy'!$C$16&gt;0,0,MIN(C399+D399-E399,MAX(0,'Debt strategy'!$C$5-SUM(E399,K399,Q399,W399,AC399)-SUM(IF(L399&lt;F399,I399+J399-K399,0),IF(R399&lt;F399,O399+P399-Q399,0),IF(X399&lt;F399,U399+V399-W399,0),IF(AD399&lt;F399,AA399+AB399-AC399,0)))))</x:f>
        <x:v>0</x:v>
      </x:c>
      <x:c r="H399" s="6" t="n">
        <x:f>ROUND(MAX(0,C399+D399-E399-G399),2)</x:f>
        <x:v>0</x:v>
      </x:c>
      <x:c r="I399" s="6" t="n">
        <x:f>N398</x:f>
        <x:v>0</x:v>
      </x:c>
      <x:c r="J399" s="6" t="n">
        <x:f>ROUND(I399*'Debt strategy'!$D$10/12,2)</x:f>
        <x:v>0</x:v>
      </x:c>
      <x:c r="K399" s="6" t="n">
        <x:f>MIN(I399+J399,'Debt strategy'!$E$10)</x:f>
        <x:v>0</x:v>
      </x:c>
      <x:c r="L399" s="27" t="n">
        <x:f>IF(I399+J399-K399&lt;=0,99,1+SUM(IF(AND(C399+D399-E399&gt;0,OR(C399+D399-E399&lt;I399+J399-K399,AND(C399+D399-E399=I399+J399-K399,0&lt;1))),1,0),IF(AND(O399+P399-Q399&gt;0,OR(O399+P399-Q399&lt;I399+J399-K399,AND(O399+P399-Q399=I399+J399-K399,2&lt;1))),1,0),IF(AND(U399+V399-W399&gt;0,OR(U399+V399-W399&lt;I399+J399-K399,AND(U399+V399-W399=I399+J399-K399,3&lt;1))),1,0),IF(AND(AA399+AB399-AC399&gt;0,OR(AA399+AB399-AC399&lt;I399+J399-K399,AND(AA399+AB399-AC399=I399+J399-K399,4&lt;1))),1,0)))</x:f>
        <x:v>99</x:v>
      </x:c>
      <x:c r="M399" s="6" t="n">
        <x:f>IF('Debt strategy'!$C$16&gt;0,0,MIN(I399+J399-K399,MAX(0,'Debt strategy'!$C$5-SUM(E399,K399,Q399,W399,AC399)-SUM(IF(F399&lt;L399,C399+D399-E399,0),IF(R399&lt;L399,O399+P399-Q399,0),IF(X399&lt;L399,U399+V399-W399,0),IF(AD399&lt;L399,AA399+AB399-AC399,0)))))</x:f>
        <x:v>0</x:v>
      </x:c>
      <x:c r="N399" s="6" t="n">
        <x:f>ROUND(MAX(0,I399+J399-K399-M399),2)</x:f>
        <x:v>0</x:v>
      </x:c>
      <x:c r="O399" s="6" t="n">
        <x:f>T398</x:f>
        <x:v>0</x:v>
      </x:c>
      <x:c r="P399" s="6" t="n">
        <x:f>ROUND(O399*'Debt strategy'!$D$11/12,2)</x:f>
        <x:v>0</x:v>
      </x:c>
      <x:c r="Q399" s="6" t="n">
        <x:f>MIN(O399+P399,'Debt strategy'!$E$11)</x:f>
        <x:v>0</x:v>
      </x:c>
      <x:c r="R399" s="27" t="n">
        <x:f>IF(O399+P399-Q399&lt;=0,99,1+SUM(IF(AND(C399+D399-E399&gt;0,OR(C399+D399-E399&lt;O399+P399-Q399,AND(C399+D399-E399=O399+P399-Q399,0&lt;2))),1,0),IF(AND(I399+J399-K399&gt;0,OR(I399+J399-K399&lt;O399+P399-Q399,AND(I399+J399-K399=O399+P399-Q399,1&lt;2))),1,0),IF(AND(U399+V399-W399&gt;0,OR(U399+V399-W399&lt;O399+P399-Q399,AND(U399+V399-W399=O399+P399-Q399,3&lt;2))),1,0),IF(AND(AA399+AB399-AC399&gt;0,OR(AA399+AB399-AC399&lt;O399+P399-Q399,AND(AA399+AB399-AC399=O399+P399-Q399,4&lt;2))),1,0)))</x:f>
        <x:v>99</x:v>
      </x:c>
      <x:c r="S399" s="6" t="n">
        <x:f>IF('Debt strategy'!$C$16&gt;0,0,MIN(O399+P399-Q399,MAX(0,'Debt strategy'!$C$5-SUM(E399,K399,Q399,W399,AC399)-SUM(IF(F399&lt;R399,C399+D399-E399,0),IF(L399&lt;R399,I399+J399-K399,0),IF(X399&lt;R399,U399+V399-W399,0),IF(AD399&lt;R399,AA399+AB399-AC399,0)))))</x:f>
        <x:v>0</x:v>
      </x:c>
      <x:c r="T399" s="6" t="n">
        <x:f>ROUND(MAX(0,O399+P399-Q399-S399),2)</x:f>
        <x:v>0</x:v>
      </x:c>
      <x:c r="U399" s="6" t="n">
        <x:f>Z398</x:f>
        <x:v>0</x:v>
      </x:c>
      <x:c r="V399" s="6" t="n">
        <x:f>ROUND(U399*'Debt strategy'!$D$12/12,2)</x:f>
        <x:v>0</x:v>
      </x:c>
      <x:c r="W399" s="6" t="n">
        <x:f>MIN(U399+V399,'Debt strategy'!$E$12)</x:f>
        <x:v>0</x:v>
      </x:c>
      <x:c r="X399" s="27" t="n">
        <x:f>IF(U399+V399-W399&lt;=0,99,1+SUM(IF(AND(C399+D399-E399&gt;0,OR(C399+D399-E399&lt;U399+V399-W399,AND(C399+D399-E399=U399+V399-W399,0&lt;3))),1,0),IF(AND(I399+J399-K399&gt;0,OR(I399+J399-K399&lt;U399+V399-W399,AND(I399+J399-K399=U399+V399-W399,1&lt;3))),1,0),IF(AND(O399+P399-Q399&gt;0,OR(O399+P399-Q399&lt;U399+V399-W399,AND(O399+P399-Q399=U399+V399-W399,2&lt;3))),1,0),IF(AND(AA399+AB399-AC399&gt;0,OR(AA399+AB399-AC399&lt;U399+V399-W399,AND(AA399+AB399-AC399=U399+V399-W399,4&lt;3))),1,0)))</x:f>
        <x:v>99</x:v>
      </x:c>
      <x:c r="Y399" s="6" t="n">
        <x:f>IF('Debt strategy'!$C$16&gt;0,0,MIN(U399+V399-W399,MAX(0,'Debt strategy'!$C$5-SUM(E399,K399,Q399,W399,AC399)-SUM(IF(F399&lt;X399,C399+D399-E399,0),IF(L399&lt;X399,I399+J399-K399,0),IF(R399&lt;X399,O399+P399-Q399,0),IF(AD399&lt;X399,AA399+AB399-AC399,0)))))</x:f>
        <x:v>0</x:v>
      </x:c>
      <x:c r="Z399" s="6" t="n">
        <x:f>ROUND(MAX(0,U399+V399-W399-Y399),2)</x:f>
        <x:v>0</x:v>
      </x:c>
      <x:c r="AA399" s="6" t="n">
        <x:f>AF398</x:f>
        <x:v>0</x:v>
      </x:c>
      <x:c r="AB399" s="6" t="n">
        <x:f>ROUND(AA399*'Debt strategy'!$D$13/12,2)</x:f>
        <x:v>0</x:v>
      </x:c>
      <x:c r="AC399" s="6" t="n">
        <x:f>MIN(AA399+AB399,'Debt strategy'!$E$13)</x:f>
        <x:v>0</x:v>
      </x:c>
      <x:c r="AD399" s="27" t="n">
        <x:f>IF(AA399+AB399-AC399&lt;=0,99,1+SUM(IF(AND(C399+D399-E399&gt;0,OR(C399+D399-E399&lt;AA399+AB399-AC399,AND(C399+D399-E399=AA399+AB399-AC399,0&lt;4))),1,0),IF(AND(I399+J399-K399&gt;0,OR(I399+J399-K399&lt;AA399+AB399-AC399,AND(I399+J399-K399=AA399+AB399-AC399,1&lt;4))),1,0),IF(AND(O399+P399-Q399&gt;0,OR(O399+P399-Q399&lt;AA399+AB399-AC399,AND(O399+P399-Q399=AA399+AB399-AC399,2&lt;4))),1,0),IF(AND(U399+V399-W399&gt;0,OR(U399+V399-W399&lt;AA399+AB399-AC399,AND(U399+V399-W399=AA399+AB399-AC399,3&lt;4))),1,0)))</x:f>
        <x:v>99</x:v>
      </x:c>
      <x:c r="AE399" s="6" t="n">
        <x:f>IF('Debt strategy'!$C$16&gt;0,0,MIN(AA399+AB399-AC399,MAX(0,'Debt strategy'!$C$5-SUM(E399,K399,Q399,W399,AC399)-SUM(IF(F399&lt;AD399,C399+D399-E399,0),IF(L399&lt;AD399,I399+J399-K399,0),IF(R399&lt;AD399,O399+P399-Q399,0),IF(X399&lt;AD399,U399+V399-W399,0)))))</x:f>
        <x:v>0</x:v>
      </x:c>
      <x:c r="AF399" s="6" t="n">
        <x:f>ROUND(MAX(0,AA399+AB399-AC399-AE399),2)</x:f>
        <x:v>0</x:v>
      </x:c>
      <x:c r="AG399" s="6" t="n">
        <x:f>SUM(H399,N399,T399,Z399,AF399)</x:f>
        <x:v>0</x:v>
      </x:c>
      <x:c r="AH399" s="6" t="n">
        <x:f>SUM(D399,J399,P399,V399,AB399)+AH398</x:f>
        <x:v>1353.9499999999996</x:v>
      </x:c>
      <x:c r="AI399" s="2"/>
    </x:row>
    <x:row r="400" ht="23" customHeight="1">
      <x:c r="B400" s="2" t="n">
        <x:f>392</x:f>
        <x:v>392</x:v>
      </x:c>
      <x:c r="C400" s="6" t="n">
        <x:f>H399</x:f>
        <x:v>0</x:v>
      </x:c>
      <x:c r="D400" s="6" t="n">
        <x:f>ROUND(C400*'Debt strategy'!$D$9/12,2)</x:f>
        <x:v>0</x:v>
      </x:c>
      <x:c r="E400" s="6" t="n">
        <x:f>MIN(C400+D400,'Debt strategy'!$E$9)</x:f>
        <x:v>0</x:v>
      </x:c>
      <x:c r="F400" s="27" t="n">
        <x:f>IF(C400+D400-E400&lt;=0,99,1+SUM(IF(AND(I400+J400-K400&gt;0,OR(I400+J400-K400&lt;C400+D400-E400,AND(I400+J400-K400=C400+D400-E400,1&lt;0))),1,0),IF(AND(O400+P400-Q400&gt;0,OR(O400+P400-Q400&lt;C400+D400-E400,AND(O400+P400-Q400=C400+D400-E400,2&lt;0))),1,0),IF(AND(U400+V400-W400&gt;0,OR(U400+V400-W400&lt;C400+D400-E400,AND(U400+V400-W400=C400+D400-E400,3&lt;0))),1,0),IF(AND(AA400+AB400-AC400&gt;0,OR(AA400+AB400-AC400&lt;C400+D400-E400,AND(AA400+AB400-AC400=C400+D400-E400,4&lt;0))),1,0)))</x:f>
        <x:v>99</x:v>
      </x:c>
      <x:c r="G400" s="6" t="n">
        <x:f>IF('Debt strategy'!$C$16&gt;0,0,MIN(C400+D400-E400,MAX(0,'Debt strategy'!$C$5-SUM(E400,K400,Q400,W400,AC400)-SUM(IF(L400&lt;F400,I400+J400-K400,0),IF(R400&lt;F400,O400+P400-Q400,0),IF(X400&lt;F400,U400+V400-W400,0),IF(AD400&lt;F400,AA400+AB400-AC400,0)))))</x:f>
        <x:v>0</x:v>
      </x:c>
      <x:c r="H400" s="6" t="n">
        <x:f>ROUND(MAX(0,C400+D400-E400-G400),2)</x:f>
        <x:v>0</x:v>
      </x:c>
      <x:c r="I400" s="6" t="n">
        <x:f>N399</x:f>
        <x:v>0</x:v>
      </x:c>
      <x:c r="J400" s="6" t="n">
        <x:f>ROUND(I400*'Debt strategy'!$D$10/12,2)</x:f>
        <x:v>0</x:v>
      </x:c>
      <x:c r="K400" s="6" t="n">
        <x:f>MIN(I400+J400,'Debt strategy'!$E$10)</x:f>
        <x:v>0</x:v>
      </x:c>
      <x:c r="L400" s="27" t="n">
        <x:f>IF(I400+J400-K400&lt;=0,99,1+SUM(IF(AND(C400+D400-E400&gt;0,OR(C400+D400-E400&lt;I400+J400-K400,AND(C400+D400-E400=I400+J400-K400,0&lt;1))),1,0),IF(AND(O400+P400-Q400&gt;0,OR(O400+P400-Q400&lt;I400+J400-K400,AND(O400+P400-Q400=I400+J400-K400,2&lt;1))),1,0),IF(AND(U400+V400-W400&gt;0,OR(U400+V400-W400&lt;I400+J400-K400,AND(U400+V400-W400=I400+J400-K400,3&lt;1))),1,0),IF(AND(AA400+AB400-AC400&gt;0,OR(AA400+AB400-AC400&lt;I400+J400-K400,AND(AA400+AB400-AC400=I400+J400-K400,4&lt;1))),1,0)))</x:f>
        <x:v>99</x:v>
      </x:c>
      <x:c r="M400" s="6" t="n">
        <x:f>IF('Debt strategy'!$C$16&gt;0,0,MIN(I400+J400-K400,MAX(0,'Debt strategy'!$C$5-SUM(E400,K400,Q400,W400,AC400)-SUM(IF(F400&lt;L400,C400+D400-E400,0),IF(R400&lt;L400,O400+P400-Q400,0),IF(X400&lt;L400,U400+V400-W400,0),IF(AD400&lt;L400,AA400+AB400-AC400,0)))))</x:f>
        <x:v>0</x:v>
      </x:c>
      <x:c r="N400" s="6" t="n">
        <x:f>ROUND(MAX(0,I400+J400-K400-M400),2)</x:f>
        <x:v>0</x:v>
      </x:c>
      <x:c r="O400" s="6" t="n">
        <x:f>T399</x:f>
        <x:v>0</x:v>
      </x:c>
      <x:c r="P400" s="6" t="n">
        <x:f>ROUND(O400*'Debt strategy'!$D$11/12,2)</x:f>
        <x:v>0</x:v>
      </x:c>
      <x:c r="Q400" s="6" t="n">
        <x:f>MIN(O400+P400,'Debt strategy'!$E$11)</x:f>
        <x:v>0</x:v>
      </x:c>
      <x:c r="R400" s="27" t="n">
        <x:f>IF(O400+P400-Q400&lt;=0,99,1+SUM(IF(AND(C400+D400-E400&gt;0,OR(C400+D400-E400&lt;O400+P400-Q400,AND(C400+D400-E400=O400+P400-Q400,0&lt;2))),1,0),IF(AND(I400+J400-K400&gt;0,OR(I400+J400-K400&lt;O400+P400-Q400,AND(I400+J400-K400=O400+P400-Q400,1&lt;2))),1,0),IF(AND(U400+V400-W400&gt;0,OR(U400+V400-W400&lt;O400+P400-Q400,AND(U400+V400-W400=O400+P400-Q400,3&lt;2))),1,0),IF(AND(AA400+AB400-AC400&gt;0,OR(AA400+AB400-AC400&lt;O400+P400-Q400,AND(AA400+AB400-AC400=O400+P400-Q400,4&lt;2))),1,0)))</x:f>
        <x:v>99</x:v>
      </x:c>
      <x:c r="S400" s="6" t="n">
        <x:f>IF('Debt strategy'!$C$16&gt;0,0,MIN(O400+P400-Q400,MAX(0,'Debt strategy'!$C$5-SUM(E400,K400,Q400,W400,AC400)-SUM(IF(F400&lt;R400,C400+D400-E400,0),IF(L400&lt;R400,I400+J400-K400,0),IF(X400&lt;R400,U400+V400-W400,0),IF(AD400&lt;R400,AA400+AB400-AC400,0)))))</x:f>
        <x:v>0</x:v>
      </x:c>
      <x:c r="T400" s="6" t="n">
        <x:f>ROUND(MAX(0,O400+P400-Q400-S400),2)</x:f>
        <x:v>0</x:v>
      </x:c>
      <x:c r="U400" s="6" t="n">
        <x:f>Z399</x:f>
        <x:v>0</x:v>
      </x:c>
      <x:c r="V400" s="6" t="n">
        <x:f>ROUND(U400*'Debt strategy'!$D$12/12,2)</x:f>
        <x:v>0</x:v>
      </x:c>
      <x:c r="W400" s="6" t="n">
        <x:f>MIN(U400+V400,'Debt strategy'!$E$12)</x:f>
        <x:v>0</x:v>
      </x:c>
      <x:c r="X400" s="27" t="n">
        <x:f>IF(U400+V400-W400&lt;=0,99,1+SUM(IF(AND(C400+D400-E400&gt;0,OR(C400+D400-E400&lt;U400+V400-W400,AND(C400+D400-E400=U400+V400-W400,0&lt;3))),1,0),IF(AND(I400+J400-K400&gt;0,OR(I400+J400-K400&lt;U400+V400-W400,AND(I400+J400-K400=U400+V400-W400,1&lt;3))),1,0),IF(AND(O400+P400-Q400&gt;0,OR(O400+P400-Q400&lt;U400+V400-W400,AND(O400+P400-Q400=U400+V400-W400,2&lt;3))),1,0),IF(AND(AA400+AB400-AC400&gt;0,OR(AA400+AB400-AC400&lt;U400+V400-W400,AND(AA400+AB400-AC400=U400+V400-W400,4&lt;3))),1,0)))</x:f>
        <x:v>99</x:v>
      </x:c>
      <x:c r="Y400" s="6" t="n">
        <x:f>IF('Debt strategy'!$C$16&gt;0,0,MIN(U400+V400-W400,MAX(0,'Debt strategy'!$C$5-SUM(E400,K400,Q400,W400,AC400)-SUM(IF(F400&lt;X400,C400+D400-E400,0),IF(L400&lt;X400,I400+J400-K400,0),IF(R400&lt;X400,O400+P400-Q400,0),IF(AD400&lt;X400,AA400+AB400-AC400,0)))))</x:f>
        <x:v>0</x:v>
      </x:c>
      <x:c r="Z400" s="6" t="n">
        <x:f>ROUND(MAX(0,U400+V400-W400-Y400),2)</x:f>
        <x:v>0</x:v>
      </x:c>
      <x:c r="AA400" s="6" t="n">
        <x:f>AF399</x:f>
        <x:v>0</x:v>
      </x:c>
      <x:c r="AB400" s="6" t="n">
        <x:f>ROUND(AA400*'Debt strategy'!$D$13/12,2)</x:f>
        <x:v>0</x:v>
      </x:c>
      <x:c r="AC400" s="6" t="n">
        <x:f>MIN(AA400+AB400,'Debt strategy'!$E$13)</x:f>
        <x:v>0</x:v>
      </x:c>
      <x:c r="AD400" s="27" t="n">
        <x:f>IF(AA400+AB400-AC400&lt;=0,99,1+SUM(IF(AND(C400+D400-E400&gt;0,OR(C400+D400-E400&lt;AA400+AB400-AC400,AND(C400+D400-E400=AA400+AB400-AC400,0&lt;4))),1,0),IF(AND(I400+J400-K400&gt;0,OR(I400+J400-K400&lt;AA400+AB400-AC400,AND(I400+J400-K400=AA400+AB400-AC400,1&lt;4))),1,0),IF(AND(O400+P400-Q400&gt;0,OR(O400+P400-Q400&lt;AA400+AB400-AC400,AND(O400+P400-Q400=AA400+AB400-AC400,2&lt;4))),1,0),IF(AND(U400+V400-W400&gt;0,OR(U400+V400-W400&lt;AA400+AB400-AC400,AND(U400+V400-W400=AA400+AB400-AC400,3&lt;4))),1,0)))</x:f>
        <x:v>99</x:v>
      </x:c>
      <x:c r="AE400" s="6" t="n">
        <x:f>IF('Debt strategy'!$C$16&gt;0,0,MIN(AA400+AB400-AC400,MAX(0,'Debt strategy'!$C$5-SUM(E400,K400,Q400,W400,AC400)-SUM(IF(F400&lt;AD400,C400+D400-E400,0),IF(L400&lt;AD400,I400+J400-K400,0),IF(R400&lt;AD400,O400+P400-Q400,0),IF(X400&lt;AD400,U400+V400-W400,0)))))</x:f>
        <x:v>0</x:v>
      </x:c>
      <x:c r="AF400" s="6" t="n">
        <x:f>ROUND(MAX(0,AA400+AB400-AC400-AE400),2)</x:f>
        <x:v>0</x:v>
      </x:c>
      <x:c r="AG400" s="6" t="n">
        <x:f>SUM(H400,N400,T400,Z400,AF400)</x:f>
        <x:v>0</x:v>
      </x:c>
      <x:c r="AH400" s="6" t="n">
        <x:f>SUM(D400,J400,P400,V400,AB400)+AH399</x:f>
        <x:v>1353.9499999999996</x:v>
      </x:c>
      <x:c r="AI400" s="2"/>
    </x:row>
    <x:row r="401" ht="23" customHeight="1">
      <x:c r="B401" s="2" t="n">
        <x:f>393</x:f>
        <x:v>393</x:v>
      </x:c>
      <x:c r="C401" s="6" t="n">
        <x:f>H400</x:f>
        <x:v>0</x:v>
      </x:c>
      <x:c r="D401" s="6" t="n">
        <x:f>ROUND(C401*'Debt strategy'!$D$9/12,2)</x:f>
        <x:v>0</x:v>
      </x:c>
      <x:c r="E401" s="6" t="n">
        <x:f>MIN(C401+D401,'Debt strategy'!$E$9)</x:f>
        <x:v>0</x:v>
      </x:c>
      <x:c r="F401" s="27" t="n">
        <x:f>IF(C401+D401-E401&lt;=0,99,1+SUM(IF(AND(I401+J401-K401&gt;0,OR(I401+J401-K401&lt;C401+D401-E401,AND(I401+J401-K401=C401+D401-E401,1&lt;0))),1,0),IF(AND(O401+P401-Q401&gt;0,OR(O401+P401-Q401&lt;C401+D401-E401,AND(O401+P401-Q401=C401+D401-E401,2&lt;0))),1,0),IF(AND(U401+V401-W401&gt;0,OR(U401+V401-W401&lt;C401+D401-E401,AND(U401+V401-W401=C401+D401-E401,3&lt;0))),1,0),IF(AND(AA401+AB401-AC401&gt;0,OR(AA401+AB401-AC401&lt;C401+D401-E401,AND(AA401+AB401-AC401=C401+D401-E401,4&lt;0))),1,0)))</x:f>
        <x:v>99</x:v>
      </x:c>
      <x:c r="G401" s="6" t="n">
        <x:f>IF('Debt strategy'!$C$16&gt;0,0,MIN(C401+D401-E401,MAX(0,'Debt strategy'!$C$5-SUM(E401,K401,Q401,W401,AC401)-SUM(IF(L401&lt;F401,I401+J401-K401,0),IF(R401&lt;F401,O401+P401-Q401,0),IF(X401&lt;F401,U401+V401-W401,0),IF(AD401&lt;F401,AA401+AB401-AC401,0)))))</x:f>
        <x:v>0</x:v>
      </x:c>
      <x:c r="H401" s="6" t="n">
        <x:f>ROUND(MAX(0,C401+D401-E401-G401),2)</x:f>
        <x:v>0</x:v>
      </x:c>
      <x:c r="I401" s="6" t="n">
        <x:f>N400</x:f>
        <x:v>0</x:v>
      </x:c>
      <x:c r="J401" s="6" t="n">
        <x:f>ROUND(I401*'Debt strategy'!$D$10/12,2)</x:f>
        <x:v>0</x:v>
      </x:c>
      <x:c r="K401" s="6" t="n">
        <x:f>MIN(I401+J401,'Debt strategy'!$E$10)</x:f>
        <x:v>0</x:v>
      </x:c>
      <x:c r="L401" s="27" t="n">
        <x:f>IF(I401+J401-K401&lt;=0,99,1+SUM(IF(AND(C401+D401-E401&gt;0,OR(C401+D401-E401&lt;I401+J401-K401,AND(C401+D401-E401=I401+J401-K401,0&lt;1))),1,0),IF(AND(O401+P401-Q401&gt;0,OR(O401+P401-Q401&lt;I401+J401-K401,AND(O401+P401-Q401=I401+J401-K401,2&lt;1))),1,0),IF(AND(U401+V401-W401&gt;0,OR(U401+V401-W401&lt;I401+J401-K401,AND(U401+V401-W401=I401+J401-K401,3&lt;1))),1,0),IF(AND(AA401+AB401-AC401&gt;0,OR(AA401+AB401-AC401&lt;I401+J401-K401,AND(AA401+AB401-AC401=I401+J401-K401,4&lt;1))),1,0)))</x:f>
        <x:v>99</x:v>
      </x:c>
      <x:c r="M401" s="6" t="n">
        <x:f>IF('Debt strategy'!$C$16&gt;0,0,MIN(I401+J401-K401,MAX(0,'Debt strategy'!$C$5-SUM(E401,K401,Q401,W401,AC401)-SUM(IF(F401&lt;L401,C401+D401-E401,0),IF(R401&lt;L401,O401+P401-Q401,0),IF(X401&lt;L401,U401+V401-W401,0),IF(AD401&lt;L401,AA401+AB401-AC401,0)))))</x:f>
        <x:v>0</x:v>
      </x:c>
      <x:c r="N401" s="6" t="n">
        <x:f>ROUND(MAX(0,I401+J401-K401-M401),2)</x:f>
        <x:v>0</x:v>
      </x:c>
      <x:c r="O401" s="6" t="n">
        <x:f>T400</x:f>
        <x:v>0</x:v>
      </x:c>
      <x:c r="P401" s="6" t="n">
        <x:f>ROUND(O401*'Debt strategy'!$D$11/12,2)</x:f>
        <x:v>0</x:v>
      </x:c>
      <x:c r="Q401" s="6" t="n">
        <x:f>MIN(O401+P401,'Debt strategy'!$E$11)</x:f>
        <x:v>0</x:v>
      </x:c>
      <x:c r="R401" s="27" t="n">
        <x:f>IF(O401+P401-Q401&lt;=0,99,1+SUM(IF(AND(C401+D401-E401&gt;0,OR(C401+D401-E401&lt;O401+P401-Q401,AND(C401+D401-E401=O401+P401-Q401,0&lt;2))),1,0),IF(AND(I401+J401-K401&gt;0,OR(I401+J401-K401&lt;O401+P401-Q401,AND(I401+J401-K401=O401+P401-Q401,1&lt;2))),1,0),IF(AND(U401+V401-W401&gt;0,OR(U401+V401-W401&lt;O401+P401-Q401,AND(U401+V401-W401=O401+P401-Q401,3&lt;2))),1,0),IF(AND(AA401+AB401-AC401&gt;0,OR(AA401+AB401-AC401&lt;O401+P401-Q401,AND(AA401+AB401-AC401=O401+P401-Q401,4&lt;2))),1,0)))</x:f>
        <x:v>99</x:v>
      </x:c>
      <x:c r="S401" s="6" t="n">
        <x:f>IF('Debt strategy'!$C$16&gt;0,0,MIN(O401+P401-Q401,MAX(0,'Debt strategy'!$C$5-SUM(E401,K401,Q401,W401,AC401)-SUM(IF(F401&lt;R401,C401+D401-E401,0),IF(L401&lt;R401,I401+J401-K401,0),IF(X401&lt;R401,U401+V401-W401,0),IF(AD401&lt;R401,AA401+AB401-AC401,0)))))</x:f>
        <x:v>0</x:v>
      </x:c>
      <x:c r="T401" s="6" t="n">
        <x:f>ROUND(MAX(0,O401+P401-Q401-S401),2)</x:f>
        <x:v>0</x:v>
      </x:c>
      <x:c r="U401" s="6" t="n">
        <x:f>Z400</x:f>
        <x:v>0</x:v>
      </x:c>
      <x:c r="V401" s="6" t="n">
        <x:f>ROUND(U401*'Debt strategy'!$D$12/12,2)</x:f>
        <x:v>0</x:v>
      </x:c>
      <x:c r="W401" s="6" t="n">
        <x:f>MIN(U401+V401,'Debt strategy'!$E$12)</x:f>
        <x:v>0</x:v>
      </x:c>
      <x:c r="X401" s="27" t="n">
        <x:f>IF(U401+V401-W401&lt;=0,99,1+SUM(IF(AND(C401+D401-E401&gt;0,OR(C401+D401-E401&lt;U401+V401-W401,AND(C401+D401-E401=U401+V401-W401,0&lt;3))),1,0),IF(AND(I401+J401-K401&gt;0,OR(I401+J401-K401&lt;U401+V401-W401,AND(I401+J401-K401=U401+V401-W401,1&lt;3))),1,0),IF(AND(O401+P401-Q401&gt;0,OR(O401+P401-Q401&lt;U401+V401-W401,AND(O401+P401-Q401=U401+V401-W401,2&lt;3))),1,0),IF(AND(AA401+AB401-AC401&gt;0,OR(AA401+AB401-AC401&lt;U401+V401-W401,AND(AA401+AB401-AC401=U401+V401-W401,4&lt;3))),1,0)))</x:f>
        <x:v>99</x:v>
      </x:c>
      <x:c r="Y401" s="6" t="n">
        <x:f>IF('Debt strategy'!$C$16&gt;0,0,MIN(U401+V401-W401,MAX(0,'Debt strategy'!$C$5-SUM(E401,K401,Q401,W401,AC401)-SUM(IF(F401&lt;X401,C401+D401-E401,0),IF(L401&lt;X401,I401+J401-K401,0),IF(R401&lt;X401,O401+P401-Q401,0),IF(AD401&lt;X401,AA401+AB401-AC401,0)))))</x:f>
        <x:v>0</x:v>
      </x:c>
      <x:c r="Z401" s="6" t="n">
        <x:f>ROUND(MAX(0,U401+V401-W401-Y401),2)</x:f>
        <x:v>0</x:v>
      </x:c>
      <x:c r="AA401" s="6" t="n">
        <x:f>AF400</x:f>
        <x:v>0</x:v>
      </x:c>
      <x:c r="AB401" s="6" t="n">
        <x:f>ROUND(AA401*'Debt strategy'!$D$13/12,2)</x:f>
        <x:v>0</x:v>
      </x:c>
      <x:c r="AC401" s="6" t="n">
        <x:f>MIN(AA401+AB401,'Debt strategy'!$E$13)</x:f>
        <x:v>0</x:v>
      </x:c>
      <x:c r="AD401" s="27" t="n">
        <x:f>IF(AA401+AB401-AC401&lt;=0,99,1+SUM(IF(AND(C401+D401-E401&gt;0,OR(C401+D401-E401&lt;AA401+AB401-AC401,AND(C401+D401-E401=AA401+AB401-AC401,0&lt;4))),1,0),IF(AND(I401+J401-K401&gt;0,OR(I401+J401-K401&lt;AA401+AB401-AC401,AND(I401+J401-K401=AA401+AB401-AC401,1&lt;4))),1,0),IF(AND(O401+P401-Q401&gt;0,OR(O401+P401-Q401&lt;AA401+AB401-AC401,AND(O401+P401-Q401=AA401+AB401-AC401,2&lt;4))),1,0),IF(AND(U401+V401-W401&gt;0,OR(U401+V401-W401&lt;AA401+AB401-AC401,AND(U401+V401-W401=AA401+AB401-AC401,3&lt;4))),1,0)))</x:f>
        <x:v>99</x:v>
      </x:c>
      <x:c r="AE401" s="6" t="n">
        <x:f>IF('Debt strategy'!$C$16&gt;0,0,MIN(AA401+AB401-AC401,MAX(0,'Debt strategy'!$C$5-SUM(E401,K401,Q401,W401,AC401)-SUM(IF(F401&lt;AD401,C401+D401-E401,0),IF(L401&lt;AD401,I401+J401-K401,0),IF(R401&lt;AD401,O401+P401-Q401,0),IF(X401&lt;AD401,U401+V401-W401,0)))))</x:f>
        <x:v>0</x:v>
      </x:c>
      <x:c r="AF401" s="6" t="n">
        <x:f>ROUND(MAX(0,AA401+AB401-AC401-AE401),2)</x:f>
        <x:v>0</x:v>
      </x:c>
      <x:c r="AG401" s="6" t="n">
        <x:f>SUM(H401,N401,T401,Z401,AF401)</x:f>
        <x:v>0</x:v>
      </x:c>
      <x:c r="AH401" s="6" t="n">
        <x:f>SUM(D401,J401,P401,V401,AB401)+AH400</x:f>
        <x:v>1353.9499999999996</x:v>
      </x:c>
      <x:c r="AI401" s="2"/>
    </x:row>
    <x:row r="402" ht="23" customHeight="1">
      <x:c r="B402" s="2" t="n">
        <x:f>394</x:f>
        <x:v>394</x:v>
      </x:c>
      <x:c r="C402" s="6" t="n">
        <x:f>H401</x:f>
        <x:v>0</x:v>
      </x:c>
      <x:c r="D402" s="6" t="n">
        <x:f>ROUND(C402*'Debt strategy'!$D$9/12,2)</x:f>
        <x:v>0</x:v>
      </x:c>
      <x:c r="E402" s="6" t="n">
        <x:f>MIN(C402+D402,'Debt strategy'!$E$9)</x:f>
        <x:v>0</x:v>
      </x:c>
      <x:c r="F402" s="27" t="n">
        <x:f>IF(C402+D402-E402&lt;=0,99,1+SUM(IF(AND(I402+J402-K402&gt;0,OR(I402+J402-K402&lt;C402+D402-E402,AND(I402+J402-K402=C402+D402-E402,1&lt;0))),1,0),IF(AND(O402+P402-Q402&gt;0,OR(O402+P402-Q402&lt;C402+D402-E402,AND(O402+P402-Q402=C402+D402-E402,2&lt;0))),1,0),IF(AND(U402+V402-W402&gt;0,OR(U402+V402-W402&lt;C402+D402-E402,AND(U402+V402-W402=C402+D402-E402,3&lt;0))),1,0),IF(AND(AA402+AB402-AC402&gt;0,OR(AA402+AB402-AC402&lt;C402+D402-E402,AND(AA402+AB402-AC402=C402+D402-E402,4&lt;0))),1,0)))</x:f>
        <x:v>99</x:v>
      </x:c>
      <x:c r="G402" s="6" t="n">
        <x:f>IF('Debt strategy'!$C$16&gt;0,0,MIN(C402+D402-E402,MAX(0,'Debt strategy'!$C$5-SUM(E402,K402,Q402,W402,AC402)-SUM(IF(L402&lt;F402,I402+J402-K402,0),IF(R402&lt;F402,O402+P402-Q402,0),IF(X402&lt;F402,U402+V402-W402,0),IF(AD402&lt;F402,AA402+AB402-AC402,0)))))</x:f>
        <x:v>0</x:v>
      </x:c>
      <x:c r="H402" s="6" t="n">
        <x:f>ROUND(MAX(0,C402+D402-E402-G402),2)</x:f>
        <x:v>0</x:v>
      </x:c>
      <x:c r="I402" s="6" t="n">
        <x:f>N401</x:f>
        <x:v>0</x:v>
      </x:c>
      <x:c r="J402" s="6" t="n">
        <x:f>ROUND(I402*'Debt strategy'!$D$10/12,2)</x:f>
        <x:v>0</x:v>
      </x:c>
      <x:c r="K402" s="6" t="n">
        <x:f>MIN(I402+J402,'Debt strategy'!$E$10)</x:f>
        <x:v>0</x:v>
      </x:c>
      <x:c r="L402" s="27" t="n">
        <x:f>IF(I402+J402-K402&lt;=0,99,1+SUM(IF(AND(C402+D402-E402&gt;0,OR(C402+D402-E402&lt;I402+J402-K402,AND(C402+D402-E402=I402+J402-K402,0&lt;1))),1,0),IF(AND(O402+P402-Q402&gt;0,OR(O402+P402-Q402&lt;I402+J402-K402,AND(O402+P402-Q402=I402+J402-K402,2&lt;1))),1,0),IF(AND(U402+V402-W402&gt;0,OR(U402+V402-W402&lt;I402+J402-K402,AND(U402+V402-W402=I402+J402-K402,3&lt;1))),1,0),IF(AND(AA402+AB402-AC402&gt;0,OR(AA402+AB402-AC402&lt;I402+J402-K402,AND(AA402+AB402-AC402=I402+J402-K402,4&lt;1))),1,0)))</x:f>
        <x:v>99</x:v>
      </x:c>
      <x:c r="M402" s="6" t="n">
        <x:f>IF('Debt strategy'!$C$16&gt;0,0,MIN(I402+J402-K402,MAX(0,'Debt strategy'!$C$5-SUM(E402,K402,Q402,W402,AC402)-SUM(IF(F402&lt;L402,C402+D402-E402,0),IF(R402&lt;L402,O402+P402-Q402,0),IF(X402&lt;L402,U402+V402-W402,0),IF(AD402&lt;L402,AA402+AB402-AC402,0)))))</x:f>
        <x:v>0</x:v>
      </x:c>
      <x:c r="N402" s="6" t="n">
        <x:f>ROUND(MAX(0,I402+J402-K402-M402),2)</x:f>
        <x:v>0</x:v>
      </x:c>
      <x:c r="O402" s="6" t="n">
        <x:f>T401</x:f>
        <x:v>0</x:v>
      </x:c>
      <x:c r="P402" s="6" t="n">
        <x:f>ROUND(O402*'Debt strategy'!$D$11/12,2)</x:f>
        <x:v>0</x:v>
      </x:c>
      <x:c r="Q402" s="6" t="n">
        <x:f>MIN(O402+P402,'Debt strategy'!$E$11)</x:f>
        <x:v>0</x:v>
      </x:c>
      <x:c r="R402" s="27" t="n">
        <x:f>IF(O402+P402-Q402&lt;=0,99,1+SUM(IF(AND(C402+D402-E402&gt;0,OR(C402+D402-E402&lt;O402+P402-Q402,AND(C402+D402-E402=O402+P402-Q402,0&lt;2))),1,0),IF(AND(I402+J402-K402&gt;0,OR(I402+J402-K402&lt;O402+P402-Q402,AND(I402+J402-K402=O402+P402-Q402,1&lt;2))),1,0),IF(AND(U402+V402-W402&gt;0,OR(U402+V402-W402&lt;O402+P402-Q402,AND(U402+V402-W402=O402+P402-Q402,3&lt;2))),1,0),IF(AND(AA402+AB402-AC402&gt;0,OR(AA402+AB402-AC402&lt;O402+P402-Q402,AND(AA402+AB402-AC402=O402+P402-Q402,4&lt;2))),1,0)))</x:f>
        <x:v>99</x:v>
      </x:c>
      <x:c r="S402" s="6" t="n">
        <x:f>IF('Debt strategy'!$C$16&gt;0,0,MIN(O402+P402-Q402,MAX(0,'Debt strategy'!$C$5-SUM(E402,K402,Q402,W402,AC402)-SUM(IF(F402&lt;R402,C402+D402-E402,0),IF(L402&lt;R402,I402+J402-K402,0),IF(X402&lt;R402,U402+V402-W402,0),IF(AD402&lt;R402,AA402+AB402-AC402,0)))))</x:f>
        <x:v>0</x:v>
      </x:c>
      <x:c r="T402" s="6" t="n">
        <x:f>ROUND(MAX(0,O402+P402-Q402-S402),2)</x:f>
        <x:v>0</x:v>
      </x:c>
      <x:c r="U402" s="6" t="n">
        <x:f>Z401</x:f>
        <x:v>0</x:v>
      </x:c>
      <x:c r="V402" s="6" t="n">
        <x:f>ROUND(U402*'Debt strategy'!$D$12/12,2)</x:f>
        <x:v>0</x:v>
      </x:c>
      <x:c r="W402" s="6" t="n">
        <x:f>MIN(U402+V402,'Debt strategy'!$E$12)</x:f>
        <x:v>0</x:v>
      </x:c>
      <x:c r="X402" s="27" t="n">
        <x:f>IF(U402+V402-W402&lt;=0,99,1+SUM(IF(AND(C402+D402-E402&gt;0,OR(C402+D402-E402&lt;U402+V402-W402,AND(C402+D402-E402=U402+V402-W402,0&lt;3))),1,0),IF(AND(I402+J402-K402&gt;0,OR(I402+J402-K402&lt;U402+V402-W402,AND(I402+J402-K402=U402+V402-W402,1&lt;3))),1,0),IF(AND(O402+P402-Q402&gt;0,OR(O402+P402-Q402&lt;U402+V402-W402,AND(O402+P402-Q402=U402+V402-W402,2&lt;3))),1,0),IF(AND(AA402+AB402-AC402&gt;0,OR(AA402+AB402-AC402&lt;U402+V402-W402,AND(AA402+AB402-AC402=U402+V402-W402,4&lt;3))),1,0)))</x:f>
        <x:v>99</x:v>
      </x:c>
      <x:c r="Y402" s="6" t="n">
        <x:f>IF('Debt strategy'!$C$16&gt;0,0,MIN(U402+V402-W402,MAX(0,'Debt strategy'!$C$5-SUM(E402,K402,Q402,W402,AC402)-SUM(IF(F402&lt;X402,C402+D402-E402,0),IF(L402&lt;X402,I402+J402-K402,0),IF(R402&lt;X402,O402+P402-Q402,0),IF(AD402&lt;X402,AA402+AB402-AC402,0)))))</x:f>
        <x:v>0</x:v>
      </x:c>
      <x:c r="Z402" s="6" t="n">
        <x:f>ROUND(MAX(0,U402+V402-W402-Y402),2)</x:f>
        <x:v>0</x:v>
      </x:c>
      <x:c r="AA402" s="6" t="n">
        <x:f>AF401</x:f>
        <x:v>0</x:v>
      </x:c>
      <x:c r="AB402" s="6" t="n">
        <x:f>ROUND(AA402*'Debt strategy'!$D$13/12,2)</x:f>
        <x:v>0</x:v>
      </x:c>
      <x:c r="AC402" s="6" t="n">
        <x:f>MIN(AA402+AB402,'Debt strategy'!$E$13)</x:f>
        <x:v>0</x:v>
      </x:c>
      <x:c r="AD402" s="27" t="n">
        <x:f>IF(AA402+AB402-AC402&lt;=0,99,1+SUM(IF(AND(C402+D402-E402&gt;0,OR(C402+D402-E402&lt;AA402+AB402-AC402,AND(C402+D402-E402=AA402+AB402-AC402,0&lt;4))),1,0),IF(AND(I402+J402-K402&gt;0,OR(I402+J402-K402&lt;AA402+AB402-AC402,AND(I402+J402-K402=AA402+AB402-AC402,1&lt;4))),1,0),IF(AND(O402+P402-Q402&gt;0,OR(O402+P402-Q402&lt;AA402+AB402-AC402,AND(O402+P402-Q402=AA402+AB402-AC402,2&lt;4))),1,0),IF(AND(U402+V402-W402&gt;0,OR(U402+V402-W402&lt;AA402+AB402-AC402,AND(U402+V402-W402=AA402+AB402-AC402,3&lt;4))),1,0)))</x:f>
        <x:v>99</x:v>
      </x:c>
      <x:c r="AE402" s="6" t="n">
        <x:f>IF('Debt strategy'!$C$16&gt;0,0,MIN(AA402+AB402-AC402,MAX(0,'Debt strategy'!$C$5-SUM(E402,K402,Q402,W402,AC402)-SUM(IF(F402&lt;AD402,C402+D402-E402,0),IF(L402&lt;AD402,I402+J402-K402,0),IF(R402&lt;AD402,O402+P402-Q402,0),IF(X402&lt;AD402,U402+V402-W402,0)))))</x:f>
        <x:v>0</x:v>
      </x:c>
      <x:c r="AF402" s="6" t="n">
        <x:f>ROUND(MAX(0,AA402+AB402-AC402-AE402),2)</x:f>
        <x:v>0</x:v>
      </x:c>
      <x:c r="AG402" s="6" t="n">
        <x:f>SUM(H402,N402,T402,Z402,AF402)</x:f>
        <x:v>0</x:v>
      </x:c>
      <x:c r="AH402" s="6" t="n">
        <x:f>SUM(D402,J402,P402,V402,AB402)+AH401</x:f>
        <x:v>1353.9499999999996</x:v>
      </x:c>
      <x:c r="AI402" s="2"/>
    </x:row>
    <x:row r="403" ht="23" customHeight="1">
      <x:c r="B403" s="2" t="n">
        <x:f>395</x:f>
        <x:v>395</x:v>
      </x:c>
      <x:c r="C403" s="6" t="n">
        <x:f>H402</x:f>
        <x:v>0</x:v>
      </x:c>
      <x:c r="D403" s="6" t="n">
        <x:f>ROUND(C403*'Debt strategy'!$D$9/12,2)</x:f>
        <x:v>0</x:v>
      </x:c>
      <x:c r="E403" s="6" t="n">
        <x:f>MIN(C403+D403,'Debt strategy'!$E$9)</x:f>
        <x:v>0</x:v>
      </x:c>
      <x:c r="F403" s="27" t="n">
        <x:f>IF(C403+D403-E403&lt;=0,99,1+SUM(IF(AND(I403+J403-K403&gt;0,OR(I403+J403-K403&lt;C403+D403-E403,AND(I403+J403-K403=C403+D403-E403,1&lt;0))),1,0),IF(AND(O403+P403-Q403&gt;0,OR(O403+P403-Q403&lt;C403+D403-E403,AND(O403+P403-Q403=C403+D403-E403,2&lt;0))),1,0),IF(AND(U403+V403-W403&gt;0,OR(U403+V403-W403&lt;C403+D403-E403,AND(U403+V403-W403=C403+D403-E403,3&lt;0))),1,0),IF(AND(AA403+AB403-AC403&gt;0,OR(AA403+AB403-AC403&lt;C403+D403-E403,AND(AA403+AB403-AC403=C403+D403-E403,4&lt;0))),1,0)))</x:f>
        <x:v>99</x:v>
      </x:c>
      <x:c r="G403" s="6" t="n">
        <x:f>IF('Debt strategy'!$C$16&gt;0,0,MIN(C403+D403-E403,MAX(0,'Debt strategy'!$C$5-SUM(E403,K403,Q403,W403,AC403)-SUM(IF(L403&lt;F403,I403+J403-K403,0),IF(R403&lt;F403,O403+P403-Q403,0),IF(X403&lt;F403,U403+V403-W403,0),IF(AD403&lt;F403,AA403+AB403-AC403,0)))))</x:f>
        <x:v>0</x:v>
      </x:c>
      <x:c r="H403" s="6" t="n">
        <x:f>ROUND(MAX(0,C403+D403-E403-G403),2)</x:f>
        <x:v>0</x:v>
      </x:c>
      <x:c r="I403" s="6" t="n">
        <x:f>N402</x:f>
        <x:v>0</x:v>
      </x:c>
      <x:c r="J403" s="6" t="n">
        <x:f>ROUND(I403*'Debt strategy'!$D$10/12,2)</x:f>
        <x:v>0</x:v>
      </x:c>
      <x:c r="K403" s="6" t="n">
        <x:f>MIN(I403+J403,'Debt strategy'!$E$10)</x:f>
        <x:v>0</x:v>
      </x:c>
      <x:c r="L403" s="27" t="n">
        <x:f>IF(I403+J403-K403&lt;=0,99,1+SUM(IF(AND(C403+D403-E403&gt;0,OR(C403+D403-E403&lt;I403+J403-K403,AND(C403+D403-E403=I403+J403-K403,0&lt;1))),1,0),IF(AND(O403+P403-Q403&gt;0,OR(O403+P403-Q403&lt;I403+J403-K403,AND(O403+P403-Q403=I403+J403-K403,2&lt;1))),1,0),IF(AND(U403+V403-W403&gt;0,OR(U403+V403-W403&lt;I403+J403-K403,AND(U403+V403-W403=I403+J403-K403,3&lt;1))),1,0),IF(AND(AA403+AB403-AC403&gt;0,OR(AA403+AB403-AC403&lt;I403+J403-K403,AND(AA403+AB403-AC403=I403+J403-K403,4&lt;1))),1,0)))</x:f>
        <x:v>99</x:v>
      </x:c>
      <x:c r="M403" s="6" t="n">
        <x:f>IF('Debt strategy'!$C$16&gt;0,0,MIN(I403+J403-K403,MAX(0,'Debt strategy'!$C$5-SUM(E403,K403,Q403,W403,AC403)-SUM(IF(F403&lt;L403,C403+D403-E403,0),IF(R403&lt;L403,O403+P403-Q403,0),IF(X403&lt;L403,U403+V403-W403,0),IF(AD403&lt;L403,AA403+AB403-AC403,0)))))</x:f>
        <x:v>0</x:v>
      </x:c>
      <x:c r="N403" s="6" t="n">
        <x:f>ROUND(MAX(0,I403+J403-K403-M403),2)</x:f>
        <x:v>0</x:v>
      </x:c>
      <x:c r="O403" s="6" t="n">
        <x:f>T402</x:f>
        <x:v>0</x:v>
      </x:c>
      <x:c r="P403" s="6" t="n">
        <x:f>ROUND(O403*'Debt strategy'!$D$11/12,2)</x:f>
        <x:v>0</x:v>
      </x:c>
      <x:c r="Q403" s="6" t="n">
        <x:f>MIN(O403+P403,'Debt strategy'!$E$11)</x:f>
        <x:v>0</x:v>
      </x:c>
      <x:c r="R403" s="27" t="n">
        <x:f>IF(O403+P403-Q403&lt;=0,99,1+SUM(IF(AND(C403+D403-E403&gt;0,OR(C403+D403-E403&lt;O403+P403-Q403,AND(C403+D403-E403=O403+P403-Q403,0&lt;2))),1,0),IF(AND(I403+J403-K403&gt;0,OR(I403+J403-K403&lt;O403+P403-Q403,AND(I403+J403-K403=O403+P403-Q403,1&lt;2))),1,0),IF(AND(U403+V403-W403&gt;0,OR(U403+V403-W403&lt;O403+P403-Q403,AND(U403+V403-W403=O403+P403-Q403,3&lt;2))),1,0),IF(AND(AA403+AB403-AC403&gt;0,OR(AA403+AB403-AC403&lt;O403+P403-Q403,AND(AA403+AB403-AC403=O403+P403-Q403,4&lt;2))),1,0)))</x:f>
        <x:v>99</x:v>
      </x:c>
      <x:c r="S403" s="6" t="n">
        <x:f>IF('Debt strategy'!$C$16&gt;0,0,MIN(O403+P403-Q403,MAX(0,'Debt strategy'!$C$5-SUM(E403,K403,Q403,W403,AC403)-SUM(IF(F403&lt;R403,C403+D403-E403,0),IF(L403&lt;R403,I403+J403-K403,0),IF(X403&lt;R403,U403+V403-W403,0),IF(AD403&lt;R403,AA403+AB403-AC403,0)))))</x:f>
        <x:v>0</x:v>
      </x:c>
      <x:c r="T403" s="6" t="n">
        <x:f>ROUND(MAX(0,O403+P403-Q403-S403),2)</x:f>
        <x:v>0</x:v>
      </x:c>
      <x:c r="U403" s="6" t="n">
        <x:f>Z402</x:f>
        <x:v>0</x:v>
      </x:c>
      <x:c r="V403" s="6" t="n">
        <x:f>ROUND(U403*'Debt strategy'!$D$12/12,2)</x:f>
        <x:v>0</x:v>
      </x:c>
      <x:c r="W403" s="6" t="n">
        <x:f>MIN(U403+V403,'Debt strategy'!$E$12)</x:f>
        <x:v>0</x:v>
      </x:c>
      <x:c r="X403" s="27" t="n">
        <x:f>IF(U403+V403-W403&lt;=0,99,1+SUM(IF(AND(C403+D403-E403&gt;0,OR(C403+D403-E403&lt;U403+V403-W403,AND(C403+D403-E403=U403+V403-W403,0&lt;3))),1,0),IF(AND(I403+J403-K403&gt;0,OR(I403+J403-K403&lt;U403+V403-W403,AND(I403+J403-K403=U403+V403-W403,1&lt;3))),1,0),IF(AND(O403+P403-Q403&gt;0,OR(O403+P403-Q403&lt;U403+V403-W403,AND(O403+P403-Q403=U403+V403-W403,2&lt;3))),1,0),IF(AND(AA403+AB403-AC403&gt;0,OR(AA403+AB403-AC403&lt;U403+V403-W403,AND(AA403+AB403-AC403=U403+V403-W403,4&lt;3))),1,0)))</x:f>
        <x:v>99</x:v>
      </x:c>
      <x:c r="Y403" s="6" t="n">
        <x:f>IF('Debt strategy'!$C$16&gt;0,0,MIN(U403+V403-W403,MAX(0,'Debt strategy'!$C$5-SUM(E403,K403,Q403,W403,AC403)-SUM(IF(F403&lt;X403,C403+D403-E403,0),IF(L403&lt;X403,I403+J403-K403,0),IF(R403&lt;X403,O403+P403-Q403,0),IF(AD403&lt;X403,AA403+AB403-AC403,0)))))</x:f>
        <x:v>0</x:v>
      </x:c>
      <x:c r="Z403" s="6" t="n">
        <x:f>ROUND(MAX(0,U403+V403-W403-Y403),2)</x:f>
        <x:v>0</x:v>
      </x:c>
      <x:c r="AA403" s="6" t="n">
        <x:f>AF402</x:f>
        <x:v>0</x:v>
      </x:c>
      <x:c r="AB403" s="6" t="n">
        <x:f>ROUND(AA403*'Debt strategy'!$D$13/12,2)</x:f>
        <x:v>0</x:v>
      </x:c>
      <x:c r="AC403" s="6" t="n">
        <x:f>MIN(AA403+AB403,'Debt strategy'!$E$13)</x:f>
        <x:v>0</x:v>
      </x:c>
      <x:c r="AD403" s="27" t="n">
        <x:f>IF(AA403+AB403-AC403&lt;=0,99,1+SUM(IF(AND(C403+D403-E403&gt;0,OR(C403+D403-E403&lt;AA403+AB403-AC403,AND(C403+D403-E403=AA403+AB403-AC403,0&lt;4))),1,0),IF(AND(I403+J403-K403&gt;0,OR(I403+J403-K403&lt;AA403+AB403-AC403,AND(I403+J403-K403=AA403+AB403-AC403,1&lt;4))),1,0),IF(AND(O403+P403-Q403&gt;0,OR(O403+P403-Q403&lt;AA403+AB403-AC403,AND(O403+P403-Q403=AA403+AB403-AC403,2&lt;4))),1,0),IF(AND(U403+V403-W403&gt;0,OR(U403+V403-W403&lt;AA403+AB403-AC403,AND(U403+V403-W403=AA403+AB403-AC403,3&lt;4))),1,0)))</x:f>
        <x:v>99</x:v>
      </x:c>
      <x:c r="AE403" s="6" t="n">
        <x:f>IF('Debt strategy'!$C$16&gt;0,0,MIN(AA403+AB403-AC403,MAX(0,'Debt strategy'!$C$5-SUM(E403,K403,Q403,W403,AC403)-SUM(IF(F403&lt;AD403,C403+D403-E403,0),IF(L403&lt;AD403,I403+J403-K403,0),IF(R403&lt;AD403,O403+P403-Q403,0),IF(X403&lt;AD403,U403+V403-W403,0)))))</x:f>
        <x:v>0</x:v>
      </x:c>
      <x:c r="AF403" s="6" t="n">
        <x:f>ROUND(MAX(0,AA403+AB403-AC403-AE403),2)</x:f>
        <x:v>0</x:v>
      </x:c>
      <x:c r="AG403" s="6" t="n">
        <x:f>SUM(H403,N403,T403,Z403,AF403)</x:f>
        <x:v>0</x:v>
      </x:c>
      <x:c r="AH403" s="6" t="n">
        <x:f>SUM(D403,J403,P403,V403,AB403)+AH402</x:f>
        <x:v>1353.9499999999996</x:v>
      </x:c>
      <x:c r="AI403" s="2"/>
    </x:row>
    <x:row r="404" ht="23" customHeight="1">
      <x:c r="B404" s="2" t="n">
        <x:f>396</x:f>
        <x:v>396</x:v>
      </x:c>
      <x:c r="C404" s="6" t="n">
        <x:f>H403</x:f>
        <x:v>0</x:v>
      </x:c>
      <x:c r="D404" s="6" t="n">
        <x:f>ROUND(C404*'Debt strategy'!$D$9/12,2)</x:f>
        <x:v>0</x:v>
      </x:c>
      <x:c r="E404" s="6" t="n">
        <x:f>MIN(C404+D404,'Debt strategy'!$E$9)</x:f>
        <x:v>0</x:v>
      </x:c>
      <x:c r="F404" s="27" t="n">
        <x:f>IF(C404+D404-E404&lt;=0,99,1+SUM(IF(AND(I404+J404-K404&gt;0,OR(I404+J404-K404&lt;C404+D404-E404,AND(I404+J404-K404=C404+D404-E404,1&lt;0))),1,0),IF(AND(O404+P404-Q404&gt;0,OR(O404+P404-Q404&lt;C404+D404-E404,AND(O404+P404-Q404=C404+D404-E404,2&lt;0))),1,0),IF(AND(U404+V404-W404&gt;0,OR(U404+V404-W404&lt;C404+D404-E404,AND(U404+V404-W404=C404+D404-E404,3&lt;0))),1,0),IF(AND(AA404+AB404-AC404&gt;0,OR(AA404+AB404-AC404&lt;C404+D404-E404,AND(AA404+AB404-AC404=C404+D404-E404,4&lt;0))),1,0)))</x:f>
        <x:v>99</x:v>
      </x:c>
      <x:c r="G404" s="6" t="n">
        <x:f>IF('Debt strategy'!$C$16&gt;0,0,MIN(C404+D404-E404,MAX(0,'Debt strategy'!$C$5-SUM(E404,K404,Q404,W404,AC404)-SUM(IF(L404&lt;F404,I404+J404-K404,0),IF(R404&lt;F404,O404+P404-Q404,0),IF(X404&lt;F404,U404+V404-W404,0),IF(AD404&lt;F404,AA404+AB404-AC404,0)))))</x:f>
        <x:v>0</x:v>
      </x:c>
      <x:c r="H404" s="6" t="n">
        <x:f>ROUND(MAX(0,C404+D404-E404-G404),2)</x:f>
        <x:v>0</x:v>
      </x:c>
      <x:c r="I404" s="6" t="n">
        <x:f>N403</x:f>
        <x:v>0</x:v>
      </x:c>
      <x:c r="J404" s="6" t="n">
        <x:f>ROUND(I404*'Debt strategy'!$D$10/12,2)</x:f>
        <x:v>0</x:v>
      </x:c>
      <x:c r="K404" s="6" t="n">
        <x:f>MIN(I404+J404,'Debt strategy'!$E$10)</x:f>
        <x:v>0</x:v>
      </x:c>
      <x:c r="L404" s="27" t="n">
        <x:f>IF(I404+J404-K404&lt;=0,99,1+SUM(IF(AND(C404+D404-E404&gt;0,OR(C404+D404-E404&lt;I404+J404-K404,AND(C404+D404-E404=I404+J404-K404,0&lt;1))),1,0),IF(AND(O404+P404-Q404&gt;0,OR(O404+P404-Q404&lt;I404+J404-K404,AND(O404+P404-Q404=I404+J404-K404,2&lt;1))),1,0),IF(AND(U404+V404-W404&gt;0,OR(U404+V404-W404&lt;I404+J404-K404,AND(U404+V404-W404=I404+J404-K404,3&lt;1))),1,0),IF(AND(AA404+AB404-AC404&gt;0,OR(AA404+AB404-AC404&lt;I404+J404-K404,AND(AA404+AB404-AC404=I404+J404-K404,4&lt;1))),1,0)))</x:f>
        <x:v>99</x:v>
      </x:c>
      <x:c r="M404" s="6" t="n">
        <x:f>IF('Debt strategy'!$C$16&gt;0,0,MIN(I404+J404-K404,MAX(0,'Debt strategy'!$C$5-SUM(E404,K404,Q404,W404,AC404)-SUM(IF(F404&lt;L404,C404+D404-E404,0),IF(R404&lt;L404,O404+P404-Q404,0),IF(X404&lt;L404,U404+V404-W404,0),IF(AD404&lt;L404,AA404+AB404-AC404,0)))))</x:f>
        <x:v>0</x:v>
      </x:c>
      <x:c r="N404" s="6" t="n">
        <x:f>ROUND(MAX(0,I404+J404-K404-M404),2)</x:f>
        <x:v>0</x:v>
      </x:c>
      <x:c r="O404" s="6" t="n">
        <x:f>T403</x:f>
        <x:v>0</x:v>
      </x:c>
      <x:c r="P404" s="6" t="n">
        <x:f>ROUND(O404*'Debt strategy'!$D$11/12,2)</x:f>
        <x:v>0</x:v>
      </x:c>
      <x:c r="Q404" s="6" t="n">
        <x:f>MIN(O404+P404,'Debt strategy'!$E$11)</x:f>
        <x:v>0</x:v>
      </x:c>
      <x:c r="R404" s="27" t="n">
        <x:f>IF(O404+P404-Q404&lt;=0,99,1+SUM(IF(AND(C404+D404-E404&gt;0,OR(C404+D404-E404&lt;O404+P404-Q404,AND(C404+D404-E404=O404+P404-Q404,0&lt;2))),1,0),IF(AND(I404+J404-K404&gt;0,OR(I404+J404-K404&lt;O404+P404-Q404,AND(I404+J404-K404=O404+P404-Q404,1&lt;2))),1,0),IF(AND(U404+V404-W404&gt;0,OR(U404+V404-W404&lt;O404+P404-Q404,AND(U404+V404-W404=O404+P404-Q404,3&lt;2))),1,0),IF(AND(AA404+AB404-AC404&gt;0,OR(AA404+AB404-AC404&lt;O404+P404-Q404,AND(AA404+AB404-AC404=O404+P404-Q404,4&lt;2))),1,0)))</x:f>
        <x:v>99</x:v>
      </x:c>
      <x:c r="S404" s="6" t="n">
        <x:f>IF('Debt strategy'!$C$16&gt;0,0,MIN(O404+P404-Q404,MAX(0,'Debt strategy'!$C$5-SUM(E404,K404,Q404,W404,AC404)-SUM(IF(F404&lt;R404,C404+D404-E404,0),IF(L404&lt;R404,I404+J404-K404,0),IF(X404&lt;R404,U404+V404-W404,0),IF(AD404&lt;R404,AA404+AB404-AC404,0)))))</x:f>
        <x:v>0</x:v>
      </x:c>
      <x:c r="T404" s="6" t="n">
        <x:f>ROUND(MAX(0,O404+P404-Q404-S404),2)</x:f>
        <x:v>0</x:v>
      </x:c>
      <x:c r="U404" s="6" t="n">
        <x:f>Z403</x:f>
        <x:v>0</x:v>
      </x:c>
      <x:c r="V404" s="6" t="n">
        <x:f>ROUND(U404*'Debt strategy'!$D$12/12,2)</x:f>
        <x:v>0</x:v>
      </x:c>
      <x:c r="W404" s="6" t="n">
        <x:f>MIN(U404+V404,'Debt strategy'!$E$12)</x:f>
        <x:v>0</x:v>
      </x:c>
      <x:c r="X404" s="27" t="n">
        <x:f>IF(U404+V404-W404&lt;=0,99,1+SUM(IF(AND(C404+D404-E404&gt;0,OR(C404+D404-E404&lt;U404+V404-W404,AND(C404+D404-E404=U404+V404-W404,0&lt;3))),1,0),IF(AND(I404+J404-K404&gt;0,OR(I404+J404-K404&lt;U404+V404-W404,AND(I404+J404-K404=U404+V404-W404,1&lt;3))),1,0),IF(AND(O404+P404-Q404&gt;0,OR(O404+P404-Q404&lt;U404+V404-W404,AND(O404+P404-Q404=U404+V404-W404,2&lt;3))),1,0),IF(AND(AA404+AB404-AC404&gt;0,OR(AA404+AB404-AC404&lt;U404+V404-W404,AND(AA404+AB404-AC404=U404+V404-W404,4&lt;3))),1,0)))</x:f>
        <x:v>99</x:v>
      </x:c>
      <x:c r="Y404" s="6" t="n">
        <x:f>IF('Debt strategy'!$C$16&gt;0,0,MIN(U404+V404-W404,MAX(0,'Debt strategy'!$C$5-SUM(E404,K404,Q404,W404,AC404)-SUM(IF(F404&lt;X404,C404+D404-E404,0),IF(L404&lt;X404,I404+J404-K404,0),IF(R404&lt;X404,O404+P404-Q404,0),IF(AD404&lt;X404,AA404+AB404-AC404,0)))))</x:f>
        <x:v>0</x:v>
      </x:c>
      <x:c r="Z404" s="6" t="n">
        <x:f>ROUND(MAX(0,U404+V404-W404-Y404),2)</x:f>
        <x:v>0</x:v>
      </x:c>
      <x:c r="AA404" s="6" t="n">
        <x:f>AF403</x:f>
        <x:v>0</x:v>
      </x:c>
      <x:c r="AB404" s="6" t="n">
        <x:f>ROUND(AA404*'Debt strategy'!$D$13/12,2)</x:f>
        <x:v>0</x:v>
      </x:c>
      <x:c r="AC404" s="6" t="n">
        <x:f>MIN(AA404+AB404,'Debt strategy'!$E$13)</x:f>
        <x:v>0</x:v>
      </x:c>
      <x:c r="AD404" s="27" t="n">
        <x:f>IF(AA404+AB404-AC404&lt;=0,99,1+SUM(IF(AND(C404+D404-E404&gt;0,OR(C404+D404-E404&lt;AA404+AB404-AC404,AND(C404+D404-E404=AA404+AB404-AC404,0&lt;4))),1,0),IF(AND(I404+J404-K404&gt;0,OR(I404+J404-K404&lt;AA404+AB404-AC404,AND(I404+J404-K404=AA404+AB404-AC404,1&lt;4))),1,0),IF(AND(O404+P404-Q404&gt;0,OR(O404+P404-Q404&lt;AA404+AB404-AC404,AND(O404+P404-Q404=AA404+AB404-AC404,2&lt;4))),1,0),IF(AND(U404+V404-W404&gt;0,OR(U404+V404-W404&lt;AA404+AB404-AC404,AND(U404+V404-W404=AA404+AB404-AC404,3&lt;4))),1,0)))</x:f>
        <x:v>99</x:v>
      </x:c>
      <x:c r="AE404" s="6" t="n">
        <x:f>IF('Debt strategy'!$C$16&gt;0,0,MIN(AA404+AB404-AC404,MAX(0,'Debt strategy'!$C$5-SUM(E404,K404,Q404,W404,AC404)-SUM(IF(F404&lt;AD404,C404+D404-E404,0),IF(L404&lt;AD404,I404+J404-K404,0),IF(R404&lt;AD404,O404+P404-Q404,0),IF(X404&lt;AD404,U404+V404-W404,0)))))</x:f>
        <x:v>0</x:v>
      </x:c>
      <x:c r="AF404" s="6" t="n">
        <x:f>ROUND(MAX(0,AA404+AB404-AC404-AE404),2)</x:f>
        <x:v>0</x:v>
      </x:c>
      <x:c r="AG404" s="6" t="n">
        <x:f>SUM(H404,N404,T404,Z404,AF404)</x:f>
        <x:v>0</x:v>
      </x:c>
      <x:c r="AH404" s="6" t="n">
        <x:f>SUM(D404,J404,P404,V404,AB404)+AH403</x:f>
        <x:v>1353.9499999999996</x:v>
      </x:c>
      <x:c r="AI404" s="2"/>
    </x:row>
    <x:row r="405" ht="23" customHeight="1">
      <x:c r="B405" s="2" t="n">
        <x:f>397</x:f>
        <x:v>397</x:v>
      </x:c>
      <x:c r="C405" s="6" t="n">
        <x:f>H404</x:f>
        <x:v>0</x:v>
      </x:c>
      <x:c r="D405" s="6" t="n">
        <x:f>ROUND(C405*'Debt strategy'!$D$9/12,2)</x:f>
        <x:v>0</x:v>
      </x:c>
      <x:c r="E405" s="6" t="n">
        <x:f>MIN(C405+D405,'Debt strategy'!$E$9)</x:f>
        <x:v>0</x:v>
      </x:c>
      <x:c r="F405" s="27" t="n">
        <x:f>IF(C405+D405-E405&lt;=0,99,1+SUM(IF(AND(I405+J405-K405&gt;0,OR(I405+J405-K405&lt;C405+D405-E405,AND(I405+J405-K405=C405+D405-E405,1&lt;0))),1,0),IF(AND(O405+P405-Q405&gt;0,OR(O405+P405-Q405&lt;C405+D405-E405,AND(O405+P405-Q405=C405+D405-E405,2&lt;0))),1,0),IF(AND(U405+V405-W405&gt;0,OR(U405+V405-W405&lt;C405+D405-E405,AND(U405+V405-W405=C405+D405-E405,3&lt;0))),1,0),IF(AND(AA405+AB405-AC405&gt;0,OR(AA405+AB405-AC405&lt;C405+D405-E405,AND(AA405+AB405-AC405=C405+D405-E405,4&lt;0))),1,0)))</x:f>
        <x:v>99</x:v>
      </x:c>
      <x:c r="G405" s="6" t="n">
        <x:f>IF('Debt strategy'!$C$16&gt;0,0,MIN(C405+D405-E405,MAX(0,'Debt strategy'!$C$5-SUM(E405,K405,Q405,W405,AC405)-SUM(IF(L405&lt;F405,I405+J405-K405,0),IF(R405&lt;F405,O405+P405-Q405,0),IF(X405&lt;F405,U405+V405-W405,0),IF(AD405&lt;F405,AA405+AB405-AC405,0)))))</x:f>
        <x:v>0</x:v>
      </x:c>
      <x:c r="H405" s="6" t="n">
        <x:f>ROUND(MAX(0,C405+D405-E405-G405),2)</x:f>
        <x:v>0</x:v>
      </x:c>
      <x:c r="I405" s="6" t="n">
        <x:f>N404</x:f>
        <x:v>0</x:v>
      </x:c>
      <x:c r="J405" s="6" t="n">
        <x:f>ROUND(I405*'Debt strategy'!$D$10/12,2)</x:f>
        <x:v>0</x:v>
      </x:c>
      <x:c r="K405" s="6" t="n">
        <x:f>MIN(I405+J405,'Debt strategy'!$E$10)</x:f>
        <x:v>0</x:v>
      </x:c>
      <x:c r="L405" s="27" t="n">
        <x:f>IF(I405+J405-K405&lt;=0,99,1+SUM(IF(AND(C405+D405-E405&gt;0,OR(C405+D405-E405&lt;I405+J405-K405,AND(C405+D405-E405=I405+J405-K405,0&lt;1))),1,0),IF(AND(O405+P405-Q405&gt;0,OR(O405+P405-Q405&lt;I405+J405-K405,AND(O405+P405-Q405=I405+J405-K405,2&lt;1))),1,0),IF(AND(U405+V405-W405&gt;0,OR(U405+V405-W405&lt;I405+J405-K405,AND(U405+V405-W405=I405+J405-K405,3&lt;1))),1,0),IF(AND(AA405+AB405-AC405&gt;0,OR(AA405+AB405-AC405&lt;I405+J405-K405,AND(AA405+AB405-AC405=I405+J405-K405,4&lt;1))),1,0)))</x:f>
        <x:v>99</x:v>
      </x:c>
      <x:c r="M405" s="6" t="n">
        <x:f>IF('Debt strategy'!$C$16&gt;0,0,MIN(I405+J405-K405,MAX(0,'Debt strategy'!$C$5-SUM(E405,K405,Q405,W405,AC405)-SUM(IF(F405&lt;L405,C405+D405-E405,0),IF(R405&lt;L405,O405+P405-Q405,0),IF(X405&lt;L405,U405+V405-W405,0),IF(AD405&lt;L405,AA405+AB405-AC405,0)))))</x:f>
        <x:v>0</x:v>
      </x:c>
      <x:c r="N405" s="6" t="n">
        <x:f>ROUND(MAX(0,I405+J405-K405-M405),2)</x:f>
        <x:v>0</x:v>
      </x:c>
      <x:c r="O405" s="6" t="n">
        <x:f>T404</x:f>
        <x:v>0</x:v>
      </x:c>
      <x:c r="P405" s="6" t="n">
        <x:f>ROUND(O405*'Debt strategy'!$D$11/12,2)</x:f>
        <x:v>0</x:v>
      </x:c>
      <x:c r="Q405" s="6" t="n">
        <x:f>MIN(O405+P405,'Debt strategy'!$E$11)</x:f>
        <x:v>0</x:v>
      </x:c>
      <x:c r="R405" s="27" t="n">
        <x:f>IF(O405+P405-Q405&lt;=0,99,1+SUM(IF(AND(C405+D405-E405&gt;0,OR(C405+D405-E405&lt;O405+P405-Q405,AND(C405+D405-E405=O405+P405-Q405,0&lt;2))),1,0),IF(AND(I405+J405-K405&gt;0,OR(I405+J405-K405&lt;O405+P405-Q405,AND(I405+J405-K405=O405+P405-Q405,1&lt;2))),1,0),IF(AND(U405+V405-W405&gt;0,OR(U405+V405-W405&lt;O405+P405-Q405,AND(U405+V405-W405=O405+P405-Q405,3&lt;2))),1,0),IF(AND(AA405+AB405-AC405&gt;0,OR(AA405+AB405-AC405&lt;O405+P405-Q405,AND(AA405+AB405-AC405=O405+P405-Q405,4&lt;2))),1,0)))</x:f>
        <x:v>99</x:v>
      </x:c>
      <x:c r="S405" s="6" t="n">
        <x:f>IF('Debt strategy'!$C$16&gt;0,0,MIN(O405+P405-Q405,MAX(0,'Debt strategy'!$C$5-SUM(E405,K405,Q405,W405,AC405)-SUM(IF(F405&lt;R405,C405+D405-E405,0),IF(L405&lt;R405,I405+J405-K405,0),IF(X405&lt;R405,U405+V405-W405,0),IF(AD405&lt;R405,AA405+AB405-AC405,0)))))</x:f>
        <x:v>0</x:v>
      </x:c>
      <x:c r="T405" s="6" t="n">
        <x:f>ROUND(MAX(0,O405+P405-Q405-S405),2)</x:f>
        <x:v>0</x:v>
      </x:c>
      <x:c r="U405" s="6" t="n">
        <x:f>Z404</x:f>
        <x:v>0</x:v>
      </x:c>
      <x:c r="V405" s="6" t="n">
        <x:f>ROUND(U405*'Debt strategy'!$D$12/12,2)</x:f>
        <x:v>0</x:v>
      </x:c>
      <x:c r="W405" s="6" t="n">
        <x:f>MIN(U405+V405,'Debt strategy'!$E$12)</x:f>
        <x:v>0</x:v>
      </x:c>
      <x:c r="X405" s="27" t="n">
        <x:f>IF(U405+V405-W405&lt;=0,99,1+SUM(IF(AND(C405+D405-E405&gt;0,OR(C405+D405-E405&lt;U405+V405-W405,AND(C405+D405-E405=U405+V405-W405,0&lt;3))),1,0),IF(AND(I405+J405-K405&gt;0,OR(I405+J405-K405&lt;U405+V405-W405,AND(I405+J405-K405=U405+V405-W405,1&lt;3))),1,0),IF(AND(O405+P405-Q405&gt;0,OR(O405+P405-Q405&lt;U405+V405-W405,AND(O405+P405-Q405=U405+V405-W405,2&lt;3))),1,0),IF(AND(AA405+AB405-AC405&gt;0,OR(AA405+AB405-AC405&lt;U405+V405-W405,AND(AA405+AB405-AC405=U405+V405-W405,4&lt;3))),1,0)))</x:f>
        <x:v>99</x:v>
      </x:c>
      <x:c r="Y405" s="6" t="n">
        <x:f>IF('Debt strategy'!$C$16&gt;0,0,MIN(U405+V405-W405,MAX(0,'Debt strategy'!$C$5-SUM(E405,K405,Q405,W405,AC405)-SUM(IF(F405&lt;X405,C405+D405-E405,0),IF(L405&lt;X405,I405+J405-K405,0),IF(R405&lt;X405,O405+P405-Q405,0),IF(AD405&lt;X405,AA405+AB405-AC405,0)))))</x:f>
        <x:v>0</x:v>
      </x:c>
      <x:c r="Z405" s="6" t="n">
        <x:f>ROUND(MAX(0,U405+V405-W405-Y405),2)</x:f>
        <x:v>0</x:v>
      </x:c>
      <x:c r="AA405" s="6" t="n">
        <x:f>AF404</x:f>
        <x:v>0</x:v>
      </x:c>
      <x:c r="AB405" s="6" t="n">
        <x:f>ROUND(AA405*'Debt strategy'!$D$13/12,2)</x:f>
        <x:v>0</x:v>
      </x:c>
      <x:c r="AC405" s="6" t="n">
        <x:f>MIN(AA405+AB405,'Debt strategy'!$E$13)</x:f>
        <x:v>0</x:v>
      </x:c>
      <x:c r="AD405" s="27" t="n">
        <x:f>IF(AA405+AB405-AC405&lt;=0,99,1+SUM(IF(AND(C405+D405-E405&gt;0,OR(C405+D405-E405&lt;AA405+AB405-AC405,AND(C405+D405-E405=AA405+AB405-AC405,0&lt;4))),1,0),IF(AND(I405+J405-K405&gt;0,OR(I405+J405-K405&lt;AA405+AB405-AC405,AND(I405+J405-K405=AA405+AB405-AC405,1&lt;4))),1,0),IF(AND(O405+P405-Q405&gt;0,OR(O405+P405-Q405&lt;AA405+AB405-AC405,AND(O405+P405-Q405=AA405+AB405-AC405,2&lt;4))),1,0),IF(AND(U405+V405-W405&gt;0,OR(U405+V405-W405&lt;AA405+AB405-AC405,AND(U405+V405-W405=AA405+AB405-AC405,3&lt;4))),1,0)))</x:f>
        <x:v>99</x:v>
      </x:c>
      <x:c r="AE405" s="6" t="n">
        <x:f>IF('Debt strategy'!$C$16&gt;0,0,MIN(AA405+AB405-AC405,MAX(0,'Debt strategy'!$C$5-SUM(E405,K405,Q405,W405,AC405)-SUM(IF(F405&lt;AD405,C405+D405-E405,0),IF(L405&lt;AD405,I405+J405-K405,0),IF(R405&lt;AD405,O405+P405-Q405,0),IF(X405&lt;AD405,U405+V405-W405,0)))))</x:f>
        <x:v>0</x:v>
      </x:c>
      <x:c r="AF405" s="6" t="n">
        <x:f>ROUND(MAX(0,AA405+AB405-AC405-AE405),2)</x:f>
        <x:v>0</x:v>
      </x:c>
      <x:c r="AG405" s="6" t="n">
        <x:f>SUM(H405,N405,T405,Z405,AF405)</x:f>
        <x:v>0</x:v>
      </x:c>
      <x:c r="AH405" s="6" t="n">
        <x:f>SUM(D405,J405,P405,V405,AB405)+AH404</x:f>
        <x:v>1353.9499999999996</x:v>
      </x:c>
      <x:c r="AI405" s="2"/>
    </x:row>
    <x:row r="406" ht="23" customHeight="1">
      <x:c r="B406" s="2" t="n">
        <x:f>398</x:f>
        <x:v>398</x:v>
      </x:c>
      <x:c r="C406" s="6" t="n">
        <x:f>H405</x:f>
        <x:v>0</x:v>
      </x:c>
      <x:c r="D406" s="6" t="n">
        <x:f>ROUND(C406*'Debt strategy'!$D$9/12,2)</x:f>
        <x:v>0</x:v>
      </x:c>
      <x:c r="E406" s="6" t="n">
        <x:f>MIN(C406+D406,'Debt strategy'!$E$9)</x:f>
        <x:v>0</x:v>
      </x:c>
      <x:c r="F406" s="27" t="n">
        <x:f>IF(C406+D406-E406&lt;=0,99,1+SUM(IF(AND(I406+J406-K406&gt;0,OR(I406+J406-K406&lt;C406+D406-E406,AND(I406+J406-K406=C406+D406-E406,1&lt;0))),1,0),IF(AND(O406+P406-Q406&gt;0,OR(O406+P406-Q406&lt;C406+D406-E406,AND(O406+P406-Q406=C406+D406-E406,2&lt;0))),1,0),IF(AND(U406+V406-W406&gt;0,OR(U406+V406-W406&lt;C406+D406-E406,AND(U406+V406-W406=C406+D406-E406,3&lt;0))),1,0),IF(AND(AA406+AB406-AC406&gt;0,OR(AA406+AB406-AC406&lt;C406+D406-E406,AND(AA406+AB406-AC406=C406+D406-E406,4&lt;0))),1,0)))</x:f>
        <x:v>99</x:v>
      </x:c>
      <x:c r="G406" s="6" t="n">
        <x:f>IF('Debt strategy'!$C$16&gt;0,0,MIN(C406+D406-E406,MAX(0,'Debt strategy'!$C$5-SUM(E406,K406,Q406,W406,AC406)-SUM(IF(L406&lt;F406,I406+J406-K406,0),IF(R406&lt;F406,O406+P406-Q406,0),IF(X406&lt;F406,U406+V406-W406,0),IF(AD406&lt;F406,AA406+AB406-AC406,0)))))</x:f>
        <x:v>0</x:v>
      </x:c>
      <x:c r="H406" s="6" t="n">
        <x:f>ROUND(MAX(0,C406+D406-E406-G406),2)</x:f>
        <x:v>0</x:v>
      </x:c>
      <x:c r="I406" s="6" t="n">
        <x:f>N405</x:f>
        <x:v>0</x:v>
      </x:c>
      <x:c r="J406" s="6" t="n">
        <x:f>ROUND(I406*'Debt strategy'!$D$10/12,2)</x:f>
        <x:v>0</x:v>
      </x:c>
      <x:c r="K406" s="6" t="n">
        <x:f>MIN(I406+J406,'Debt strategy'!$E$10)</x:f>
        <x:v>0</x:v>
      </x:c>
      <x:c r="L406" s="27" t="n">
        <x:f>IF(I406+J406-K406&lt;=0,99,1+SUM(IF(AND(C406+D406-E406&gt;0,OR(C406+D406-E406&lt;I406+J406-K406,AND(C406+D406-E406=I406+J406-K406,0&lt;1))),1,0),IF(AND(O406+P406-Q406&gt;0,OR(O406+P406-Q406&lt;I406+J406-K406,AND(O406+P406-Q406=I406+J406-K406,2&lt;1))),1,0),IF(AND(U406+V406-W406&gt;0,OR(U406+V406-W406&lt;I406+J406-K406,AND(U406+V406-W406=I406+J406-K406,3&lt;1))),1,0),IF(AND(AA406+AB406-AC406&gt;0,OR(AA406+AB406-AC406&lt;I406+J406-K406,AND(AA406+AB406-AC406=I406+J406-K406,4&lt;1))),1,0)))</x:f>
        <x:v>99</x:v>
      </x:c>
      <x:c r="M406" s="6" t="n">
        <x:f>IF('Debt strategy'!$C$16&gt;0,0,MIN(I406+J406-K406,MAX(0,'Debt strategy'!$C$5-SUM(E406,K406,Q406,W406,AC406)-SUM(IF(F406&lt;L406,C406+D406-E406,0),IF(R406&lt;L406,O406+P406-Q406,0),IF(X406&lt;L406,U406+V406-W406,0),IF(AD406&lt;L406,AA406+AB406-AC406,0)))))</x:f>
        <x:v>0</x:v>
      </x:c>
      <x:c r="N406" s="6" t="n">
        <x:f>ROUND(MAX(0,I406+J406-K406-M406),2)</x:f>
        <x:v>0</x:v>
      </x:c>
      <x:c r="O406" s="6" t="n">
        <x:f>T405</x:f>
        <x:v>0</x:v>
      </x:c>
      <x:c r="P406" s="6" t="n">
        <x:f>ROUND(O406*'Debt strategy'!$D$11/12,2)</x:f>
        <x:v>0</x:v>
      </x:c>
      <x:c r="Q406" s="6" t="n">
        <x:f>MIN(O406+P406,'Debt strategy'!$E$11)</x:f>
        <x:v>0</x:v>
      </x:c>
      <x:c r="R406" s="27" t="n">
        <x:f>IF(O406+P406-Q406&lt;=0,99,1+SUM(IF(AND(C406+D406-E406&gt;0,OR(C406+D406-E406&lt;O406+P406-Q406,AND(C406+D406-E406=O406+P406-Q406,0&lt;2))),1,0),IF(AND(I406+J406-K406&gt;0,OR(I406+J406-K406&lt;O406+P406-Q406,AND(I406+J406-K406=O406+P406-Q406,1&lt;2))),1,0),IF(AND(U406+V406-W406&gt;0,OR(U406+V406-W406&lt;O406+P406-Q406,AND(U406+V406-W406=O406+P406-Q406,3&lt;2))),1,0),IF(AND(AA406+AB406-AC406&gt;0,OR(AA406+AB406-AC406&lt;O406+P406-Q406,AND(AA406+AB406-AC406=O406+P406-Q406,4&lt;2))),1,0)))</x:f>
        <x:v>99</x:v>
      </x:c>
      <x:c r="S406" s="6" t="n">
        <x:f>IF('Debt strategy'!$C$16&gt;0,0,MIN(O406+P406-Q406,MAX(0,'Debt strategy'!$C$5-SUM(E406,K406,Q406,W406,AC406)-SUM(IF(F406&lt;R406,C406+D406-E406,0),IF(L406&lt;R406,I406+J406-K406,0),IF(X406&lt;R406,U406+V406-W406,0),IF(AD406&lt;R406,AA406+AB406-AC406,0)))))</x:f>
        <x:v>0</x:v>
      </x:c>
      <x:c r="T406" s="6" t="n">
        <x:f>ROUND(MAX(0,O406+P406-Q406-S406),2)</x:f>
        <x:v>0</x:v>
      </x:c>
      <x:c r="U406" s="6" t="n">
        <x:f>Z405</x:f>
        <x:v>0</x:v>
      </x:c>
      <x:c r="V406" s="6" t="n">
        <x:f>ROUND(U406*'Debt strategy'!$D$12/12,2)</x:f>
        <x:v>0</x:v>
      </x:c>
      <x:c r="W406" s="6" t="n">
        <x:f>MIN(U406+V406,'Debt strategy'!$E$12)</x:f>
        <x:v>0</x:v>
      </x:c>
      <x:c r="X406" s="27" t="n">
        <x:f>IF(U406+V406-W406&lt;=0,99,1+SUM(IF(AND(C406+D406-E406&gt;0,OR(C406+D406-E406&lt;U406+V406-W406,AND(C406+D406-E406=U406+V406-W406,0&lt;3))),1,0),IF(AND(I406+J406-K406&gt;0,OR(I406+J406-K406&lt;U406+V406-W406,AND(I406+J406-K406=U406+V406-W406,1&lt;3))),1,0),IF(AND(O406+P406-Q406&gt;0,OR(O406+P406-Q406&lt;U406+V406-W406,AND(O406+P406-Q406=U406+V406-W406,2&lt;3))),1,0),IF(AND(AA406+AB406-AC406&gt;0,OR(AA406+AB406-AC406&lt;U406+V406-W406,AND(AA406+AB406-AC406=U406+V406-W406,4&lt;3))),1,0)))</x:f>
        <x:v>99</x:v>
      </x:c>
      <x:c r="Y406" s="6" t="n">
        <x:f>IF('Debt strategy'!$C$16&gt;0,0,MIN(U406+V406-W406,MAX(0,'Debt strategy'!$C$5-SUM(E406,K406,Q406,W406,AC406)-SUM(IF(F406&lt;X406,C406+D406-E406,0),IF(L406&lt;X406,I406+J406-K406,0),IF(R406&lt;X406,O406+P406-Q406,0),IF(AD406&lt;X406,AA406+AB406-AC406,0)))))</x:f>
        <x:v>0</x:v>
      </x:c>
      <x:c r="Z406" s="6" t="n">
        <x:f>ROUND(MAX(0,U406+V406-W406-Y406),2)</x:f>
        <x:v>0</x:v>
      </x:c>
      <x:c r="AA406" s="6" t="n">
        <x:f>AF405</x:f>
        <x:v>0</x:v>
      </x:c>
      <x:c r="AB406" s="6" t="n">
        <x:f>ROUND(AA406*'Debt strategy'!$D$13/12,2)</x:f>
        <x:v>0</x:v>
      </x:c>
      <x:c r="AC406" s="6" t="n">
        <x:f>MIN(AA406+AB406,'Debt strategy'!$E$13)</x:f>
        <x:v>0</x:v>
      </x:c>
      <x:c r="AD406" s="27" t="n">
        <x:f>IF(AA406+AB406-AC406&lt;=0,99,1+SUM(IF(AND(C406+D406-E406&gt;0,OR(C406+D406-E406&lt;AA406+AB406-AC406,AND(C406+D406-E406=AA406+AB406-AC406,0&lt;4))),1,0),IF(AND(I406+J406-K406&gt;0,OR(I406+J406-K406&lt;AA406+AB406-AC406,AND(I406+J406-K406=AA406+AB406-AC406,1&lt;4))),1,0),IF(AND(O406+P406-Q406&gt;0,OR(O406+P406-Q406&lt;AA406+AB406-AC406,AND(O406+P406-Q406=AA406+AB406-AC406,2&lt;4))),1,0),IF(AND(U406+V406-W406&gt;0,OR(U406+V406-W406&lt;AA406+AB406-AC406,AND(U406+V406-W406=AA406+AB406-AC406,3&lt;4))),1,0)))</x:f>
        <x:v>99</x:v>
      </x:c>
      <x:c r="AE406" s="6" t="n">
        <x:f>IF('Debt strategy'!$C$16&gt;0,0,MIN(AA406+AB406-AC406,MAX(0,'Debt strategy'!$C$5-SUM(E406,K406,Q406,W406,AC406)-SUM(IF(F406&lt;AD406,C406+D406-E406,0),IF(L406&lt;AD406,I406+J406-K406,0),IF(R406&lt;AD406,O406+P406-Q406,0),IF(X406&lt;AD406,U406+V406-W406,0)))))</x:f>
        <x:v>0</x:v>
      </x:c>
      <x:c r="AF406" s="6" t="n">
        <x:f>ROUND(MAX(0,AA406+AB406-AC406-AE406),2)</x:f>
        <x:v>0</x:v>
      </x:c>
      <x:c r="AG406" s="6" t="n">
        <x:f>SUM(H406,N406,T406,Z406,AF406)</x:f>
        <x:v>0</x:v>
      </x:c>
      <x:c r="AH406" s="6" t="n">
        <x:f>SUM(D406,J406,P406,V406,AB406)+AH405</x:f>
        <x:v>1353.9499999999996</x:v>
      </x:c>
      <x:c r="AI406" s="2"/>
    </x:row>
    <x:row r="407" ht="23" customHeight="1">
      <x:c r="B407" s="2" t="n">
        <x:f>399</x:f>
        <x:v>399</x:v>
      </x:c>
      <x:c r="C407" s="6" t="n">
        <x:f>H406</x:f>
        <x:v>0</x:v>
      </x:c>
      <x:c r="D407" s="6" t="n">
        <x:f>ROUND(C407*'Debt strategy'!$D$9/12,2)</x:f>
        <x:v>0</x:v>
      </x:c>
      <x:c r="E407" s="6" t="n">
        <x:f>MIN(C407+D407,'Debt strategy'!$E$9)</x:f>
        <x:v>0</x:v>
      </x:c>
      <x:c r="F407" s="27" t="n">
        <x:f>IF(C407+D407-E407&lt;=0,99,1+SUM(IF(AND(I407+J407-K407&gt;0,OR(I407+J407-K407&lt;C407+D407-E407,AND(I407+J407-K407=C407+D407-E407,1&lt;0))),1,0),IF(AND(O407+P407-Q407&gt;0,OR(O407+P407-Q407&lt;C407+D407-E407,AND(O407+P407-Q407=C407+D407-E407,2&lt;0))),1,0),IF(AND(U407+V407-W407&gt;0,OR(U407+V407-W407&lt;C407+D407-E407,AND(U407+V407-W407=C407+D407-E407,3&lt;0))),1,0),IF(AND(AA407+AB407-AC407&gt;0,OR(AA407+AB407-AC407&lt;C407+D407-E407,AND(AA407+AB407-AC407=C407+D407-E407,4&lt;0))),1,0)))</x:f>
        <x:v>99</x:v>
      </x:c>
      <x:c r="G407" s="6" t="n">
        <x:f>IF('Debt strategy'!$C$16&gt;0,0,MIN(C407+D407-E407,MAX(0,'Debt strategy'!$C$5-SUM(E407,K407,Q407,W407,AC407)-SUM(IF(L407&lt;F407,I407+J407-K407,0),IF(R407&lt;F407,O407+P407-Q407,0),IF(X407&lt;F407,U407+V407-W407,0),IF(AD407&lt;F407,AA407+AB407-AC407,0)))))</x:f>
        <x:v>0</x:v>
      </x:c>
      <x:c r="H407" s="6" t="n">
        <x:f>ROUND(MAX(0,C407+D407-E407-G407),2)</x:f>
        <x:v>0</x:v>
      </x:c>
      <x:c r="I407" s="6" t="n">
        <x:f>N406</x:f>
        <x:v>0</x:v>
      </x:c>
      <x:c r="J407" s="6" t="n">
        <x:f>ROUND(I407*'Debt strategy'!$D$10/12,2)</x:f>
        <x:v>0</x:v>
      </x:c>
      <x:c r="K407" s="6" t="n">
        <x:f>MIN(I407+J407,'Debt strategy'!$E$10)</x:f>
        <x:v>0</x:v>
      </x:c>
      <x:c r="L407" s="27" t="n">
        <x:f>IF(I407+J407-K407&lt;=0,99,1+SUM(IF(AND(C407+D407-E407&gt;0,OR(C407+D407-E407&lt;I407+J407-K407,AND(C407+D407-E407=I407+J407-K407,0&lt;1))),1,0),IF(AND(O407+P407-Q407&gt;0,OR(O407+P407-Q407&lt;I407+J407-K407,AND(O407+P407-Q407=I407+J407-K407,2&lt;1))),1,0),IF(AND(U407+V407-W407&gt;0,OR(U407+V407-W407&lt;I407+J407-K407,AND(U407+V407-W407=I407+J407-K407,3&lt;1))),1,0),IF(AND(AA407+AB407-AC407&gt;0,OR(AA407+AB407-AC407&lt;I407+J407-K407,AND(AA407+AB407-AC407=I407+J407-K407,4&lt;1))),1,0)))</x:f>
        <x:v>99</x:v>
      </x:c>
      <x:c r="M407" s="6" t="n">
        <x:f>IF('Debt strategy'!$C$16&gt;0,0,MIN(I407+J407-K407,MAX(0,'Debt strategy'!$C$5-SUM(E407,K407,Q407,W407,AC407)-SUM(IF(F407&lt;L407,C407+D407-E407,0),IF(R407&lt;L407,O407+P407-Q407,0),IF(X407&lt;L407,U407+V407-W407,0),IF(AD407&lt;L407,AA407+AB407-AC407,0)))))</x:f>
        <x:v>0</x:v>
      </x:c>
      <x:c r="N407" s="6" t="n">
        <x:f>ROUND(MAX(0,I407+J407-K407-M407),2)</x:f>
        <x:v>0</x:v>
      </x:c>
      <x:c r="O407" s="6" t="n">
        <x:f>T406</x:f>
        <x:v>0</x:v>
      </x:c>
      <x:c r="P407" s="6" t="n">
        <x:f>ROUND(O407*'Debt strategy'!$D$11/12,2)</x:f>
        <x:v>0</x:v>
      </x:c>
      <x:c r="Q407" s="6" t="n">
        <x:f>MIN(O407+P407,'Debt strategy'!$E$11)</x:f>
        <x:v>0</x:v>
      </x:c>
      <x:c r="R407" s="27" t="n">
        <x:f>IF(O407+P407-Q407&lt;=0,99,1+SUM(IF(AND(C407+D407-E407&gt;0,OR(C407+D407-E407&lt;O407+P407-Q407,AND(C407+D407-E407=O407+P407-Q407,0&lt;2))),1,0),IF(AND(I407+J407-K407&gt;0,OR(I407+J407-K407&lt;O407+P407-Q407,AND(I407+J407-K407=O407+P407-Q407,1&lt;2))),1,0),IF(AND(U407+V407-W407&gt;0,OR(U407+V407-W407&lt;O407+P407-Q407,AND(U407+V407-W407=O407+P407-Q407,3&lt;2))),1,0),IF(AND(AA407+AB407-AC407&gt;0,OR(AA407+AB407-AC407&lt;O407+P407-Q407,AND(AA407+AB407-AC407=O407+P407-Q407,4&lt;2))),1,0)))</x:f>
        <x:v>99</x:v>
      </x:c>
      <x:c r="S407" s="6" t="n">
        <x:f>IF('Debt strategy'!$C$16&gt;0,0,MIN(O407+P407-Q407,MAX(0,'Debt strategy'!$C$5-SUM(E407,K407,Q407,W407,AC407)-SUM(IF(F407&lt;R407,C407+D407-E407,0),IF(L407&lt;R407,I407+J407-K407,0),IF(X407&lt;R407,U407+V407-W407,0),IF(AD407&lt;R407,AA407+AB407-AC407,0)))))</x:f>
        <x:v>0</x:v>
      </x:c>
      <x:c r="T407" s="6" t="n">
        <x:f>ROUND(MAX(0,O407+P407-Q407-S407),2)</x:f>
        <x:v>0</x:v>
      </x:c>
      <x:c r="U407" s="6" t="n">
        <x:f>Z406</x:f>
        <x:v>0</x:v>
      </x:c>
      <x:c r="V407" s="6" t="n">
        <x:f>ROUND(U407*'Debt strategy'!$D$12/12,2)</x:f>
        <x:v>0</x:v>
      </x:c>
      <x:c r="W407" s="6" t="n">
        <x:f>MIN(U407+V407,'Debt strategy'!$E$12)</x:f>
        <x:v>0</x:v>
      </x:c>
      <x:c r="X407" s="27" t="n">
        <x:f>IF(U407+V407-W407&lt;=0,99,1+SUM(IF(AND(C407+D407-E407&gt;0,OR(C407+D407-E407&lt;U407+V407-W407,AND(C407+D407-E407=U407+V407-W407,0&lt;3))),1,0),IF(AND(I407+J407-K407&gt;0,OR(I407+J407-K407&lt;U407+V407-W407,AND(I407+J407-K407=U407+V407-W407,1&lt;3))),1,0),IF(AND(O407+P407-Q407&gt;0,OR(O407+P407-Q407&lt;U407+V407-W407,AND(O407+P407-Q407=U407+V407-W407,2&lt;3))),1,0),IF(AND(AA407+AB407-AC407&gt;0,OR(AA407+AB407-AC407&lt;U407+V407-W407,AND(AA407+AB407-AC407=U407+V407-W407,4&lt;3))),1,0)))</x:f>
        <x:v>99</x:v>
      </x:c>
      <x:c r="Y407" s="6" t="n">
        <x:f>IF('Debt strategy'!$C$16&gt;0,0,MIN(U407+V407-W407,MAX(0,'Debt strategy'!$C$5-SUM(E407,K407,Q407,W407,AC407)-SUM(IF(F407&lt;X407,C407+D407-E407,0),IF(L407&lt;X407,I407+J407-K407,0),IF(R407&lt;X407,O407+P407-Q407,0),IF(AD407&lt;X407,AA407+AB407-AC407,0)))))</x:f>
        <x:v>0</x:v>
      </x:c>
      <x:c r="Z407" s="6" t="n">
        <x:f>ROUND(MAX(0,U407+V407-W407-Y407),2)</x:f>
        <x:v>0</x:v>
      </x:c>
      <x:c r="AA407" s="6" t="n">
        <x:f>AF406</x:f>
        <x:v>0</x:v>
      </x:c>
      <x:c r="AB407" s="6" t="n">
        <x:f>ROUND(AA407*'Debt strategy'!$D$13/12,2)</x:f>
        <x:v>0</x:v>
      </x:c>
      <x:c r="AC407" s="6" t="n">
        <x:f>MIN(AA407+AB407,'Debt strategy'!$E$13)</x:f>
        <x:v>0</x:v>
      </x:c>
      <x:c r="AD407" s="27" t="n">
        <x:f>IF(AA407+AB407-AC407&lt;=0,99,1+SUM(IF(AND(C407+D407-E407&gt;0,OR(C407+D407-E407&lt;AA407+AB407-AC407,AND(C407+D407-E407=AA407+AB407-AC407,0&lt;4))),1,0),IF(AND(I407+J407-K407&gt;0,OR(I407+J407-K407&lt;AA407+AB407-AC407,AND(I407+J407-K407=AA407+AB407-AC407,1&lt;4))),1,0),IF(AND(O407+P407-Q407&gt;0,OR(O407+P407-Q407&lt;AA407+AB407-AC407,AND(O407+P407-Q407=AA407+AB407-AC407,2&lt;4))),1,0),IF(AND(U407+V407-W407&gt;0,OR(U407+V407-W407&lt;AA407+AB407-AC407,AND(U407+V407-W407=AA407+AB407-AC407,3&lt;4))),1,0)))</x:f>
        <x:v>99</x:v>
      </x:c>
      <x:c r="AE407" s="6" t="n">
        <x:f>IF('Debt strategy'!$C$16&gt;0,0,MIN(AA407+AB407-AC407,MAX(0,'Debt strategy'!$C$5-SUM(E407,K407,Q407,W407,AC407)-SUM(IF(F407&lt;AD407,C407+D407-E407,0),IF(L407&lt;AD407,I407+J407-K407,0),IF(R407&lt;AD407,O407+P407-Q407,0),IF(X407&lt;AD407,U407+V407-W407,0)))))</x:f>
        <x:v>0</x:v>
      </x:c>
      <x:c r="AF407" s="6" t="n">
        <x:f>ROUND(MAX(0,AA407+AB407-AC407-AE407),2)</x:f>
        <x:v>0</x:v>
      </x:c>
      <x:c r="AG407" s="6" t="n">
        <x:f>SUM(H407,N407,T407,Z407,AF407)</x:f>
        <x:v>0</x:v>
      </x:c>
      <x:c r="AH407" s="6" t="n">
        <x:f>SUM(D407,J407,P407,V407,AB407)+AH406</x:f>
        <x:v>1353.9499999999996</x:v>
      </x:c>
      <x:c r="AI407" s="2"/>
    </x:row>
    <x:row r="408" ht="23" customHeight="1">
      <x:c r="B408" s="2" t="n">
        <x:f>400</x:f>
        <x:v>400</x:v>
      </x:c>
      <x:c r="C408" s="6" t="n">
        <x:f>H407</x:f>
        <x:v>0</x:v>
      </x:c>
      <x:c r="D408" s="6" t="n">
        <x:f>ROUND(C408*'Debt strategy'!$D$9/12,2)</x:f>
        <x:v>0</x:v>
      </x:c>
      <x:c r="E408" s="6" t="n">
        <x:f>MIN(C408+D408,'Debt strategy'!$E$9)</x:f>
        <x:v>0</x:v>
      </x:c>
      <x:c r="F408" s="27" t="n">
        <x:f>IF(C408+D408-E408&lt;=0,99,1+SUM(IF(AND(I408+J408-K408&gt;0,OR(I408+J408-K408&lt;C408+D408-E408,AND(I408+J408-K408=C408+D408-E408,1&lt;0))),1,0),IF(AND(O408+P408-Q408&gt;0,OR(O408+P408-Q408&lt;C408+D408-E408,AND(O408+P408-Q408=C408+D408-E408,2&lt;0))),1,0),IF(AND(U408+V408-W408&gt;0,OR(U408+V408-W408&lt;C408+D408-E408,AND(U408+V408-W408=C408+D408-E408,3&lt;0))),1,0),IF(AND(AA408+AB408-AC408&gt;0,OR(AA408+AB408-AC408&lt;C408+D408-E408,AND(AA408+AB408-AC408=C408+D408-E408,4&lt;0))),1,0)))</x:f>
        <x:v>99</x:v>
      </x:c>
      <x:c r="G408" s="6" t="n">
        <x:f>IF('Debt strategy'!$C$16&gt;0,0,MIN(C408+D408-E408,MAX(0,'Debt strategy'!$C$5-SUM(E408,K408,Q408,W408,AC408)-SUM(IF(L408&lt;F408,I408+J408-K408,0),IF(R408&lt;F408,O408+P408-Q408,0),IF(X408&lt;F408,U408+V408-W408,0),IF(AD408&lt;F408,AA408+AB408-AC408,0)))))</x:f>
        <x:v>0</x:v>
      </x:c>
      <x:c r="H408" s="6" t="n">
        <x:f>ROUND(MAX(0,C408+D408-E408-G408),2)</x:f>
        <x:v>0</x:v>
      </x:c>
      <x:c r="I408" s="6" t="n">
        <x:f>N407</x:f>
        <x:v>0</x:v>
      </x:c>
      <x:c r="J408" s="6" t="n">
        <x:f>ROUND(I408*'Debt strategy'!$D$10/12,2)</x:f>
        <x:v>0</x:v>
      </x:c>
      <x:c r="K408" s="6" t="n">
        <x:f>MIN(I408+J408,'Debt strategy'!$E$10)</x:f>
        <x:v>0</x:v>
      </x:c>
      <x:c r="L408" s="27" t="n">
        <x:f>IF(I408+J408-K408&lt;=0,99,1+SUM(IF(AND(C408+D408-E408&gt;0,OR(C408+D408-E408&lt;I408+J408-K408,AND(C408+D408-E408=I408+J408-K408,0&lt;1))),1,0),IF(AND(O408+P408-Q408&gt;0,OR(O408+P408-Q408&lt;I408+J408-K408,AND(O408+P408-Q408=I408+J408-K408,2&lt;1))),1,0),IF(AND(U408+V408-W408&gt;0,OR(U408+V408-W408&lt;I408+J408-K408,AND(U408+V408-W408=I408+J408-K408,3&lt;1))),1,0),IF(AND(AA408+AB408-AC408&gt;0,OR(AA408+AB408-AC408&lt;I408+J408-K408,AND(AA408+AB408-AC408=I408+J408-K408,4&lt;1))),1,0)))</x:f>
        <x:v>99</x:v>
      </x:c>
      <x:c r="M408" s="6" t="n">
        <x:f>IF('Debt strategy'!$C$16&gt;0,0,MIN(I408+J408-K408,MAX(0,'Debt strategy'!$C$5-SUM(E408,K408,Q408,W408,AC408)-SUM(IF(F408&lt;L408,C408+D408-E408,0),IF(R408&lt;L408,O408+P408-Q408,0),IF(X408&lt;L408,U408+V408-W408,0),IF(AD408&lt;L408,AA408+AB408-AC408,0)))))</x:f>
        <x:v>0</x:v>
      </x:c>
      <x:c r="N408" s="6" t="n">
        <x:f>ROUND(MAX(0,I408+J408-K408-M408),2)</x:f>
        <x:v>0</x:v>
      </x:c>
      <x:c r="O408" s="6" t="n">
        <x:f>T407</x:f>
        <x:v>0</x:v>
      </x:c>
      <x:c r="P408" s="6" t="n">
        <x:f>ROUND(O408*'Debt strategy'!$D$11/12,2)</x:f>
        <x:v>0</x:v>
      </x:c>
      <x:c r="Q408" s="6" t="n">
        <x:f>MIN(O408+P408,'Debt strategy'!$E$11)</x:f>
        <x:v>0</x:v>
      </x:c>
      <x:c r="R408" s="27" t="n">
        <x:f>IF(O408+P408-Q408&lt;=0,99,1+SUM(IF(AND(C408+D408-E408&gt;0,OR(C408+D408-E408&lt;O408+P408-Q408,AND(C408+D408-E408=O408+P408-Q408,0&lt;2))),1,0),IF(AND(I408+J408-K408&gt;0,OR(I408+J408-K408&lt;O408+P408-Q408,AND(I408+J408-K408=O408+P408-Q408,1&lt;2))),1,0),IF(AND(U408+V408-W408&gt;0,OR(U408+V408-W408&lt;O408+P408-Q408,AND(U408+V408-W408=O408+P408-Q408,3&lt;2))),1,0),IF(AND(AA408+AB408-AC408&gt;0,OR(AA408+AB408-AC408&lt;O408+P408-Q408,AND(AA408+AB408-AC408=O408+P408-Q408,4&lt;2))),1,0)))</x:f>
        <x:v>99</x:v>
      </x:c>
      <x:c r="S408" s="6" t="n">
        <x:f>IF('Debt strategy'!$C$16&gt;0,0,MIN(O408+P408-Q408,MAX(0,'Debt strategy'!$C$5-SUM(E408,K408,Q408,W408,AC408)-SUM(IF(F408&lt;R408,C408+D408-E408,0),IF(L408&lt;R408,I408+J408-K408,0),IF(X408&lt;R408,U408+V408-W408,0),IF(AD408&lt;R408,AA408+AB408-AC408,0)))))</x:f>
        <x:v>0</x:v>
      </x:c>
      <x:c r="T408" s="6" t="n">
        <x:f>ROUND(MAX(0,O408+P408-Q408-S408),2)</x:f>
        <x:v>0</x:v>
      </x:c>
      <x:c r="U408" s="6" t="n">
        <x:f>Z407</x:f>
        <x:v>0</x:v>
      </x:c>
      <x:c r="V408" s="6" t="n">
        <x:f>ROUND(U408*'Debt strategy'!$D$12/12,2)</x:f>
        <x:v>0</x:v>
      </x:c>
      <x:c r="W408" s="6" t="n">
        <x:f>MIN(U408+V408,'Debt strategy'!$E$12)</x:f>
        <x:v>0</x:v>
      </x:c>
      <x:c r="X408" s="27" t="n">
        <x:f>IF(U408+V408-W408&lt;=0,99,1+SUM(IF(AND(C408+D408-E408&gt;0,OR(C408+D408-E408&lt;U408+V408-W408,AND(C408+D408-E408=U408+V408-W408,0&lt;3))),1,0),IF(AND(I408+J408-K408&gt;0,OR(I408+J408-K408&lt;U408+V408-W408,AND(I408+J408-K408=U408+V408-W408,1&lt;3))),1,0),IF(AND(O408+P408-Q408&gt;0,OR(O408+P408-Q408&lt;U408+V408-W408,AND(O408+P408-Q408=U408+V408-W408,2&lt;3))),1,0),IF(AND(AA408+AB408-AC408&gt;0,OR(AA408+AB408-AC408&lt;U408+V408-W408,AND(AA408+AB408-AC408=U408+V408-W408,4&lt;3))),1,0)))</x:f>
        <x:v>99</x:v>
      </x:c>
      <x:c r="Y408" s="6" t="n">
        <x:f>IF('Debt strategy'!$C$16&gt;0,0,MIN(U408+V408-W408,MAX(0,'Debt strategy'!$C$5-SUM(E408,K408,Q408,W408,AC408)-SUM(IF(F408&lt;X408,C408+D408-E408,0),IF(L408&lt;X408,I408+J408-K408,0),IF(R408&lt;X408,O408+P408-Q408,0),IF(AD408&lt;X408,AA408+AB408-AC408,0)))))</x:f>
        <x:v>0</x:v>
      </x:c>
      <x:c r="Z408" s="6" t="n">
        <x:f>ROUND(MAX(0,U408+V408-W408-Y408),2)</x:f>
        <x:v>0</x:v>
      </x:c>
      <x:c r="AA408" s="6" t="n">
        <x:f>AF407</x:f>
        <x:v>0</x:v>
      </x:c>
      <x:c r="AB408" s="6" t="n">
        <x:f>ROUND(AA408*'Debt strategy'!$D$13/12,2)</x:f>
        <x:v>0</x:v>
      </x:c>
      <x:c r="AC408" s="6" t="n">
        <x:f>MIN(AA408+AB408,'Debt strategy'!$E$13)</x:f>
        <x:v>0</x:v>
      </x:c>
      <x:c r="AD408" s="27" t="n">
        <x:f>IF(AA408+AB408-AC408&lt;=0,99,1+SUM(IF(AND(C408+D408-E408&gt;0,OR(C408+D408-E408&lt;AA408+AB408-AC408,AND(C408+D408-E408=AA408+AB408-AC408,0&lt;4))),1,0),IF(AND(I408+J408-K408&gt;0,OR(I408+J408-K408&lt;AA408+AB408-AC408,AND(I408+J408-K408=AA408+AB408-AC408,1&lt;4))),1,0),IF(AND(O408+P408-Q408&gt;0,OR(O408+P408-Q408&lt;AA408+AB408-AC408,AND(O408+P408-Q408=AA408+AB408-AC408,2&lt;4))),1,0),IF(AND(U408+V408-W408&gt;0,OR(U408+V408-W408&lt;AA408+AB408-AC408,AND(U408+V408-W408=AA408+AB408-AC408,3&lt;4))),1,0)))</x:f>
        <x:v>99</x:v>
      </x:c>
      <x:c r="AE408" s="6" t="n">
        <x:f>IF('Debt strategy'!$C$16&gt;0,0,MIN(AA408+AB408-AC408,MAX(0,'Debt strategy'!$C$5-SUM(E408,K408,Q408,W408,AC408)-SUM(IF(F408&lt;AD408,C408+D408-E408,0),IF(L408&lt;AD408,I408+J408-K408,0),IF(R408&lt;AD408,O408+P408-Q408,0),IF(X408&lt;AD408,U408+V408-W408,0)))))</x:f>
        <x:v>0</x:v>
      </x:c>
      <x:c r="AF408" s="6" t="n">
        <x:f>ROUND(MAX(0,AA408+AB408-AC408-AE408),2)</x:f>
        <x:v>0</x:v>
      </x:c>
      <x:c r="AG408" s="6" t="n">
        <x:f>SUM(H408,N408,T408,Z408,AF408)</x:f>
        <x:v>0</x:v>
      </x:c>
      <x:c r="AH408" s="6" t="n">
        <x:f>SUM(D408,J408,P408,V408,AB408)+AH407</x:f>
        <x:v>1353.9499999999996</x:v>
      </x:c>
      <x:c r="AI408" s="2"/>
    </x:row>
    <x:row r="409" ht="23" customHeight="1">
      <x:c r="B409" s="2" t="n">
        <x:f>401</x:f>
        <x:v>401</x:v>
      </x:c>
      <x:c r="C409" s="6" t="n">
        <x:f>H408</x:f>
        <x:v>0</x:v>
      </x:c>
      <x:c r="D409" s="6" t="n">
        <x:f>ROUND(C409*'Debt strategy'!$D$9/12,2)</x:f>
        <x:v>0</x:v>
      </x:c>
      <x:c r="E409" s="6" t="n">
        <x:f>MIN(C409+D409,'Debt strategy'!$E$9)</x:f>
        <x:v>0</x:v>
      </x:c>
      <x:c r="F409" s="27" t="n">
        <x:f>IF(C409+D409-E409&lt;=0,99,1+SUM(IF(AND(I409+J409-K409&gt;0,OR(I409+J409-K409&lt;C409+D409-E409,AND(I409+J409-K409=C409+D409-E409,1&lt;0))),1,0),IF(AND(O409+P409-Q409&gt;0,OR(O409+P409-Q409&lt;C409+D409-E409,AND(O409+P409-Q409=C409+D409-E409,2&lt;0))),1,0),IF(AND(U409+V409-W409&gt;0,OR(U409+V409-W409&lt;C409+D409-E409,AND(U409+V409-W409=C409+D409-E409,3&lt;0))),1,0),IF(AND(AA409+AB409-AC409&gt;0,OR(AA409+AB409-AC409&lt;C409+D409-E409,AND(AA409+AB409-AC409=C409+D409-E409,4&lt;0))),1,0)))</x:f>
        <x:v>99</x:v>
      </x:c>
      <x:c r="G409" s="6" t="n">
        <x:f>IF('Debt strategy'!$C$16&gt;0,0,MIN(C409+D409-E409,MAX(0,'Debt strategy'!$C$5-SUM(E409,K409,Q409,W409,AC409)-SUM(IF(L409&lt;F409,I409+J409-K409,0),IF(R409&lt;F409,O409+P409-Q409,0),IF(X409&lt;F409,U409+V409-W409,0),IF(AD409&lt;F409,AA409+AB409-AC409,0)))))</x:f>
        <x:v>0</x:v>
      </x:c>
      <x:c r="H409" s="6" t="n">
        <x:f>ROUND(MAX(0,C409+D409-E409-G409),2)</x:f>
        <x:v>0</x:v>
      </x:c>
      <x:c r="I409" s="6" t="n">
        <x:f>N408</x:f>
        <x:v>0</x:v>
      </x:c>
      <x:c r="J409" s="6" t="n">
        <x:f>ROUND(I409*'Debt strategy'!$D$10/12,2)</x:f>
        <x:v>0</x:v>
      </x:c>
      <x:c r="K409" s="6" t="n">
        <x:f>MIN(I409+J409,'Debt strategy'!$E$10)</x:f>
        <x:v>0</x:v>
      </x:c>
      <x:c r="L409" s="27" t="n">
        <x:f>IF(I409+J409-K409&lt;=0,99,1+SUM(IF(AND(C409+D409-E409&gt;0,OR(C409+D409-E409&lt;I409+J409-K409,AND(C409+D409-E409=I409+J409-K409,0&lt;1))),1,0),IF(AND(O409+P409-Q409&gt;0,OR(O409+P409-Q409&lt;I409+J409-K409,AND(O409+P409-Q409=I409+J409-K409,2&lt;1))),1,0),IF(AND(U409+V409-W409&gt;0,OR(U409+V409-W409&lt;I409+J409-K409,AND(U409+V409-W409=I409+J409-K409,3&lt;1))),1,0),IF(AND(AA409+AB409-AC409&gt;0,OR(AA409+AB409-AC409&lt;I409+J409-K409,AND(AA409+AB409-AC409=I409+J409-K409,4&lt;1))),1,0)))</x:f>
        <x:v>99</x:v>
      </x:c>
      <x:c r="M409" s="6" t="n">
        <x:f>IF('Debt strategy'!$C$16&gt;0,0,MIN(I409+J409-K409,MAX(0,'Debt strategy'!$C$5-SUM(E409,K409,Q409,W409,AC409)-SUM(IF(F409&lt;L409,C409+D409-E409,0),IF(R409&lt;L409,O409+P409-Q409,0),IF(X409&lt;L409,U409+V409-W409,0),IF(AD409&lt;L409,AA409+AB409-AC409,0)))))</x:f>
        <x:v>0</x:v>
      </x:c>
      <x:c r="N409" s="6" t="n">
        <x:f>ROUND(MAX(0,I409+J409-K409-M409),2)</x:f>
        <x:v>0</x:v>
      </x:c>
      <x:c r="O409" s="6" t="n">
        <x:f>T408</x:f>
        <x:v>0</x:v>
      </x:c>
      <x:c r="P409" s="6" t="n">
        <x:f>ROUND(O409*'Debt strategy'!$D$11/12,2)</x:f>
        <x:v>0</x:v>
      </x:c>
      <x:c r="Q409" s="6" t="n">
        <x:f>MIN(O409+P409,'Debt strategy'!$E$11)</x:f>
        <x:v>0</x:v>
      </x:c>
      <x:c r="R409" s="27" t="n">
        <x:f>IF(O409+P409-Q409&lt;=0,99,1+SUM(IF(AND(C409+D409-E409&gt;0,OR(C409+D409-E409&lt;O409+P409-Q409,AND(C409+D409-E409=O409+P409-Q409,0&lt;2))),1,0),IF(AND(I409+J409-K409&gt;0,OR(I409+J409-K409&lt;O409+P409-Q409,AND(I409+J409-K409=O409+P409-Q409,1&lt;2))),1,0),IF(AND(U409+V409-W409&gt;0,OR(U409+V409-W409&lt;O409+P409-Q409,AND(U409+V409-W409=O409+P409-Q409,3&lt;2))),1,0),IF(AND(AA409+AB409-AC409&gt;0,OR(AA409+AB409-AC409&lt;O409+P409-Q409,AND(AA409+AB409-AC409=O409+P409-Q409,4&lt;2))),1,0)))</x:f>
        <x:v>99</x:v>
      </x:c>
      <x:c r="S409" s="6" t="n">
        <x:f>IF('Debt strategy'!$C$16&gt;0,0,MIN(O409+P409-Q409,MAX(0,'Debt strategy'!$C$5-SUM(E409,K409,Q409,W409,AC409)-SUM(IF(F409&lt;R409,C409+D409-E409,0),IF(L409&lt;R409,I409+J409-K409,0),IF(X409&lt;R409,U409+V409-W409,0),IF(AD409&lt;R409,AA409+AB409-AC409,0)))))</x:f>
        <x:v>0</x:v>
      </x:c>
      <x:c r="T409" s="6" t="n">
        <x:f>ROUND(MAX(0,O409+P409-Q409-S409),2)</x:f>
        <x:v>0</x:v>
      </x:c>
      <x:c r="U409" s="6" t="n">
        <x:f>Z408</x:f>
        <x:v>0</x:v>
      </x:c>
      <x:c r="V409" s="6" t="n">
        <x:f>ROUND(U409*'Debt strategy'!$D$12/12,2)</x:f>
        <x:v>0</x:v>
      </x:c>
      <x:c r="W409" s="6" t="n">
        <x:f>MIN(U409+V409,'Debt strategy'!$E$12)</x:f>
        <x:v>0</x:v>
      </x:c>
      <x:c r="X409" s="27" t="n">
        <x:f>IF(U409+V409-W409&lt;=0,99,1+SUM(IF(AND(C409+D409-E409&gt;0,OR(C409+D409-E409&lt;U409+V409-W409,AND(C409+D409-E409=U409+V409-W409,0&lt;3))),1,0),IF(AND(I409+J409-K409&gt;0,OR(I409+J409-K409&lt;U409+V409-W409,AND(I409+J409-K409=U409+V409-W409,1&lt;3))),1,0),IF(AND(O409+P409-Q409&gt;0,OR(O409+P409-Q409&lt;U409+V409-W409,AND(O409+P409-Q409=U409+V409-W409,2&lt;3))),1,0),IF(AND(AA409+AB409-AC409&gt;0,OR(AA409+AB409-AC409&lt;U409+V409-W409,AND(AA409+AB409-AC409=U409+V409-W409,4&lt;3))),1,0)))</x:f>
        <x:v>99</x:v>
      </x:c>
      <x:c r="Y409" s="6" t="n">
        <x:f>IF('Debt strategy'!$C$16&gt;0,0,MIN(U409+V409-W409,MAX(0,'Debt strategy'!$C$5-SUM(E409,K409,Q409,W409,AC409)-SUM(IF(F409&lt;X409,C409+D409-E409,0),IF(L409&lt;X409,I409+J409-K409,0),IF(R409&lt;X409,O409+P409-Q409,0),IF(AD409&lt;X409,AA409+AB409-AC409,0)))))</x:f>
        <x:v>0</x:v>
      </x:c>
      <x:c r="Z409" s="6" t="n">
        <x:f>ROUND(MAX(0,U409+V409-W409-Y409),2)</x:f>
        <x:v>0</x:v>
      </x:c>
      <x:c r="AA409" s="6" t="n">
        <x:f>AF408</x:f>
        <x:v>0</x:v>
      </x:c>
      <x:c r="AB409" s="6" t="n">
        <x:f>ROUND(AA409*'Debt strategy'!$D$13/12,2)</x:f>
        <x:v>0</x:v>
      </x:c>
      <x:c r="AC409" s="6" t="n">
        <x:f>MIN(AA409+AB409,'Debt strategy'!$E$13)</x:f>
        <x:v>0</x:v>
      </x:c>
      <x:c r="AD409" s="27" t="n">
        <x:f>IF(AA409+AB409-AC409&lt;=0,99,1+SUM(IF(AND(C409+D409-E409&gt;0,OR(C409+D409-E409&lt;AA409+AB409-AC409,AND(C409+D409-E409=AA409+AB409-AC409,0&lt;4))),1,0),IF(AND(I409+J409-K409&gt;0,OR(I409+J409-K409&lt;AA409+AB409-AC409,AND(I409+J409-K409=AA409+AB409-AC409,1&lt;4))),1,0),IF(AND(O409+P409-Q409&gt;0,OR(O409+P409-Q409&lt;AA409+AB409-AC409,AND(O409+P409-Q409=AA409+AB409-AC409,2&lt;4))),1,0),IF(AND(U409+V409-W409&gt;0,OR(U409+V409-W409&lt;AA409+AB409-AC409,AND(U409+V409-W409=AA409+AB409-AC409,3&lt;4))),1,0)))</x:f>
        <x:v>99</x:v>
      </x:c>
      <x:c r="AE409" s="6" t="n">
        <x:f>IF('Debt strategy'!$C$16&gt;0,0,MIN(AA409+AB409-AC409,MAX(0,'Debt strategy'!$C$5-SUM(E409,K409,Q409,W409,AC409)-SUM(IF(F409&lt;AD409,C409+D409-E409,0),IF(L409&lt;AD409,I409+J409-K409,0),IF(R409&lt;AD409,O409+P409-Q409,0),IF(X409&lt;AD409,U409+V409-W409,0)))))</x:f>
        <x:v>0</x:v>
      </x:c>
      <x:c r="AF409" s="6" t="n">
        <x:f>ROUND(MAX(0,AA409+AB409-AC409-AE409),2)</x:f>
        <x:v>0</x:v>
      </x:c>
      <x:c r="AG409" s="6" t="n">
        <x:f>SUM(H409,N409,T409,Z409,AF409)</x:f>
        <x:v>0</x:v>
      </x:c>
      <x:c r="AH409" s="6" t="n">
        <x:f>SUM(D409,J409,P409,V409,AB409)+AH408</x:f>
        <x:v>1353.9499999999996</x:v>
      </x:c>
      <x:c r="AI409" s="2"/>
    </x:row>
    <x:row r="410" ht="23" customHeight="1">
      <x:c r="B410" s="2" t="n">
        <x:f>402</x:f>
        <x:v>402</x:v>
      </x:c>
      <x:c r="C410" s="6" t="n">
        <x:f>H409</x:f>
        <x:v>0</x:v>
      </x:c>
      <x:c r="D410" s="6" t="n">
        <x:f>ROUND(C410*'Debt strategy'!$D$9/12,2)</x:f>
        <x:v>0</x:v>
      </x:c>
      <x:c r="E410" s="6" t="n">
        <x:f>MIN(C410+D410,'Debt strategy'!$E$9)</x:f>
        <x:v>0</x:v>
      </x:c>
      <x:c r="F410" s="27" t="n">
        <x:f>IF(C410+D410-E410&lt;=0,99,1+SUM(IF(AND(I410+J410-K410&gt;0,OR(I410+J410-K410&lt;C410+D410-E410,AND(I410+J410-K410=C410+D410-E410,1&lt;0))),1,0),IF(AND(O410+P410-Q410&gt;0,OR(O410+P410-Q410&lt;C410+D410-E410,AND(O410+P410-Q410=C410+D410-E410,2&lt;0))),1,0),IF(AND(U410+V410-W410&gt;0,OR(U410+V410-W410&lt;C410+D410-E410,AND(U410+V410-W410=C410+D410-E410,3&lt;0))),1,0),IF(AND(AA410+AB410-AC410&gt;0,OR(AA410+AB410-AC410&lt;C410+D410-E410,AND(AA410+AB410-AC410=C410+D410-E410,4&lt;0))),1,0)))</x:f>
        <x:v>99</x:v>
      </x:c>
      <x:c r="G410" s="6" t="n">
        <x:f>IF('Debt strategy'!$C$16&gt;0,0,MIN(C410+D410-E410,MAX(0,'Debt strategy'!$C$5-SUM(E410,K410,Q410,W410,AC410)-SUM(IF(L410&lt;F410,I410+J410-K410,0),IF(R410&lt;F410,O410+P410-Q410,0),IF(X410&lt;F410,U410+V410-W410,0),IF(AD410&lt;F410,AA410+AB410-AC410,0)))))</x:f>
        <x:v>0</x:v>
      </x:c>
      <x:c r="H410" s="6" t="n">
        <x:f>ROUND(MAX(0,C410+D410-E410-G410),2)</x:f>
        <x:v>0</x:v>
      </x:c>
      <x:c r="I410" s="6" t="n">
        <x:f>N409</x:f>
        <x:v>0</x:v>
      </x:c>
      <x:c r="J410" s="6" t="n">
        <x:f>ROUND(I410*'Debt strategy'!$D$10/12,2)</x:f>
        <x:v>0</x:v>
      </x:c>
      <x:c r="K410" s="6" t="n">
        <x:f>MIN(I410+J410,'Debt strategy'!$E$10)</x:f>
        <x:v>0</x:v>
      </x:c>
      <x:c r="L410" s="27" t="n">
        <x:f>IF(I410+J410-K410&lt;=0,99,1+SUM(IF(AND(C410+D410-E410&gt;0,OR(C410+D410-E410&lt;I410+J410-K410,AND(C410+D410-E410=I410+J410-K410,0&lt;1))),1,0),IF(AND(O410+P410-Q410&gt;0,OR(O410+P410-Q410&lt;I410+J410-K410,AND(O410+P410-Q410=I410+J410-K410,2&lt;1))),1,0),IF(AND(U410+V410-W410&gt;0,OR(U410+V410-W410&lt;I410+J410-K410,AND(U410+V410-W410=I410+J410-K410,3&lt;1))),1,0),IF(AND(AA410+AB410-AC410&gt;0,OR(AA410+AB410-AC410&lt;I410+J410-K410,AND(AA410+AB410-AC410=I410+J410-K410,4&lt;1))),1,0)))</x:f>
        <x:v>99</x:v>
      </x:c>
      <x:c r="M410" s="6" t="n">
        <x:f>IF('Debt strategy'!$C$16&gt;0,0,MIN(I410+J410-K410,MAX(0,'Debt strategy'!$C$5-SUM(E410,K410,Q410,W410,AC410)-SUM(IF(F410&lt;L410,C410+D410-E410,0),IF(R410&lt;L410,O410+P410-Q410,0),IF(X410&lt;L410,U410+V410-W410,0),IF(AD410&lt;L410,AA410+AB410-AC410,0)))))</x:f>
        <x:v>0</x:v>
      </x:c>
      <x:c r="N410" s="6" t="n">
        <x:f>ROUND(MAX(0,I410+J410-K410-M410),2)</x:f>
        <x:v>0</x:v>
      </x:c>
      <x:c r="O410" s="6" t="n">
        <x:f>T409</x:f>
        <x:v>0</x:v>
      </x:c>
      <x:c r="P410" s="6" t="n">
        <x:f>ROUND(O410*'Debt strategy'!$D$11/12,2)</x:f>
        <x:v>0</x:v>
      </x:c>
      <x:c r="Q410" s="6" t="n">
        <x:f>MIN(O410+P410,'Debt strategy'!$E$11)</x:f>
        <x:v>0</x:v>
      </x:c>
      <x:c r="R410" s="27" t="n">
        <x:f>IF(O410+P410-Q410&lt;=0,99,1+SUM(IF(AND(C410+D410-E410&gt;0,OR(C410+D410-E410&lt;O410+P410-Q410,AND(C410+D410-E410=O410+P410-Q410,0&lt;2))),1,0),IF(AND(I410+J410-K410&gt;0,OR(I410+J410-K410&lt;O410+P410-Q410,AND(I410+J410-K410=O410+P410-Q410,1&lt;2))),1,0),IF(AND(U410+V410-W410&gt;0,OR(U410+V410-W410&lt;O410+P410-Q410,AND(U410+V410-W410=O410+P410-Q410,3&lt;2))),1,0),IF(AND(AA410+AB410-AC410&gt;0,OR(AA410+AB410-AC410&lt;O410+P410-Q410,AND(AA410+AB410-AC410=O410+P410-Q410,4&lt;2))),1,0)))</x:f>
        <x:v>99</x:v>
      </x:c>
      <x:c r="S410" s="6" t="n">
        <x:f>IF('Debt strategy'!$C$16&gt;0,0,MIN(O410+P410-Q410,MAX(0,'Debt strategy'!$C$5-SUM(E410,K410,Q410,W410,AC410)-SUM(IF(F410&lt;R410,C410+D410-E410,0),IF(L410&lt;R410,I410+J410-K410,0),IF(X410&lt;R410,U410+V410-W410,0),IF(AD410&lt;R410,AA410+AB410-AC410,0)))))</x:f>
        <x:v>0</x:v>
      </x:c>
      <x:c r="T410" s="6" t="n">
        <x:f>ROUND(MAX(0,O410+P410-Q410-S410),2)</x:f>
        <x:v>0</x:v>
      </x:c>
      <x:c r="U410" s="6" t="n">
        <x:f>Z409</x:f>
        <x:v>0</x:v>
      </x:c>
      <x:c r="V410" s="6" t="n">
        <x:f>ROUND(U410*'Debt strategy'!$D$12/12,2)</x:f>
        <x:v>0</x:v>
      </x:c>
      <x:c r="W410" s="6" t="n">
        <x:f>MIN(U410+V410,'Debt strategy'!$E$12)</x:f>
        <x:v>0</x:v>
      </x:c>
      <x:c r="X410" s="27" t="n">
        <x:f>IF(U410+V410-W410&lt;=0,99,1+SUM(IF(AND(C410+D410-E410&gt;0,OR(C410+D410-E410&lt;U410+V410-W410,AND(C410+D410-E410=U410+V410-W410,0&lt;3))),1,0),IF(AND(I410+J410-K410&gt;0,OR(I410+J410-K410&lt;U410+V410-W410,AND(I410+J410-K410=U410+V410-W410,1&lt;3))),1,0),IF(AND(O410+P410-Q410&gt;0,OR(O410+P410-Q410&lt;U410+V410-W410,AND(O410+P410-Q410=U410+V410-W410,2&lt;3))),1,0),IF(AND(AA410+AB410-AC410&gt;0,OR(AA410+AB410-AC410&lt;U410+V410-W410,AND(AA410+AB410-AC410=U410+V410-W410,4&lt;3))),1,0)))</x:f>
        <x:v>99</x:v>
      </x:c>
      <x:c r="Y410" s="6" t="n">
        <x:f>IF('Debt strategy'!$C$16&gt;0,0,MIN(U410+V410-W410,MAX(0,'Debt strategy'!$C$5-SUM(E410,K410,Q410,W410,AC410)-SUM(IF(F410&lt;X410,C410+D410-E410,0),IF(L410&lt;X410,I410+J410-K410,0),IF(R410&lt;X410,O410+P410-Q410,0),IF(AD410&lt;X410,AA410+AB410-AC410,0)))))</x:f>
        <x:v>0</x:v>
      </x:c>
      <x:c r="Z410" s="6" t="n">
        <x:f>ROUND(MAX(0,U410+V410-W410-Y410),2)</x:f>
        <x:v>0</x:v>
      </x:c>
      <x:c r="AA410" s="6" t="n">
        <x:f>AF409</x:f>
        <x:v>0</x:v>
      </x:c>
      <x:c r="AB410" s="6" t="n">
        <x:f>ROUND(AA410*'Debt strategy'!$D$13/12,2)</x:f>
        <x:v>0</x:v>
      </x:c>
      <x:c r="AC410" s="6" t="n">
        <x:f>MIN(AA410+AB410,'Debt strategy'!$E$13)</x:f>
        <x:v>0</x:v>
      </x:c>
      <x:c r="AD410" s="27" t="n">
        <x:f>IF(AA410+AB410-AC410&lt;=0,99,1+SUM(IF(AND(C410+D410-E410&gt;0,OR(C410+D410-E410&lt;AA410+AB410-AC410,AND(C410+D410-E410=AA410+AB410-AC410,0&lt;4))),1,0),IF(AND(I410+J410-K410&gt;0,OR(I410+J410-K410&lt;AA410+AB410-AC410,AND(I410+J410-K410=AA410+AB410-AC410,1&lt;4))),1,0),IF(AND(O410+P410-Q410&gt;0,OR(O410+P410-Q410&lt;AA410+AB410-AC410,AND(O410+P410-Q410=AA410+AB410-AC410,2&lt;4))),1,0),IF(AND(U410+V410-W410&gt;0,OR(U410+V410-W410&lt;AA410+AB410-AC410,AND(U410+V410-W410=AA410+AB410-AC410,3&lt;4))),1,0)))</x:f>
        <x:v>99</x:v>
      </x:c>
      <x:c r="AE410" s="6" t="n">
        <x:f>IF('Debt strategy'!$C$16&gt;0,0,MIN(AA410+AB410-AC410,MAX(0,'Debt strategy'!$C$5-SUM(E410,K410,Q410,W410,AC410)-SUM(IF(F410&lt;AD410,C410+D410-E410,0),IF(L410&lt;AD410,I410+J410-K410,0),IF(R410&lt;AD410,O410+P410-Q410,0),IF(X410&lt;AD410,U410+V410-W410,0)))))</x:f>
        <x:v>0</x:v>
      </x:c>
      <x:c r="AF410" s="6" t="n">
        <x:f>ROUND(MAX(0,AA410+AB410-AC410-AE410),2)</x:f>
        <x:v>0</x:v>
      </x:c>
      <x:c r="AG410" s="6" t="n">
        <x:f>SUM(H410,N410,T410,Z410,AF410)</x:f>
        <x:v>0</x:v>
      </x:c>
      <x:c r="AH410" s="6" t="n">
        <x:f>SUM(D410,J410,P410,V410,AB410)+AH409</x:f>
        <x:v>1353.9499999999996</x:v>
      </x:c>
      <x:c r="AI410" s="2"/>
    </x:row>
    <x:row r="411" ht="23" customHeight="1">
      <x:c r="B411" s="2" t="n">
        <x:f>403</x:f>
        <x:v>403</x:v>
      </x:c>
      <x:c r="C411" s="6" t="n">
        <x:f>H410</x:f>
        <x:v>0</x:v>
      </x:c>
      <x:c r="D411" s="6" t="n">
        <x:f>ROUND(C411*'Debt strategy'!$D$9/12,2)</x:f>
        <x:v>0</x:v>
      </x:c>
      <x:c r="E411" s="6" t="n">
        <x:f>MIN(C411+D411,'Debt strategy'!$E$9)</x:f>
        <x:v>0</x:v>
      </x:c>
      <x:c r="F411" s="27" t="n">
        <x:f>IF(C411+D411-E411&lt;=0,99,1+SUM(IF(AND(I411+J411-K411&gt;0,OR(I411+J411-K411&lt;C411+D411-E411,AND(I411+J411-K411=C411+D411-E411,1&lt;0))),1,0),IF(AND(O411+P411-Q411&gt;0,OR(O411+P411-Q411&lt;C411+D411-E411,AND(O411+P411-Q411=C411+D411-E411,2&lt;0))),1,0),IF(AND(U411+V411-W411&gt;0,OR(U411+V411-W411&lt;C411+D411-E411,AND(U411+V411-W411=C411+D411-E411,3&lt;0))),1,0),IF(AND(AA411+AB411-AC411&gt;0,OR(AA411+AB411-AC411&lt;C411+D411-E411,AND(AA411+AB411-AC411=C411+D411-E411,4&lt;0))),1,0)))</x:f>
        <x:v>99</x:v>
      </x:c>
      <x:c r="G411" s="6" t="n">
        <x:f>IF('Debt strategy'!$C$16&gt;0,0,MIN(C411+D411-E411,MAX(0,'Debt strategy'!$C$5-SUM(E411,K411,Q411,W411,AC411)-SUM(IF(L411&lt;F411,I411+J411-K411,0),IF(R411&lt;F411,O411+P411-Q411,0),IF(X411&lt;F411,U411+V411-W411,0),IF(AD411&lt;F411,AA411+AB411-AC411,0)))))</x:f>
        <x:v>0</x:v>
      </x:c>
      <x:c r="H411" s="6" t="n">
        <x:f>ROUND(MAX(0,C411+D411-E411-G411),2)</x:f>
        <x:v>0</x:v>
      </x:c>
      <x:c r="I411" s="6" t="n">
        <x:f>N410</x:f>
        <x:v>0</x:v>
      </x:c>
      <x:c r="J411" s="6" t="n">
        <x:f>ROUND(I411*'Debt strategy'!$D$10/12,2)</x:f>
        <x:v>0</x:v>
      </x:c>
      <x:c r="K411" s="6" t="n">
        <x:f>MIN(I411+J411,'Debt strategy'!$E$10)</x:f>
        <x:v>0</x:v>
      </x:c>
      <x:c r="L411" s="27" t="n">
        <x:f>IF(I411+J411-K411&lt;=0,99,1+SUM(IF(AND(C411+D411-E411&gt;0,OR(C411+D411-E411&lt;I411+J411-K411,AND(C411+D411-E411=I411+J411-K411,0&lt;1))),1,0),IF(AND(O411+P411-Q411&gt;0,OR(O411+P411-Q411&lt;I411+J411-K411,AND(O411+P411-Q411=I411+J411-K411,2&lt;1))),1,0),IF(AND(U411+V411-W411&gt;0,OR(U411+V411-W411&lt;I411+J411-K411,AND(U411+V411-W411=I411+J411-K411,3&lt;1))),1,0),IF(AND(AA411+AB411-AC411&gt;0,OR(AA411+AB411-AC411&lt;I411+J411-K411,AND(AA411+AB411-AC411=I411+J411-K411,4&lt;1))),1,0)))</x:f>
        <x:v>99</x:v>
      </x:c>
      <x:c r="M411" s="6" t="n">
        <x:f>IF('Debt strategy'!$C$16&gt;0,0,MIN(I411+J411-K411,MAX(0,'Debt strategy'!$C$5-SUM(E411,K411,Q411,W411,AC411)-SUM(IF(F411&lt;L411,C411+D411-E411,0),IF(R411&lt;L411,O411+P411-Q411,0),IF(X411&lt;L411,U411+V411-W411,0),IF(AD411&lt;L411,AA411+AB411-AC411,0)))))</x:f>
        <x:v>0</x:v>
      </x:c>
      <x:c r="N411" s="6" t="n">
        <x:f>ROUND(MAX(0,I411+J411-K411-M411),2)</x:f>
        <x:v>0</x:v>
      </x:c>
      <x:c r="O411" s="6" t="n">
        <x:f>T410</x:f>
        <x:v>0</x:v>
      </x:c>
      <x:c r="P411" s="6" t="n">
        <x:f>ROUND(O411*'Debt strategy'!$D$11/12,2)</x:f>
        <x:v>0</x:v>
      </x:c>
      <x:c r="Q411" s="6" t="n">
        <x:f>MIN(O411+P411,'Debt strategy'!$E$11)</x:f>
        <x:v>0</x:v>
      </x:c>
      <x:c r="R411" s="27" t="n">
        <x:f>IF(O411+P411-Q411&lt;=0,99,1+SUM(IF(AND(C411+D411-E411&gt;0,OR(C411+D411-E411&lt;O411+P411-Q411,AND(C411+D411-E411=O411+P411-Q411,0&lt;2))),1,0),IF(AND(I411+J411-K411&gt;0,OR(I411+J411-K411&lt;O411+P411-Q411,AND(I411+J411-K411=O411+P411-Q411,1&lt;2))),1,0),IF(AND(U411+V411-W411&gt;0,OR(U411+V411-W411&lt;O411+P411-Q411,AND(U411+V411-W411=O411+P411-Q411,3&lt;2))),1,0),IF(AND(AA411+AB411-AC411&gt;0,OR(AA411+AB411-AC411&lt;O411+P411-Q411,AND(AA411+AB411-AC411=O411+P411-Q411,4&lt;2))),1,0)))</x:f>
        <x:v>99</x:v>
      </x:c>
      <x:c r="S411" s="6" t="n">
        <x:f>IF('Debt strategy'!$C$16&gt;0,0,MIN(O411+P411-Q411,MAX(0,'Debt strategy'!$C$5-SUM(E411,K411,Q411,W411,AC411)-SUM(IF(F411&lt;R411,C411+D411-E411,0),IF(L411&lt;R411,I411+J411-K411,0),IF(X411&lt;R411,U411+V411-W411,0),IF(AD411&lt;R411,AA411+AB411-AC411,0)))))</x:f>
        <x:v>0</x:v>
      </x:c>
      <x:c r="T411" s="6" t="n">
        <x:f>ROUND(MAX(0,O411+P411-Q411-S411),2)</x:f>
        <x:v>0</x:v>
      </x:c>
      <x:c r="U411" s="6" t="n">
        <x:f>Z410</x:f>
        <x:v>0</x:v>
      </x:c>
      <x:c r="V411" s="6" t="n">
        <x:f>ROUND(U411*'Debt strategy'!$D$12/12,2)</x:f>
        <x:v>0</x:v>
      </x:c>
      <x:c r="W411" s="6" t="n">
        <x:f>MIN(U411+V411,'Debt strategy'!$E$12)</x:f>
        <x:v>0</x:v>
      </x:c>
      <x:c r="X411" s="27" t="n">
        <x:f>IF(U411+V411-W411&lt;=0,99,1+SUM(IF(AND(C411+D411-E411&gt;0,OR(C411+D411-E411&lt;U411+V411-W411,AND(C411+D411-E411=U411+V411-W411,0&lt;3))),1,0),IF(AND(I411+J411-K411&gt;0,OR(I411+J411-K411&lt;U411+V411-W411,AND(I411+J411-K411=U411+V411-W411,1&lt;3))),1,0),IF(AND(O411+P411-Q411&gt;0,OR(O411+P411-Q411&lt;U411+V411-W411,AND(O411+P411-Q411=U411+V411-W411,2&lt;3))),1,0),IF(AND(AA411+AB411-AC411&gt;0,OR(AA411+AB411-AC411&lt;U411+V411-W411,AND(AA411+AB411-AC411=U411+V411-W411,4&lt;3))),1,0)))</x:f>
        <x:v>99</x:v>
      </x:c>
      <x:c r="Y411" s="6" t="n">
        <x:f>IF('Debt strategy'!$C$16&gt;0,0,MIN(U411+V411-W411,MAX(0,'Debt strategy'!$C$5-SUM(E411,K411,Q411,W411,AC411)-SUM(IF(F411&lt;X411,C411+D411-E411,0),IF(L411&lt;X411,I411+J411-K411,0),IF(R411&lt;X411,O411+P411-Q411,0),IF(AD411&lt;X411,AA411+AB411-AC411,0)))))</x:f>
        <x:v>0</x:v>
      </x:c>
      <x:c r="Z411" s="6" t="n">
        <x:f>ROUND(MAX(0,U411+V411-W411-Y411),2)</x:f>
        <x:v>0</x:v>
      </x:c>
      <x:c r="AA411" s="6" t="n">
        <x:f>AF410</x:f>
        <x:v>0</x:v>
      </x:c>
      <x:c r="AB411" s="6" t="n">
        <x:f>ROUND(AA411*'Debt strategy'!$D$13/12,2)</x:f>
        <x:v>0</x:v>
      </x:c>
      <x:c r="AC411" s="6" t="n">
        <x:f>MIN(AA411+AB411,'Debt strategy'!$E$13)</x:f>
        <x:v>0</x:v>
      </x:c>
      <x:c r="AD411" s="27" t="n">
        <x:f>IF(AA411+AB411-AC411&lt;=0,99,1+SUM(IF(AND(C411+D411-E411&gt;0,OR(C411+D411-E411&lt;AA411+AB411-AC411,AND(C411+D411-E411=AA411+AB411-AC411,0&lt;4))),1,0),IF(AND(I411+J411-K411&gt;0,OR(I411+J411-K411&lt;AA411+AB411-AC411,AND(I411+J411-K411=AA411+AB411-AC411,1&lt;4))),1,0),IF(AND(O411+P411-Q411&gt;0,OR(O411+P411-Q411&lt;AA411+AB411-AC411,AND(O411+P411-Q411=AA411+AB411-AC411,2&lt;4))),1,0),IF(AND(U411+V411-W411&gt;0,OR(U411+V411-W411&lt;AA411+AB411-AC411,AND(U411+V411-W411=AA411+AB411-AC411,3&lt;4))),1,0)))</x:f>
        <x:v>99</x:v>
      </x:c>
      <x:c r="AE411" s="6" t="n">
        <x:f>IF('Debt strategy'!$C$16&gt;0,0,MIN(AA411+AB411-AC411,MAX(0,'Debt strategy'!$C$5-SUM(E411,K411,Q411,W411,AC411)-SUM(IF(F411&lt;AD411,C411+D411-E411,0),IF(L411&lt;AD411,I411+J411-K411,0),IF(R411&lt;AD411,O411+P411-Q411,0),IF(X411&lt;AD411,U411+V411-W411,0)))))</x:f>
        <x:v>0</x:v>
      </x:c>
      <x:c r="AF411" s="6" t="n">
        <x:f>ROUND(MAX(0,AA411+AB411-AC411-AE411),2)</x:f>
        <x:v>0</x:v>
      </x:c>
      <x:c r="AG411" s="6" t="n">
        <x:f>SUM(H411,N411,T411,Z411,AF411)</x:f>
        <x:v>0</x:v>
      </x:c>
      <x:c r="AH411" s="6" t="n">
        <x:f>SUM(D411,J411,P411,V411,AB411)+AH410</x:f>
        <x:v>1353.9499999999996</x:v>
      </x:c>
      <x:c r="AI411" s="2"/>
    </x:row>
    <x:row r="412" ht="23" customHeight="1">
      <x:c r="B412" s="2" t="n">
        <x:f>404</x:f>
        <x:v>404</x:v>
      </x:c>
      <x:c r="C412" s="6" t="n">
        <x:f>H411</x:f>
        <x:v>0</x:v>
      </x:c>
      <x:c r="D412" s="6" t="n">
        <x:f>ROUND(C412*'Debt strategy'!$D$9/12,2)</x:f>
        <x:v>0</x:v>
      </x:c>
      <x:c r="E412" s="6" t="n">
        <x:f>MIN(C412+D412,'Debt strategy'!$E$9)</x:f>
        <x:v>0</x:v>
      </x:c>
      <x:c r="F412" s="27" t="n">
        <x:f>IF(C412+D412-E412&lt;=0,99,1+SUM(IF(AND(I412+J412-K412&gt;0,OR(I412+J412-K412&lt;C412+D412-E412,AND(I412+J412-K412=C412+D412-E412,1&lt;0))),1,0),IF(AND(O412+P412-Q412&gt;0,OR(O412+P412-Q412&lt;C412+D412-E412,AND(O412+P412-Q412=C412+D412-E412,2&lt;0))),1,0),IF(AND(U412+V412-W412&gt;0,OR(U412+V412-W412&lt;C412+D412-E412,AND(U412+V412-W412=C412+D412-E412,3&lt;0))),1,0),IF(AND(AA412+AB412-AC412&gt;0,OR(AA412+AB412-AC412&lt;C412+D412-E412,AND(AA412+AB412-AC412=C412+D412-E412,4&lt;0))),1,0)))</x:f>
        <x:v>99</x:v>
      </x:c>
      <x:c r="G412" s="6" t="n">
        <x:f>IF('Debt strategy'!$C$16&gt;0,0,MIN(C412+D412-E412,MAX(0,'Debt strategy'!$C$5-SUM(E412,K412,Q412,W412,AC412)-SUM(IF(L412&lt;F412,I412+J412-K412,0),IF(R412&lt;F412,O412+P412-Q412,0),IF(X412&lt;F412,U412+V412-W412,0),IF(AD412&lt;F412,AA412+AB412-AC412,0)))))</x:f>
        <x:v>0</x:v>
      </x:c>
      <x:c r="H412" s="6" t="n">
        <x:f>ROUND(MAX(0,C412+D412-E412-G412),2)</x:f>
        <x:v>0</x:v>
      </x:c>
      <x:c r="I412" s="6" t="n">
        <x:f>N411</x:f>
        <x:v>0</x:v>
      </x:c>
      <x:c r="J412" s="6" t="n">
        <x:f>ROUND(I412*'Debt strategy'!$D$10/12,2)</x:f>
        <x:v>0</x:v>
      </x:c>
      <x:c r="K412" s="6" t="n">
        <x:f>MIN(I412+J412,'Debt strategy'!$E$10)</x:f>
        <x:v>0</x:v>
      </x:c>
      <x:c r="L412" s="27" t="n">
        <x:f>IF(I412+J412-K412&lt;=0,99,1+SUM(IF(AND(C412+D412-E412&gt;0,OR(C412+D412-E412&lt;I412+J412-K412,AND(C412+D412-E412=I412+J412-K412,0&lt;1))),1,0),IF(AND(O412+P412-Q412&gt;0,OR(O412+P412-Q412&lt;I412+J412-K412,AND(O412+P412-Q412=I412+J412-K412,2&lt;1))),1,0),IF(AND(U412+V412-W412&gt;0,OR(U412+V412-W412&lt;I412+J412-K412,AND(U412+V412-W412=I412+J412-K412,3&lt;1))),1,0),IF(AND(AA412+AB412-AC412&gt;0,OR(AA412+AB412-AC412&lt;I412+J412-K412,AND(AA412+AB412-AC412=I412+J412-K412,4&lt;1))),1,0)))</x:f>
        <x:v>99</x:v>
      </x:c>
      <x:c r="M412" s="6" t="n">
        <x:f>IF('Debt strategy'!$C$16&gt;0,0,MIN(I412+J412-K412,MAX(0,'Debt strategy'!$C$5-SUM(E412,K412,Q412,W412,AC412)-SUM(IF(F412&lt;L412,C412+D412-E412,0),IF(R412&lt;L412,O412+P412-Q412,0),IF(X412&lt;L412,U412+V412-W412,0),IF(AD412&lt;L412,AA412+AB412-AC412,0)))))</x:f>
        <x:v>0</x:v>
      </x:c>
      <x:c r="N412" s="6" t="n">
        <x:f>ROUND(MAX(0,I412+J412-K412-M412),2)</x:f>
        <x:v>0</x:v>
      </x:c>
      <x:c r="O412" s="6" t="n">
        <x:f>T411</x:f>
        <x:v>0</x:v>
      </x:c>
      <x:c r="P412" s="6" t="n">
        <x:f>ROUND(O412*'Debt strategy'!$D$11/12,2)</x:f>
        <x:v>0</x:v>
      </x:c>
      <x:c r="Q412" s="6" t="n">
        <x:f>MIN(O412+P412,'Debt strategy'!$E$11)</x:f>
        <x:v>0</x:v>
      </x:c>
      <x:c r="R412" s="27" t="n">
        <x:f>IF(O412+P412-Q412&lt;=0,99,1+SUM(IF(AND(C412+D412-E412&gt;0,OR(C412+D412-E412&lt;O412+P412-Q412,AND(C412+D412-E412=O412+P412-Q412,0&lt;2))),1,0),IF(AND(I412+J412-K412&gt;0,OR(I412+J412-K412&lt;O412+P412-Q412,AND(I412+J412-K412=O412+P412-Q412,1&lt;2))),1,0),IF(AND(U412+V412-W412&gt;0,OR(U412+V412-W412&lt;O412+P412-Q412,AND(U412+V412-W412=O412+P412-Q412,3&lt;2))),1,0),IF(AND(AA412+AB412-AC412&gt;0,OR(AA412+AB412-AC412&lt;O412+P412-Q412,AND(AA412+AB412-AC412=O412+P412-Q412,4&lt;2))),1,0)))</x:f>
        <x:v>99</x:v>
      </x:c>
      <x:c r="S412" s="6" t="n">
        <x:f>IF('Debt strategy'!$C$16&gt;0,0,MIN(O412+P412-Q412,MAX(0,'Debt strategy'!$C$5-SUM(E412,K412,Q412,W412,AC412)-SUM(IF(F412&lt;R412,C412+D412-E412,0),IF(L412&lt;R412,I412+J412-K412,0),IF(X412&lt;R412,U412+V412-W412,0),IF(AD412&lt;R412,AA412+AB412-AC412,0)))))</x:f>
        <x:v>0</x:v>
      </x:c>
      <x:c r="T412" s="6" t="n">
        <x:f>ROUND(MAX(0,O412+P412-Q412-S412),2)</x:f>
        <x:v>0</x:v>
      </x:c>
      <x:c r="U412" s="6" t="n">
        <x:f>Z411</x:f>
        <x:v>0</x:v>
      </x:c>
      <x:c r="V412" s="6" t="n">
        <x:f>ROUND(U412*'Debt strategy'!$D$12/12,2)</x:f>
        <x:v>0</x:v>
      </x:c>
      <x:c r="W412" s="6" t="n">
        <x:f>MIN(U412+V412,'Debt strategy'!$E$12)</x:f>
        <x:v>0</x:v>
      </x:c>
      <x:c r="X412" s="27" t="n">
        <x:f>IF(U412+V412-W412&lt;=0,99,1+SUM(IF(AND(C412+D412-E412&gt;0,OR(C412+D412-E412&lt;U412+V412-W412,AND(C412+D412-E412=U412+V412-W412,0&lt;3))),1,0),IF(AND(I412+J412-K412&gt;0,OR(I412+J412-K412&lt;U412+V412-W412,AND(I412+J412-K412=U412+V412-W412,1&lt;3))),1,0),IF(AND(O412+P412-Q412&gt;0,OR(O412+P412-Q412&lt;U412+V412-W412,AND(O412+P412-Q412=U412+V412-W412,2&lt;3))),1,0),IF(AND(AA412+AB412-AC412&gt;0,OR(AA412+AB412-AC412&lt;U412+V412-W412,AND(AA412+AB412-AC412=U412+V412-W412,4&lt;3))),1,0)))</x:f>
        <x:v>99</x:v>
      </x:c>
      <x:c r="Y412" s="6" t="n">
        <x:f>IF('Debt strategy'!$C$16&gt;0,0,MIN(U412+V412-W412,MAX(0,'Debt strategy'!$C$5-SUM(E412,K412,Q412,W412,AC412)-SUM(IF(F412&lt;X412,C412+D412-E412,0),IF(L412&lt;X412,I412+J412-K412,0),IF(R412&lt;X412,O412+P412-Q412,0),IF(AD412&lt;X412,AA412+AB412-AC412,0)))))</x:f>
        <x:v>0</x:v>
      </x:c>
      <x:c r="Z412" s="6" t="n">
        <x:f>ROUND(MAX(0,U412+V412-W412-Y412),2)</x:f>
        <x:v>0</x:v>
      </x:c>
      <x:c r="AA412" s="6" t="n">
        <x:f>AF411</x:f>
        <x:v>0</x:v>
      </x:c>
      <x:c r="AB412" s="6" t="n">
        <x:f>ROUND(AA412*'Debt strategy'!$D$13/12,2)</x:f>
        <x:v>0</x:v>
      </x:c>
      <x:c r="AC412" s="6" t="n">
        <x:f>MIN(AA412+AB412,'Debt strategy'!$E$13)</x:f>
        <x:v>0</x:v>
      </x:c>
      <x:c r="AD412" s="27" t="n">
        <x:f>IF(AA412+AB412-AC412&lt;=0,99,1+SUM(IF(AND(C412+D412-E412&gt;0,OR(C412+D412-E412&lt;AA412+AB412-AC412,AND(C412+D412-E412=AA412+AB412-AC412,0&lt;4))),1,0),IF(AND(I412+J412-K412&gt;0,OR(I412+J412-K412&lt;AA412+AB412-AC412,AND(I412+J412-K412=AA412+AB412-AC412,1&lt;4))),1,0),IF(AND(O412+P412-Q412&gt;0,OR(O412+P412-Q412&lt;AA412+AB412-AC412,AND(O412+P412-Q412=AA412+AB412-AC412,2&lt;4))),1,0),IF(AND(U412+V412-W412&gt;0,OR(U412+V412-W412&lt;AA412+AB412-AC412,AND(U412+V412-W412=AA412+AB412-AC412,3&lt;4))),1,0)))</x:f>
        <x:v>99</x:v>
      </x:c>
      <x:c r="AE412" s="6" t="n">
        <x:f>IF('Debt strategy'!$C$16&gt;0,0,MIN(AA412+AB412-AC412,MAX(0,'Debt strategy'!$C$5-SUM(E412,K412,Q412,W412,AC412)-SUM(IF(F412&lt;AD412,C412+D412-E412,0),IF(L412&lt;AD412,I412+J412-K412,0),IF(R412&lt;AD412,O412+P412-Q412,0),IF(X412&lt;AD412,U412+V412-W412,0)))))</x:f>
        <x:v>0</x:v>
      </x:c>
      <x:c r="AF412" s="6" t="n">
        <x:f>ROUND(MAX(0,AA412+AB412-AC412-AE412),2)</x:f>
        <x:v>0</x:v>
      </x:c>
      <x:c r="AG412" s="6" t="n">
        <x:f>SUM(H412,N412,T412,Z412,AF412)</x:f>
        <x:v>0</x:v>
      </x:c>
      <x:c r="AH412" s="6" t="n">
        <x:f>SUM(D412,J412,P412,V412,AB412)+AH411</x:f>
        <x:v>1353.9499999999996</x:v>
      </x:c>
      <x:c r="AI412" s="2"/>
    </x:row>
    <x:row r="413" ht="23" customHeight="1">
      <x:c r="B413" s="2" t="n">
        <x:f>405</x:f>
        <x:v>405</x:v>
      </x:c>
      <x:c r="C413" s="6" t="n">
        <x:f>H412</x:f>
        <x:v>0</x:v>
      </x:c>
      <x:c r="D413" s="6" t="n">
        <x:f>ROUND(C413*'Debt strategy'!$D$9/12,2)</x:f>
        <x:v>0</x:v>
      </x:c>
      <x:c r="E413" s="6" t="n">
        <x:f>MIN(C413+D413,'Debt strategy'!$E$9)</x:f>
        <x:v>0</x:v>
      </x:c>
      <x:c r="F413" s="27" t="n">
        <x:f>IF(C413+D413-E413&lt;=0,99,1+SUM(IF(AND(I413+J413-K413&gt;0,OR(I413+J413-K413&lt;C413+D413-E413,AND(I413+J413-K413=C413+D413-E413,1&lt;0))),1,0),IF(AND(O413+P413-Q413&gt;0,OR(O413+P413-Q413&lt;C413+D413-E413,AND(O413+P413-Q413=C413+D413-E413,2&lt;0))),1,0),IF(AND(U413+V413-W413&gt;0,OR(U413+V413-W413&lt;C413+D413-E413,AND(U413+V413-W413=C413+D413-E413,3&lt;0))),1,0),IF(AND(AA413+AB413-AC413&gt;0,OR(AA413+AB413-AC413&lt;C413+D413-E413,AND(AA413+AB413-AC413=C413+D413-E413,4&lt;0))),1,0)))</x:f>
        <x:v>99</x:v>
      </x:c>
      <x:c r="G413" s="6" t="n">
        <x:f>IF('Debt strategy'!$C$16&gt;0,0,MIN(C413+D413-E413,MAX(0,'Debt strategy'!$C$5-SUM(E413,K413,Q413,W413,AC413)-SUM(IF(L413&lt;F413,I413+J413-K413,0),IF(R413&lt;F413,O413+P413-Q413,0),IF(X413&lt;F413,U413+V413-W413,0),IF(AD413&lt;F413,AA413+AB413-AC413,0)))))</x:f>
        <x:v>0</x:v>
      </x:c>
      <x:c r="H413" s="6" t="n">
        <x:f>ROUND(MAX(0,C413+D413-E413-G413),2)</x:f>
        <x:v>0</x:v>
      </x:c>
      <x:c r="I413" s="6" t="n">
        <x:f>N412</x:f>
        <x:v>0</x:v>
      </x:c>
      <x:c r="J413" s="6" t="n">
        <x:f>ROUND(I413*'Debt strategy'!$D$10/12,2)</x:f>
        <x:v>0</x:v>
      </x:c>
      <x:c r="K413" s="6" t="n">
        <x:f>MIN(I413+J413,'Debt strategy'!$E$10)</x:f>
        <x:v>0</x:v>
      </x:c>
      <x:c r="L413" s="27" t="n">
        <x:f>IF(I413+J413-K413&lt;=0,99,1+SUM(IF(AND(C413+D413-E413&gt;0,OR(C413+D413-E413&lt;I413+J413-K413,AND(C413+D413-E413=I413+J413-K413,0&lt;1))),1,0),IF(AND(O413+P413-Q413&gt;0,OR(O413+P413-Q413&lt;I413+J413-K413,AND(O413+P413-Q413=I413+J413-K413,2&lt;1))),1,0),IF(AND(U413+V413-W413&gt;0,OR(U413+V413-W413&lt;I413+J413-K413,AND(U413+V413-W413=I413+J413-K413,3&lt;1))),1,0),IF(AND(AA413+AB413-AC413&gt;0,OR(AA413+AB413-AC413&lt;I413+J413-K413,AND(AA413+AB413-AC413=I413+J413-K413,4&lt;1))),1,0)))</x:f>
        <x:v>99</x:v>
      </x:c>
      <x:c r="M413" s="6" t="n">
        <x:f>IF('Debt strategy'!$C$16&gt;0,0,MIN(I413+J413-K413,MAX(0,'Debt strategy'!$C$5-SUM(E413,K413,Q413,W413,AC413)-SUM(IF(F413&lt;L413,C413+D413-E413,0),IF(R413&lt;L413,O413+P413-Q413,0),IF(X413&lt;L413,U413+V413-W413,0),IF(AD413&lt;L413,AA413+AB413-AC413,0)))))</x:f>
        <x:v>0</x:v>
      </x:c>
      <x:c r="N413" s="6" t="n">
        <x:f>ROUND(MAX(0,I413+J413-K413-M413),2)</x:f>
        <x:v>0</x:v>
      </x:c>
      <x:c r="O413" s="6" t="n">
        <x:f>T412</x:f>
        <x:v>0</x:v>
      </x:c>
      <x:c r="P413" s="6" t="n">
        <x:f>ROUND(O413*'Debt strategy'!$D$11/12,2)</x:f>
        <x:v>0</x:v>
      </x:c>
      <x:c r="Q413" s="6" t="n">
        <x:f>MIN(O413+P413,'Debt strategy'!$E$11)</x:f>
        <x:v>0</x:v>
      </x:c>
      <x:c r="R413" s="27" t="n">
        <x:f>IF(O413+P413-Q413&lt;=0,99,1+SUM(IF(AND(C413+D413-E413&gt;0,OR(C413+D413-E413&lt;O413+P413-Q413,AND(C413+D413-E413=O413+P413-Q413,0&lt;2))),1,0),IF(AND(I413+J413-K413&gt;0,OR(I413+J413-K413&lt;O413+P413-Q413,AND(I413+J413-K413=O413+P413-Q413,1&lt;2))),1,0),IF(AND(U413+V413-W413&gt;0,OR(U413+V413-W413&lt;O413+P413-Q413,AND(U413+V413-W413=O413+P413-Q413,3&lt;2))),1,0),IF(AND(AA413+AB413-AC413&gt;0,OR(AA413+AB413-AC413&lt;O413+P413-Q413,AND(AA413+AB413-AC413=O413+P413-Q413,4&lt;2))),1,0)))</x:f>
        <x:v>99</x:v>
      </x:c>
      <x:c r="S413" s="6" t="n">
        <x:f>IF('Debt strategy'!$C$16&gt;0,0,MIN(O413+P413-Q413,MAX(0,'Debt strategy'!$C$5-SUM(E413,K413,Q413,W413,AC413)-SUM(IF(F413&lt;R413,C413+D413-E413,0),IF(L413&lt;R413,I413+J413-K413,0),IF(X413&lt;R413,U413+V413-W413,0),IF(AD413&lt;R413,AA413+AB413-AC413,0)))))</x:f>
        <x:v>0</x:v>
      </x:c>
      <x:c r="T413" s="6" t="n">
        <x:f>ROUND(MAX(0,O413+P413-Q413-S413),2)</x:f>
        <x:v>0</x:v>
      </x:c>
      <x:c r="U413" s="6" t="n">
        <x:f>Z412</x:f>
        <x:v>0</x:v>
      </x:c>
      <x:c r="V413" s="6" t="n">
        <x:f>ROUND(U413*'Debt strategy'!$D$12/12,2)</x:f>
        <x:v>0</x:v>
      </x:c>
      <x:c r="W413" s="6" t="n">
        <x:f>MIN(U413+V413,'Debt strategy'!$E$12)</x:f>
        <x:v>0</x:v>
      </x:c>
      <x:c r="X413" s="27" t="n">
        <x:f>IF(U413+V413-W413&lt;=0,99,1+SUM(IF(AND(C413+D413-E413&gt;0,OR(C413+D413-E413&lt;U413+V413-W413,AND(C413+D413-E413=U413+V413-W413,0&lt;3))),1,0),IF(AND(I413+J413-K413&gt;0,OR(I413+J413-K413&lt;U413+V413-W413,AND(I413+J413-K413=U413+V413-W413,1&lt;3))),1,0),IF(AND(O413+P413-Q413&gt;0,OR(O413+P413-Q413&lt;U413+V413-W413,AND(O413+P413-Q413=U413+V413-W413,2&lt;3))),1,0),IF(AND(AA413+AB413-AC413&gt;0,OR(AA413+AB413-AC413&lt;U413+V413-W413,AND(AA413+AB413-AC413=U413+V413-W413,4&lt;3))),1,0)))</x:f>
        <x:v>99</x:v>
      </x:c>
      <x:c r="Y413" s="6" t="n">
        <x:f>IF('Debt strategy'!$C$16&gt;0,0,MIN(U413+V413-W413,MAX(0,'Debt strategy'!$C$5-SUM(E413,K413,Q413,W413,AC413)-SUM(IF(F413&lt;X413,C413+D413-E413,0),IF(L413&lt;X413,I413+J413-K413,0),IF(R413&lt;X413,O413+P413-Q413,0),IF(AD413&lt;X413,AA413+AB413-AC413,0)))))</x:f>
        <x:v>0</x:v>
      </x:c>
      <x:c r="Z413" s="6" t="n">
        <x:f>ROUND(MAX(0,U413+V413-W413-Y413),2)</x:f>
        <x:v>0</x:v>
      </x:c>
      <x:c r="AA413" s="6" t="n">
        <x:f>AF412</x:f>
        <x:v>0</x:v>
      </x:c>
      <x:c r="AB413" s="6" t="n">
        <x:f>ROUND(AA413*'Debt strategy'!$D$13/12,2)</x:f>
        <x:v>0</x:v>
      </x:c>
      <x:c r="AC413" s="6" t="n">
        <x:f>MIN(AA413+AB413,'Debt strategy'!$E$13)</x:f>
        <x:v>0</x:v>
      </x:c>
      <x:c r="AD413" s="27" t="n">
        <x:f>IF(AA413+AB413-AC413&lt;=0,99,1+SUM(IF(AND(C413+D413-E413&gt;0,OR(C413+D413-E413&lt;AA413+AB413-AC413,AND(C413+D413-E413=AA413+AB413-AC413,0&lt;4))),1,0),IF(AND(I413+J413-K413&gt;0,OR(I413+J413-K413&lt;AA413+AB413-AC413,AND(I413+J413-K413=AA413+AB413-AC413,1&lt;4))),1,0),IF(AND(O413+P413-Q413&gt;0,OR(O413+P413-Q413&lt;AA413+AB413-AC413,AND(O413+P413-Q413=AA413+AB413-AC413,2&lt;4))),1,0),IF(AND(U413+V413-W413&gt;0,OR(U413+V413-W413&lt;AA413+AB413-AC413,AND(U413+V413-W413=AA413+AB413-AC413,3&lt;4))),1,0)))</x:f>
        <x:v>99</x:v>
      </x:c>
      <x:c r="AE413" s="6" t="n">
        <x:f>IF('Debt strategy'!$C$16&gt;0,0,MIN(AA413+AB413-AC413,MAX(0,'Debt strategy'!$C$5-SUM(E413,K413,Q413,W413,AC413)-SUM(IF(F413&lt;AD413,C413+D413-E413,0),IF(L413&lt;AD413,I413+J413-K413,0),IF(R413&lt;AD413,O413+P413-Q413,0),IF(X413&lt;AD413,U413+V413-W413,0)))))</x:f>
        <x:v>0</x:v>
      </x:c>
      <x:c r="AF413" s="6" t="n">
        <x:f>ROUND(MAX(0,AA413+AB413-AC413-AE413),2)</x:f>
        <x:v>0</x:v>
      </x:c>
      <x:c r="AG413" s="6" t="n">
        <x:f>SUM(H413,N413,T413,Z413,AF413)</x:f>
        <x:v>0</x:v>
      </x:c>
      <x:c r="AH413" s="6" t="n">
        <x:f>SUM(D413,J413,P413,V413,AB413)+AH412</x:f>
        <x:v>1353.9499999999996</x:v>
      </x:c>
      <x:c r="AI413" s="2"/>
    </x:row>
    <x:row r="414" ht="23" customHeight="1">
      <x:c r="B414" s="2" t="n">
        <x:f>406</x:f>
        <x:v>406</x:v>
      </x:c>
      <x:c r="C414" s="6" t="n">
        <x:f>H413</x:f>
        <x:v>0</x:v>
      </x:c>
      <x:c r="D414" s="6" t="n">
        <x:f>ROUND(C414*'Debt strategy'!$D$9/12,2)</x:f>
        <x:v>0</x:v>
      </x:c>
      <x:c r="E414" s="6" t="n">
        <x:f>MIN(C414+D414,'Debt strategy'!$E$9)</x:f>
        <x:v>0</x:v>
      </x:c>
      <x:c r="F414" s="27" t="n">
        <x:f>IF(C414+D414-E414&lt;=0,99,1+SUM(IF(AND(I414+J414-K414&gt;0,OR(I414+J414-K414&lt;C414+D414-E414,AND(I414+J414-K414=C414+D414-E414,1&lt;0))),1,0),IF(AND(O414+P414-Q414&gt;0,OR(O414+P414-Q414&lt;C414+D414-E414,AND(O414+P414-Q414=C414+D414-E414,2&lt;0))),1,0),IF(AND(U414+V414-W414&gt;0,OR(U414+V414-W414&lt;C414+D414-E414,AND(U414+V414-W414=C414+D414-E414,3&lt;0))),1,0),IF(AND(AA414+AB414-AC414&gt;0,OR(AA414+AB414-AC414&lt;C414+D414-E414,AND(AA414+AB414-AC414=C414+D414-E414,4&lt;0))),1,0)))</x:f>
        <x:v>99</x:v>
      </x:c>
      <x:c r="G414" s="6" t="n">
        <x:f>IF('Debt strategy'!$C$16&gt;0,0,MIN(C414+D414-E414,MAX(0,'Debt strategy'!$C$5-SUM(E414,K414,Q414,W414,AC414)-SUM(IF(L414&lt;F414,I414+J414-K414,0),IF(R414&lt;F414,O414+P414-Q414,0),IF(X414&lt;F414,U414+V414-W414,0),IF(AD414&lt;F414,AA414+AB414-AC414,0)))))</x:f>
        <x:v>0</x:v>
      </x:c>
      <x:c r="H414" s="6" t="n">
        <x:f>ROUND(MAX(0,C414+D414-E414-G414),2)</x:f>
        <x:v>0</x:v>
      </x:c>
      <x:c r="I414" s="6" t="n">
        <x:f>N413</x:f>
        <x:v>0</x:v>
      </x:c>
      <x:c r="J414" s="6" t="n">
        <x:f>ROUND(I414*'Debt strategy'!$D$10/12,2)</x:f>
        <x:v>0</x:v>
      </x:c>
      <x:c r="K414" s="6" t="n">
        <x:f>MIN(I414+J414,'Debt strategy'!$E$10)</x:f>
        <x:v>0</x:v>
      </x:c>
      <x:c r="L414" s="27" t="n">
        <x:f>IF(I414+J414-K414&lt;=0,99,1+SUM(IF(AND(C414+D414-E414&gt;0,OR(C414+D414-E414&lt;I414+J414-K414,AND(C414+D414-E414=I414+J414-K414,0&lt;1))),1,0),IF(AND(O414+P414-Q414&gt;0,OR(O414+P414-Q414&lt;I414+J414-K414,AND(O414+P414-Q414=I414+J414-K414,2&lt;1))),1,0),IF(AND(U414+V414-W414&gt;0,OR(U414+V414-W414&lt;I414+J414-K414,AND(U414+V414-W414=I414+J414-K414,3&lt;1))),1,0),IF(AND(AA414+AB414-AC414&gt;0,OR(AA414+AB414-AC414&lt;I414+J414-K414,AND(AA414+AB414-AC414=I414+J414-K414,4&lt;1))),1,0)))</x:f>
        <x:v>99</x:v>
      </x:c>
      <x:c r="M414" s="6" t="n">
        <x:f>IF('Debt strategy'!$C$16&gt;0,0,MIN(I414+J414-K414,MAX(0,'Debt strategy'!$C$5-SUM(E414,K414,Q414,W414,AC414)-SUM(IF(F414&lt;L414,C414+D414-E414,0),IF(R414&lt;L414,O414+P414-Q414,0),IF(X414&lt;L414,U414+V414-W414,0),IF(AD414&lt;L414,AA414+AB414-AC414,0)))))</x:f>
        <x:v>0</x:v>
      </x:c>
      <x:c r="N414" s="6" t="n">
        <x:f>ROUND(MAX(0,I414+J414-K414-M414),2)</x:f>
        <x:v>0</x:v>
      </x:c>
      <x:c r="O414" s="6" t="n">
        <x:f>T413</x:f>
        <x:v>0</x:v>
      </x:c>
      <x:c r="P414" s="6" t="n">
        <x:f>ROUND(O414*'Debt strategy'!$D$11/12,2)</x:f>
        <x:v>0</x:v>
      </x:c>
      <x:c r="Q414" s="6" t="n">
        <x:f>MIN(O414+P414,'Debt strategy'!$E$11)</x:f>
        <x:v>0</x:v>
      </x:c>
      <x:c r="R414" s="27" t="n">
        <x:f>IF(O414+P414-Q414&lt;=0,99,1+SUM(IF(AND(C414+D414-E414&gt;0,OR(C414+D414-E414&lt;O414+P414-Q414,AND(C414+D414-E414=O414+P414-Q414,0&lt;2))),1,0),IF(AND(I414+J414-K414&gt;0,OR(I414+J414-K414&lt;O414+P414-Q414,AND(I414+J414-K414=O414+P414-Q414,1&lt;2))),1,0),IF(AND(U414+V414-W414&gt;0,OR(U414+V414-W414&lt;O414+P414-Q414,AND(U414+V414-W414=O414+P414-Q414,3&lt;2))),1,0),IF(AND(AA414+AB414-AC414&gt;0,OR(AA414+AB414-AC414&lt;O414+P414-Q414,AND(AA414+AB414-AC414=O414+P414-Q414,4&lt;2))),1,0)))</x:f>
        <x:v>99</x:v>
      </x:c>
      <x:c r="S414" s="6" t="n">
        <x:f>IF('Debt strategy'!$C$16&gt;0,0,MIN(O414+P414-Q414,MAX(0,'Debt strategy'!$C$5-SUM(E414,K414,Q414,W414,AC414)-SUM(IF(F414&lt;R414,C414+D414-E414,0),IF(L414&lt;R414,I414+J414-K414,0),IF(X414&lt;R414,U414+V414-W414,0),IF(AD414&lt;R414,AA414+AB414-AC414,0)))))</x:f>
        <x:v>0</x:v>
      </x:c>
      <x:c r="T414" s="6" t="n">
        <x:f>ROUND(MAX(0,O414+P414-Q414-S414),2)</x:f>
        <x:v>0</x:v>
      </x:c>
      <x:c r="U414" s="6" t="n">
        <x:f>Z413</x:f>
        <x:v>0</x:v>
      </x:c>
      <x:c r="V414" s="6" t="n">
        <x:f>ROUND(U414*'Debt strategy'!$D$12/12,2)</x:f>
        <x:v>0</x:v>
      </x:c>
      <x:c r="W414" s="6" t="n">
        <x:f>MIN(U414+V414,'Debt strategy'!$E$12)</x:f>
        <x:v>0</x:v>
      </x:c>
      <x:c r="X414" s="27" t="n">
        <x:f>IF(U414+V414-W414&lt;=0,99,1+SUM(IF(AND(C414+D414-E414&gt;0,OR(C414+D414-E414&lt;U414+V414-W414,AND(C414+D414-E414=U414+V414-W414,0&lt;3))),1,0),IF(AND(I414+J414-K414&gt;0,OR(I414+J414-K414&lt;U414+V414-W414,AND(I414+J414-K414=U414+V414-W414,1&lt;3))),1,0),IF(AND(O414+P414-Q414&gt;0,OR(O414+P414-Q414&lt;U414+V414-W414,AND(O414+P414-Q414=U414+V414-W414,2&lt;3))),1,0),IF(AND(AA414+AB414-AC414&gt;0,OR(AA414+AB414-AC414&lt;U414+V414-W414,AND(AA414+AB414-AC414=U414+V414-W414,4&lt;3))),1,0)))</x:f>
        <x:v>99</x:v>
      </x:c>
      <x:c r="Y414" s="6" t="n">
        <x:f>IF('Debt strategy'!$C$16&gt;0,0,MIN(U414+V414-W414,MAX(0,'Debt strategy'!$C$5-SUM(E414,K414,Q414,W414,AC414)-SUM(IF(F414&lt;X414,C414+D414-E414,0),IF(L414&lt;X414,I414+J414-K414,0),IF(R414&lt;X414,O414+P414-Q414,0),IF(AD414&lt;X414,AA414+AB414-AC414,0)))))</x:f>
        <x:v>0</x:v>
      </x:c>
      <x:c r="Z414" s="6" t="n">
        <x:f>ROUND(MAX(0,U414+V414-W414-Y414),2)</x:f>
        <x:v>0</x:v>
      </x:c>
      <x:c r="AA414" s="6" t="n">
        <x:f>AF413</x:f>
        <x:v>0</x:v>
      </x:c>
      <x:c r="AB414" s="6" t="n">
        <x:f>ROUND(AA414*'Debt strategy'!$D$13/12,2)</x:f>
        <x:v>0</x:v>
      </x:c>
      <x:c r="AC414" s="6" t="n">
        <x:f>MIN(AA414+AB414,'Debt strategy'!$E$13)</x:f>
        <x:v>0</x:v>
      </x:c>
      <x:c r="AD414" s="27" t="n">
        <x:f>IF(AA414+AB414-AC414&lt;=0,99,1+SUM(IF(AND(C414+D414-E414&gt;0,OR(C414+D414-E414&lt;AA414+AB414-AC414,AND(C414+D414-E414=AA414+AB414-AC414,0&lt;4))),1,0),IF(AND(I414+J414-K414&gt;0,OR(I414+J414-K414&lt;AA414+AB414-AC414,AND(I414+J414-K414=AA414+AB414-AC414,1&lt;4))),1,0),IF(AND(O414+P414-Q414&gt;0,OR(O414+P414-Q414&lt;AA414+AB414-AC414,AND(O414+P414-Q414=AA414+AB414-AC414,2&lt;4))),1,0),IF(AND(U414+V414-W414&gt;0,OR(U414+V414-W414&lt;AA414+AB414-AC414,AND(U414+V414-W414=AA414+AB414-AC414,3&lt;4))),1,0)))</x:f>
        <x:v>99</x:v>
      </x:c>
      <x:c r="AE414" s="6" t="n">
        <x:f>IF('Debt strategy'!$C$16&gt;0,0,MIN(AA414+AB414-AC414,MAX(0,'Debt strategy'!$C$5-SUM(E414,K414,Q414,W414,AC414)-SUM(IF(F414&lt;AD414,C414+D414-E414,0),IF(L414&lt;AD414,I414+J414-K414,0),IF(R414&lt;AD414,O414+P414-Q414,0),IF(X414&lt;AD414,U414+V414-W414,0)))))</x:f>
        <x:v>0</x:v>
      </x:c>
      <x:c r="AF414" s="6" t="n">
        <x:f>ROUND(MAX(0,AA414+AB414-AC414-AE414),2)</x:f>
        <x:v>0</x:v>
      </x:c>
      <x:c r="AG414" s="6" t="n">
        <x:f>SUM(H414,N414,T414,Z414,AF414)</x:f>
        <x:v>0</x:v>
      </x:c>
      <x:c r="AH414" s="6" t="n">
        <x:f>SUM(D414,J414,P414,V414,AB414)+AH413</x:f>
        <x:v>1353.9499999999996</x:v>
      </x:c>
      <x:c r="AI414" s="2"/>
    </x:row>
    <x:row r="415" ht="23" customHeight="1">
      <x:c r="B415" s="2" t="n">
        <x:f>407</x:f>
        <x:v>407</x:v>
      </x:c>
      <x:c r="C415" s="6" t="n">
        <x:f>H414</x:f>
        <x:v>0</x:v>
      </x:c>
      <x:c r="D415" s="6" t="n">
        <x:f>ROUND(C415*'Debt strategy'!$D$9/12,2)</x:f>
        <x:v>0</x:v>
      </x:c>
      <x:c r="E415" s="6" t="n">
        <x:f>MIN(C415+D415,'Debt strategy'!$E$9)</x:f>
        <x:v>0</x:v>
      </x:c>
      <x:c r="F415" s="27" t="n">
        <x:f>IF(C415+D415-E415&lt;=0,99,1+SUM(IF(AND(I415+J415-K415&gt;0,OR(I415+J415-K415&lt;C415+D415-E415,AND(I415+J415-K415=C415+D415-E415,1&lt;0))),1,0),IF(AND(O415+P415-Q415&gt;0,OR(O415+P415-Q415&lt;C415+D415-E415,AND(O415+P415-Q415=C415+D415-E415,2&lt;0))),1,0),IF(AND(U415+V415-W415&gt;0,OR(U415+V415-W415&lt;C415+D415-E415,AND(U415+V415-W415=C415+D415-E415,3&lt;0))),1,0),IF(AND(AA415+AB415-AC415&gt;0,OR(AA415+AB415-AC415&lt;C415+D415-E415,AND(AA415+AB415-AC415=C415+D415-E415,4&lt;0))),1,0)))</x:f>
        <x:v>99</x:v>
      </x:c>
      <x:c r="G415" s="6" t="n">
        <x:f>IF('Debt strategy'!$C$16&gt;0,0,MIN(C415+D415-E415,MAX(0,'Debt strategy'!$C$5-SUM(E415,K415,Q415,W415,AC415)-SUM(IF(L415&lt;F415,I415+J415-K415,0),IF(R415&lt;F415,O415+P415-Q415,0),IF(X415&lt;F415,U415+V415-W415,0),IF(AD415&lt;F415,AA415+AB415-AC415,0)))))</x:f>
        <x:v>0</x:v>
      </x:c>
      <x:c r="H415" s="6" t="n">
        <x:f>ROUND(MAX(0,C415+D415-E415-G415),2)</x:f>
        <x:v>0</x:v>
      </x:c>
      <x:c r="I415" s="6" t="n">
        <x:f>N414</x:f>
        <x:v>0</x:v>
      </x:c>
      <x:c r="J415" s="6" t="n">
        <x:f>ROUND(I415*'Debt strategy'!$D$10/12,2)</x:f>
        <x:v>0</x:v>
      </x:c>
      <x:c r="K415" s="6" t="n">
        <x:f>MIN(I415+J415,'Debt strategy'!$E$10)</x:f>
        <x:v>0</x:v>
      </x:c>
      <x:c r="L415" s="27" t="n">
        <x:f>IF(I415+J415-K415&lt;=0,99,1+SUM(IF(AND(C415+D415-E415&gt;0,OR(C415+D415-E415&lt;I415+J415-K415,AND(C415+D415-E415=I415+J415-K415,0&lt;1))),1,0),IF(AND(O415+P415-Q415&gt;0,OR(O415+P415-Q415&lt;I415+J415-K415,AND(O415+P415-Q415=I415+J415-K415,2&lt;1))),1,0),IF(AND(U415+V415-W415&gt;0,OR(U415+V415-W415&lt;I415+J415-K415,AND(U415+V415-W415=I415+J415-K415,3&lt;1))),1,0),IF(AND(AA415+AB415-AC415&gt;0,OR(AA415+AB415-AC415&lt;I415+J415-K415,AND(AA415+AB415-AC415=I415+J415-K415,4&lt;1))),1,0)))</x:f>
        <x:v>99</x:v>
      </x:c>
      <x:c r="M415" s="6" t="n">
        <x:f>IF('Debt strategy'!$C$16&gt;0,0,MIN(I415+J415-K415,MAX(0,'Debt strategy'!$C$5-SUM(E415,K415,Q415,W415,AC415)-SUM(IF(F415&lt;L415,C415+D415-E415,0),IF(R415&lt;L415,O415+P415-Q415,0),IF(X415&lt;L415,U415+V415-W415,0),IF(AD415&lt;L415,AA415+AB415-AC415,0)))))</x:f>
        <x:v>0</x:v>
      </x:c>
      <x:c r="N415" s="6" t="n">
        <x:f>ROUND(MAX(0,I415+J415-K415-M415),2)</x:f>
        <x:v>0</x:v>
      </x:c>
      <x:c r="O415" s="6" t="n">
        <x:f>T414</x:f>
        <x:v>0</x:v>
      </x:c>
      <x:c r="P415" s="6" t="n">
        <x:f>ROUND(O415*'Debt strategy'!$D$11/12,2)</x:f>
        <x:v>0</x:v>
      </x:c>
      <x:c r="Q415" s="6" t="n">
        <x:f>MIN(O415+P415,'Debt strategy'!$E$11)</x:f>
        <x:v>0</x:v>
      </x:c>
      <x:c r="R415" s="27" t="n">
        <x:f>IF(O415+P415-Q415&lt;=0,99,1+SUM(IF(AND(C415+D415-E415&gt;0,OR(C415+D415-E415&lt;O415+P415-Q415,AND(C415+D415-E415=O415+P415-Q415,0&lt;2))),1,0),IF(AND(I415+J415-K415&gt;0,OR(I415+J415-K415&lt;O415+P415-Q415,AND(I415+J415-K415=O415+P415-Q415,1&lt;2))),1,0),IF(AND(U415+V415-W415&gt;0,OR(U415+V415-W415&lt;O415+P415-Q415,AND(U415+V415-W415=O415+P415-Q415,3&lt;2))),1,0),IF(AND(AA415+AB415-AC415&gt;0,OR(AA415+AB415-AC415&lt;O415+P415-Q415,AND(AA415+AB415-AC415=O415+P415-Q415,4&lt;2))),1,0)))</x:f>
        <x:v>99</x:v>
      </x:c>
      <x:c r="S415" s="6" t="n">
        <x:f>IF('Debt strategy'!$C$16&gt;0,0,MIN(O415+P415-Q415,MAX(0,'Debt strategy'!$C$5-SUM(E415,K415,Q415,W415,AC415)-SUM(IF(F415&lt;R415,C415+D415-E415,0),IF(L415&lt;R415,I415+J415-K415,0),IF(X415&lt;R415,U415+V415-W415,0),IF(AD415&lt;R415,AA415+AB415-AC415,0)))))</x:f>
        <x:v>0</x:v>
      </x:c>
      <x:c r="T415" s="6" t="n">
        <x:f>ROUND(MAX(0,O415+P415-Q415-S415),2)</x:f>
        <x:v>0</x:v>
      </x:c>
      <x:c r="U415" s="6" t="n">
        <x:f>Z414</x:f>
        <x:v>0</x:v>
      </x:c>
      <x:c r="V415" s="6" t="n">
        <x:f>ROUND(U415*'Debt strategy'!$D$12/12,2)</x:f>
        <x:v>0</x:v>
      </x:c>
      <x:c r="W415" s="6" t="n">
        <x:f>MIN(U415+V415,'Debt strategy'!$E$12)</x:f>
        <x:v>0</x:v>
      </x:c>
      <x:c r="X415" s="27" t="n">
        <x:f>IF(U415+V415-W415&lt;=0,99,1+SUM(IF(AND(C415+D415-E415&gt;0,OR(C415+D415-E415&lt;U415+V415-W415,AND(C415+D415-E415=U415+V415-W415,0&lt;3))),1,0),IF(AND(I415+J415-K415&gt;0,OR(I415+J415-K415&lt;U415+V415-W415,AND(I415+J415-K415=U415+V415-W415,1&lt;3))),1,0),IF(AND(O415+P415-Q415&gt;0,OR(O415+P415-Q415&lt;U415+V415-W415,AND(O415+P415-Q415=U415+V415-W415,2&lt;3))),1,0),IF(AND(AA415+AB415-AC415&gt;0,OR(AA415+AB415-AC415&lt;U415+V415-W415,AND(AA415+AB415-AC415=U415+V415-W415,4&lt;3))),1,0)))</x:f>
        <x:v>99</x:v>
      </x:c>
      <x:c r="Y415" s="6" t="n">
        <x:f>IF('Debt strategy'!$C$16&gt;0,0,MIN(U415+V415-W415,MAX(0,'Debt strategy'!$C$5-SUM(E415,K415,Q415,W415,AC415)-SUM(IF(F415&lt;X415,C415+D415-E415,0),IF(L415&lt;X415,I415+J415-K415,0),IF(R415&lt;X415,O415+P415-Q415,0),IF(AD415&lt;X415,AA415+AB415-AC415,0)))))</x:f>
        <x:v>0</x:v>
      </x:c>
      <x:c r="Z415" s="6" t="n">
        <x:f>ROUND(MAX(0,U415+V415-W415-Y415),2)</x:f>
        <x:v>0</x:v>
      </x:c>
      <x:c r="AA415" s="6" t="n">
        <x:f>AF414</x:f>
        <x:v>0</x:v>
      </x:c>
      <x:c r="AB415" s="6" t="n">
        <x:f>ROUND(AA415*'Debt strategy'!$D$13/12,2)</x:f>
        <x:v>0</x:v>
      </x:c>
      <x:c r="AC415" s="6" t="n">
        <x:f>MIN(AA415+AB415,'Debt strategy'!$E$13)</x:f>
        <x:v>0</x:v>
      </x:c>
      <x:c r="AD415" s="27" t="n">
        <x:f>IF(AA415+AB415-AC415&lt;=0,99,1+SUM(IF(AND(C415+D415-E415&gt;0,OR(C415+D415-E415&lt;AA415+AB415-AC415,AND(C415+D415-E415=AA415+AB415-AC415,0&lt;4))),1,0),IF(AND(I415+J415-K415&gt;0,OR(I415+J415-K415&lt;AA415+AB415-AC415,AND(I415+J415-K415=AA415+AB415-AC415,1&lt;4))),1,0),IF(AND(O415+P415-Q415&gt;0,OR(O415+P415-Q415&lt;AA415+AB415-AC415,AND(O415+P415-Q415=AA415+AB415-AC415,2&lt;4))),1,0),IF(AND(U415+V415-W415&gt;0,OR(U415+V415-W415&lt;AA415+AB415-AC415,AND(U415+V415-W415=AA415+AB415-AC415,3&lt;4))),1,0)))</x:f>
        <x:v>99</x:v>
      </x:c>
      <x:c r="AE415" s="6" t="n">
        <x:f>IF('Debt strategy'!$C$16&gt;0,0,MIN(AA415+AB415-AC415,MAX(0,'Debt strategy'!$C$5-SUM(E415,K415,Q415,W415,AC415)-SUM(IF(F415&lt;AD415,C415+D415-E415,0),IF(L415&lt;AD415,I415+J415-K415,0),IF(R415&lt;AD415,O415+P415-Q415,0),IF(X415&lt;AD415,U415+V415-W415,0)))))</x:f>
        <x:v>0</x:v>
      </x:c>
      <x:c r="AF415" s="6" t="n">
        <x:f>ROUND(MAX(0,AA415+AB415-AC415-AE415),2)</x:f>
        <x:v>0</x:v>
      </x:c>
      <x:c r="AG415" s="6" t="n">
        <x:f>SUM(H415,N415,T415,Z415,AF415)</x:f>
        <x:v>0</x:v>
      </x:c>
      <x:c r="AH415" s="6" t="n">
        <x:f>SUM(D415,J415,P415,V415,AB415)+AH414</x:f>
        <x:v>1353.9499999999996</x:v>
      </x:c>
      <x:c r="AI415" s="2"/>
    </x:row>
    <x:row r="416" ht="23" customHeight="1">
      <x:c r="B416" s="2" t="n">
        <x:f>408</x:f>
        <x:v>408</x:v>
      </x:c>
      <x:c r="C416" s="6" t="n">
        <x:f>H415</x:f>
        <x:v>0</x:v>
      </x:c>
      <x:c r="D416" s="6" t="n">
        <x:f>ROUND(C416*'Debt strategy'!$D$9/12,2)</x:f>
        <x:v>0</x:v>
      </x:c>
      <x:c r="E416" s="6" t="n">
        <x:f>MIN(C416+D416,'Debt strategy'!$E$9)</x:f>
        <x:v>0</x:v>
      </x:c>
      <x:c r="F416" s="27" t="n">
        <x:f>IF(C416+D416-E416&lt;=0,99,1+SUM(IF(AND(I416+J416-K416&gt;0,OR(I416+J416-K416&lt;C416+D416-E416,AND(I416+J416-K416=C416+D416-E416,1&lt;0))),1,0),IF(AND(O416+P416-Q416&gt;0,OR(O416+P416-Q416&lt;C416+D416-E416,AND(O416+P416-Q416=C416+D416-E416,2&lt;0))),1,0),IF(AND(U416+V416-W416&gt;0,OR(U416+V416-W416&lt;C416+D416-E416,AND(U416+V416-W416=C416+D416-E416,3&lt;0))),1,0),IF(AND(AA416+AB416-AC416&gt;0,OR(AA416+AB416-AC416&lt;C416+D416-E416,AND(AA416+AB416-AC416=C416+D416-E416,4&lt;0))),1,0)))</x:f>
        <x:v>99</x:v>
      </x:c>
      <x:c r="G416" s="6" t="n">
        <x:f>IF('Debt strategy'!$C$16&gt;0,0,MIN(C416+D416-E416,MAX(0,'Debt strategy'!$C$5-SUM(E416,K416,Q416,W416,AC416)-SUM(IF(L416&lt;F416,I416+J416-K416,0),IF(R416&lt;F416,O416+P416-Q416,0),IF(X416&lt;F416,U416+V416-W416,0),IF(AD416&lt;F416,AA416+AB416-AC416,0)))))</x:f>
        <x:v>0</x:v>
      </x:c>
      <x:c r="H416" s="6" t="n">
        <x:f>ROUND(MAX(0,C416+D416-E416-G416),2)</x:f>
        <x:v>0</x:v>
      </x:c>
      <x:c r="I416" s="6" t="n">
        <x:f>N415</x:f>
        <x:v>0</x:v>
      </x:c>
      <x:c r="J416" s="6" t="n">
        <x:f>ROUND(I416*'Debt strategy'!$D$10/12,2)</x:f>
        <x:v>0</x:v>
      </x:c>
      <x:c r="K416" s="6" t="n">
        <x:f>MIN(I416+J416,'Debt strategy'!$E$10)</x:f>
        <x:v>0</x:v>
      </x:c>
      <x:c r="L416" s="27" t="n">
        <x:f>IF(I416+J416-K416&lt;=0,99,1+SUM(IF(AND(C416+D416-E416&gt;0,OR(C416+D416-E416&lt;I416+J416-K416,AND(C416+D416-E416=I416+J416-K416,0&lt;1))),1,0),IF(AND(O416+P416-Q416&gt;0,OR(O416+P416-Q416&lt;I416+J416-K416,AND(O416+P416-Q416=I416+J416-K416,2&lt;1))),1,0),IF(AND(U416+V416-W416&gt;0,OR(U416+V416-W416&lt;I416+J416-K416,AND(U416+V416-W416=I416+J416-K416,3&lt;1))),1,0),IF(AND(AA416+AB416-AC416&gt;0,OR(AA416+AB416-AC416&lt;I416+J416-K416,AND(AA416+AB416-AC416=I416+J416-K416,4&lt;1))),1,0)))</x:f>
        <x:v>99</x:v>
      </x:c>
      <x:c r="M416" s="6" t="n">
        <x:f>IF('Debt strategy'!$C$16&gt;0,0,MIN(I416+J416-K416,MAX(0,'Debt strategy'!$C$5-SUM(E416,K416,Q416,W416,AC416)-SUM(IF(F416&lt;L416,C416+D416-E416,0),IF(R416&lt;L416,O416+P416-Q416,0),IF(X416&lt;L416,U416+V416-W416,0),IF(AD416&lt;L416,AA416+AB416-AC416,0)))))</x:f>
        <x:v>0</x:v>
      </x:c>
      <x:c r="N416" s="6" t="n">
        <x:f>ROUND(MAX(0,I416+J416-K416-M416),2)</x:f>
        <x:v>0</x:v>
      </x:c>
      <x:c r="O416" s="6" t="n">
        <x:f>T415</x:f>
        <x:v>0</x:v>
      </x:c>
      <x:c r="P416" s="6" t="n">
        <x:f>ROUND(O416*'Debt strategy'!$D$11/12,2)</x:f>
        <x:v>0</x:v>
      </x:c>
      <x:c r="Q416" s="6" t="n">
        <x:f>MIN(O416+P416,'Debt strategy'!$E$11)</x:f>
        <x:v>0</x:v>
      </x:c>
      <x:c r="R416" s="27" t="n">
        <x:f>IF(O416+P416-Q416&lt;=0,99,1+SUM(IF(AND(C416+D416-E416&gt;0,OR(C416+D416-E416&lt;O416+P416-Q416,AND(C416+D416-E416=O416+P416-Q416,0&lt;2))),1,0),IF(AND(I416+J416-K416&gt;0,OR(I416+J416-K416&lt;O416+P416-Q416,AND(I416+J416-K416=O416+P416-Q416,1&lt;2))),1,0),IF(AND(U416+V416-W416&gt;0,OR(U416+V416-W416&lt;O416+P416-Q416,AND(U416+V416-W416=O416+P416-Q416,3&lt;2))),1,0),IF(AND(AA416+AB416-AC416&gt;0,OR(AA416+AB416-AC416&lt;O416+P416-Q416,AND(AA416+AB416-AC416=O416+P416-Q416,4&lt;2))),1,0)))</x:f>
        <x:v>99</x:v>
      </x:c>
      <x:c r="S416" s="6" t="n">
        <x:f>IF('Debt strategy'!$C$16&gt;0,0,MIN(O416+P416-Q416,MAX(0,'Debt strategy'!$C$5-SUM(E416,K416,Q416,W416,AC416)-SUM(IF(F416&lt;R416,C416+D416-E416,0),IF(L416&lt;R416,I416+J416-K416,0),IF(X416&lt;R416,U416+V416-W416,0),IF(AD416&lt;R416,AA416+AB416-AC416,0)))))</x:f>
        <x:v>0</x:v>
      </x:c>
      <x:c r="T416" s="6" t="n">
        <x:f>ROUND(MAX(0,O416+P416-Q416-S416),2)</x:f>
        <x:v>0</x:v>
      </x:c>
      <x:c r="U416" s="6" t="n">
        <x:f>Z415</x:f>
        <x:v>0</x:v>
      </x:c>
      <x:c r="V416" s="6" t="n">
        <x:f>ROUND(U416*'Debt strategy'!$D$12/12,2)</x:f>
        <x:v>0</x:v>
      </x:c>
      <x:c r="W416" s="6" t="n">
        <x:f>MIN(U416+V416,'Debt strategy'!$E$12)</x:f>
        <x:v>0</x:v>
      </x:c>
      <x:c r="X416" s="27" t="n">
        <x:f>IF(U416+V416-W416&lt;=0,99,1+SUM(IF(AND(C416+D416-E416&gt;0,OR(C416+D416-E416&lt;U416+V416-W416,AND(C416+D416-E416=U416+V416-W416,0&lt;3))),1,0),IF(AND(I416+J416-K416&gt;0,OR(I416+J416-K416&lt;U416+V416-W416,AND(I416+J416-K416=U416+V416-W416,1&lt;3))),1,0),IF(AND(O416+P416-Q416&gt;0,OR(O416+P416-Q416&lt;U416+V416-W416,AND(O416+P416-Q416=U416+V416-W416,2&lt;3))),1,0),IF(AND(AA416+AB416-AC416&gt;0,OR(AA416+AB416-AC416&lt;U416+V416-W416,AND(AA416+AB416-AC416=U416+V416-W416,4&lt;3))),1,0)))</x:f>
        <x:v>99</x:v>
      </x:c>
      <x:c r="Y416" s="6" t="n">
        <x:f>IF('Debt strategy'!$C$16&gt;0,0,MIN(U416+V416-W416,MAX(0,'Debt strategy'!$C$5-SUM(E416,K416,Q416,W416,AC416)-SUM(IF(F416&lt;X416,C416+D416-E416,0),IF(L416&lt;X416,I416+J416-K416,0),IF(R416&lt;X416,O416+P416-Q416,0),IF(AD416&lt;X416,AA416+AB416-AC416,0)))))</x:f>
        <x:v>0</x:v>
      </x:c>
      <x:c r="Z416" s="6" t="n">
        <x:f>ROUND(MAX(0,U416+V416-W416-Y416),2)</x:f>
        <x:v>0</x:v>
      </x:c>
      <x:c r="AA416" s="6" t="n">
        <x:f>AF415</x:f>
        <x:v>0</x:v>
      </x:c>
      <x:c r="AB416" s="6" t="n">
        <x:f>ROUND(AA416*'Debt strategy'!$D$13/12,2)</x:f>
        <x:v>0</x:v>
      </x:c>
      <x:c r="AC416" s="6" t="n">
        <x:f>MIN(AA416+AB416,'Debt strategy'!$E$13)</x:f>
        <x:v>0</x:v>
      </x:c>
      <x:c r="AD416" s="27" t="n">
        <x:f>IF(AA416+AB416-AC416&lt;=0,99,1+SUM(IF(AND(C416+D416-E416&gt;0,OR(C416+D416-E416&lt;AA416+AB416-AC416,AND(C416+D416-E416=AA416+AB416-AC416,0&lt;4))),1,0),IF(AND(I416+J416-K416&gt;0,OR(I416+J416-K416&lt;AA416+AB416-AC416,AND(I416+J416-K416=AA416+AB416-AC416,1&lt;4))),1,0),IF(AND(O416+P416-Q416&gt;0,OR(O416+P416-Q416&lt;AA416+AB416-AC416,AND(O416+P416-Q416=AA416+AB416-AC416,2&lt;4))),1,0),IF(AND(U416+V416-W416&gt;0,OR(U416+V416-W416&lt;AA416+AB416-AC416,AND(U416+V416-W416=AA416+AB416-AC416,3&lt;4))),1,0)))</x:f>
        <x:v>99</x:v>
      </x:c>
      <x:c r="AE416" s="6" t="n">
        <x:f>IF('Debt strategy'!$C$16&gt;0,0,MIN(AA416+AB416-AC416,MAX(0,'Debt strategy'!$C$5-SUM(E416,K416,Q416,W416,AC416)-SUM(IF(F416&lt;AD416,C416+D416-E416,0),IF(L416&lt;AD416,I416+J416-K416,0),IF(R416&lt;AD416,O416+P416-Q416,0),IF(X416&lt;AD416,U416+V416-W416,0)))))</x:f>
        <x:v>0</x:v>
      </x:c>
      <x:c r="AF416" s="6" t="n">
        <x:f>ROUND(MAX(0,AA416+AB416-AC416-AE416),2)</x:f>
        <x:v>0</x:v>
      </x:c>
      <x:c r="AG416" s="6" t="n">
        <x:f>SUM(H416,N416,T416,Z416,AF416)</x:f>
        <x:v>0</x:v>
      </x:c>
      <x:c r="AH416" s="6" t="n">
        <x:f>SUM(D416,J416,P416,V416,AB416)+AH415</x:f>
        <x:v>1353.9499999999996</x:v>
      </x:c>
      <x:c r="AI416" s="2"/>
    </x:row>
    <x:row r="417" ht="23" customHeight="1">
      <x:c r="B417" s="2" t="n">
        <x:f>409</x:f>
        <x:v>409</x:v>
      </x:c>
      <x:c r="C417" s="6" t="n">
        <x:f>H416</x:f>
        <x:v>0</x:v>
      </x:c>
      <x:c r="D417" s="6" t="n">
        <x:f>ROUND(C417*'Debt strategy'!$D$9/12,2)</x:f>
        <x:v>0</x:v>
      </x:c>
      <x:c r="E417" s="6" t="n">
        <x:f>MIN(C417+D417,'Debt strategy'!$E$9)</x:f>
        <x:v>0</x:v>
      </x:c>
      <x:c r="F417" s="27" t="n">
        <x:f>IF(C417+D417-E417&lt;=0,99,1+SUM(IF(AND(I417+J417-K417&gt;0,OR(I417+J417-K417&lt;C417+D417-E417,AND(I417+J417-K417=C417+D417-E417,1&lt;0))),1,0),IF(AND(O417+P417-Q417&gt;0,OR(O417+P417-Q417&lt;C417+D417-E417,AND(O417+P417-Q417=C417+D417-E417,2&lt;0))),1,0),IF(AND(U417+V417-W417&gt;0,OR(U417+V417-W417&lt;C417+D417-E417,AND(U417+V417-W417=C417+D417-E417,3&lt;0))),1,0),IF(AND(AA417+AB417-AC417&gt;0,OR(AA417+AB417-AC417&lt;C417+D417-E417,AND(AA417+AB417-AC417=C417+D417-E417,4&lt;0))),1,0)))</x:f>
        <x:v>99</x:v>
      </x:c>
      <x:c r="G417" s="6" t="n">
        <x:f>IF('Debt strategy'!$C$16&gt;0,0,MIN(C417+D417-E417,MAX(0,'Debt strategy'!$C$5-SUM(E417,K417,Q417,W417,AC417)-SUM(IF(L417&lt;F417,I417+J417-K417,0),IF(R417&lt;F417,O417+P417-Q417,0),IF(X417&lt;F417,U417+V417-W417,0),IF(AD417&lt;F417,AA417+AB417-AC417,0)))))</x:f>
        <x:v>0</x:v>
      </x:c>
      <x:c r="H417" s="6" t="n">
        <x:f>ROUND(MAX(0,C417+D417-E417-G417),2)</x:f>
        <x:v>0</x:v>
      </x:c>
      <x:c r="I417" s="6" t="n">
        <x:f>N416</x:f>
        <x:v>0</x:v>
      </x:c>
      <x:c r="J417" s="6" t="n">
        <x:f>ROUND(I417*'Debt strategy'!$D$10/12,2)</x:f>
        <x:v>0</x:v>
      </x:c>
      <x:c r="K417" s="6" t="n">
        <x:f>MIN(I417+J417,'Debt strategy'!$E$10)</x:f>
        <x:v>0</x:v>
      </x:c>
      <x:c r="L417" s="27" t="n">
        <x:f>IF(I417+J417-K417&lt;=0,99,1+SUM(IF(AND(C417+D417-E417&gt;0,OR(C417+D417-E417&lt;I417+J417-K417,AND(C417+D417-E417=I417+J417-K417,0&lt;1))),1,0),IF(AND(O417+P417-Q417&gt;0,OR(O417+P417-Q417&lt;I417+J417-K417,AND(O417+P417-Q417=I417+J417-K417,2&lt;1))),1,0),IF(AND(U417+V417-W417&gt;0,OR(U417+V417-W417&lt;I417+J417-K417,AND(U417+V417-W417=I417+J417-K417,3&lt;1))),1,0),IF(AND(AA417+AB417-AC417&gt;0,OR(AA417+AB417-AC417&lt;I417+J417-K417,AND(AA417+AB417-AC417=I417+J417-K417,4&lt;1))),1,0)))</x:f>
        <x:v>99</x:v>
      </x:c>
      <x:c r="M417" s="6" t="n">
        <x:f>IF('Debt strategy'!$C$16&gt;0,0,MIN(I417+J417-K417,MAX(0,'Debt strategy'!$C$5-SUM(E417,K417,Q417,W417,AC417)-SUM(IF(F417&lt;L417,C417+D417-E417,0),IF(R417&lt;L417,O417+P417-Q417,0),IF(X417&lt;L417,U417+V417-W417,0),IF(AD417&lt;L417,AA417+AB417-AC417,0)))))</x:f>
        <x:v>0</x:v>
      </x:c>
      <x:c r="N417" s="6" t="n">
        <x:f>ROUND(MAX(0,I417+J417-K417-M417),2)</x:f>
        <x:v>0</x:v>
      </x:c>
      <x:c r="O417" s="6" t="n">
        <x:f>T416</x:f>
        <x:v>0</x:v>
      </x:c>
      <x:c r="P417" s="6" t="n">
        <x:f>ROUND(O417*'Debt strategy'!$D$11/12,2)</x:f>
        <x:v>0</x:v>
      </x:c>
      <x:c r="Q417" s="6" t="n">
        <x:f>MIN(O417+P417,'Debt strategy'!$E$11)</x:f>
        <x:v>0</x:v>
      </x:c>
      <x:c r="R417" s="27" t="n">
        <x:f>IF(O417+P417-Q417&lt;=0,99,1+SUM(IF(AND(C417+D417-E417&gt;0,OR(C417+D417-E417&lt;O417+P417-Q417,AND(C417+D417-E417=O417+P417-Q417,0&lt;2))),1,0),IF(AND(I417+J417-K417&gt;0,OR(I417+J417-K417&lt;O417+P417-Q417,AND(I417+J417-K417=O417+P417-Q417,1&lt;2))),1,0),IF(AND(U417+V417-W417&gt;0,OR(U417+V417-W417&lt;O417+P417-Q417,AND(U417+V417-W417=O417+P417-Q417,3&lt;2))),1,0),IF(AND(AA417+AB417-AC417&gt;0,OR(AA417+AB417-AC417&lt;O417+P417-Q417,AND(AA417+AB417-AC417=O417+P417-Q417,4&lt;2))),1,0)))</x:f>
        <x:v>99</x:v>
      </x:c>
      <x:c r="S417" s="6" t="n">
        <x:f>IF('Debt strategy'!$C$16&gt;0,0,MIN(O417+P417-Q417,MAX(0,'Debt strategy'!$C$5-SUM(E417,K417,Q417,W417,AC417)-SUM(IF(F417&lt;R417,C417+D417-E417,0),IF(L417&lt;R417,I417+J417-K417,0),IF(X417&lt;R417,U417+V417-W417,0),IF(AD417&lt;R417,AA417+AB417-AC417,0)))))</x:f>
        <x:v>0</x:v>
      </x:c>
      <x:c r="T417" s="6" t="n">
        <x:f>ROUND(MAX(0,O417+P417-Q417-S417),2)</x:f>
        <x:v>0</x:v>
      </x:c>
      <x:c r="U417" s="6" t="n">
        <x:f>Z416</x:f>
        <x:v>0</x:v>
      </x:c>
      <x:c r="V417" s="6" t="n">
        <x:f>ROUND(U417*'Debt strategy'!$D$12/12,2)</x:f>
        <x:v>0</x:v>
      </x:c>
      <x:c r="W417" s="6" t="n">
        <x:f>MIN(U417+V417,'Debt strategy'!$E$12)</x:f>
        <x:v>0</x:v>
      </x:c>
      <x:c r="X417" s="27" t="n">
        <x:f>IF(U417+V417-W417&lt;=0,99,1+SUM(IF(AND(C417+D417-E417&gt;0,OR(C417+D417-E417&lt;U417+V417-W417,AND(C417+D417-E417=U417+V417-W417,0&lt;3))),1,0),IF(AND(I417+J417-K417&gt;0,OR(I417+J417-K417&lt;U417+V417-W417,AND(I417+J417-K417=U417+V417-W417,1&lt;3))),1,0),IF(AND(O417+P417-Q417&gt;0,OR(O417+P417-Q417&lt;U417+V417-W417,AND(O417+P417-Q417=U417+V417-W417,2&lt;3))),1,0),IF(AND(AA417+AB417-AC417&gt;0,OR(AA417+AB417-AC417&lt;U417+V417-W417,AND(AA417+AB417-AC417=U417+V417-W417,4&lt;3))),1,0)))</x:f>
        <x:v>99</x:v>
      </x:c>
      <x:c r="Y417" s="6" t="n">
        <x:f>IF('Debt strategy'!$C$16&gt;0,0,MIN(U417+V417-W417,MAX(0,'Debt strategy'!$C$5-SUM(E417,K417,Q417,W417,AC417)-SUM(IF(F417&lt;X417,C417+D417-E417,0),IF(L417&lt;X417,I417+J417-K417,0),IF(R417&lt;X417,O417+P417-Q417,0),IF(AD417&lt;X417,AA417+AB417-AC417,0)))))</x:f>
        <x:v>0</x:v>
      </x:c>
      <x:c r="Z417" s="6" t="n">
        <x:f>ROUND(MAX(0,U417+V417-W417-Y417),2)</x:f>
        <x:v>0</x:v>
      </x:c>
      <x:c r="AA417" s="6" t="n">
        <x:f>AF416</x:f>
        <x:v>0</x:v>
      </x:c>
      <x:c r="AB417" s="6" t="n">
        <x:f>ROUND(AA417*'Debt strategy'!$D$13/12,2)</x:f>
        <x:v>0</x:v>
      </x:c>
      <x:c r="AC417" s="6" t="n">
        <x:f>MIN(AA417+AB417,'Debt strategy'!$E$13)</x:f>
        <x:v>0</x:v>
      </x:c>
      <x:c r="AD417" s="27" t="n">
        <x:f>IF(AA417+AB417-AC417&lt;=0,99,1+SUM(IF(AND(C417+D417-E417&gt;0,OR(C417+D417-E417&lt;AA417+AB417-AC417,AND(C417+D417-E417=AA417+AB417-AC417,0&lt;4))),1,0),IF(AND(I417+J417-K417&gt;0,OR(I417+J417-K417&lt;AA417+AB417-AC417,AND(I417+J417-K417=AA417+AB417-AC417,1&lt;4))),1,0),IF(AND(O417+P417-Q417&gt;0,OR(O417+P417-Q417&lt;AA417+AB417-AC417,AND(O417+P417-Q417=AA417+AB417-AC417,2&lt;4))),1,0),IF(AND(U417+V417-W417&gt;0,OR(U417+V417-W417&lt;AA417+AB417-AC417,AND(U417+V417-W417=AA417+AB417-AC417,3&lt;4))),1,0)))</x:f>
        <x:v>99</x:v>
      </x:c>
      <x:c r="AE417" s="6" t="n">
        <x:f>IF('Debt strategy'!$C$16&gt;0,0,MIN(AA417+AB417-AC417,MAX(0,'Debt strategy'!$C$5-SUM(E417,K417,Q417,W417,AC417)-SUM(IF(F417&lt;AD417,C417+D417-E417,0),IF(L417&lt;AD417,I417+J417-K417,0),IF(R417&lt;AD417,O417+P417-Q417,0),IF(X417&lt;AD417,U417+V417-W417,0)))))</x:f>
        <x:v>0</x:v>
      </x:c>
      <x:c r="AF417" s="6" t="n">
        <x:f>ROUND(MAX(0,AA417+AB417-AC417-AE417),2)</x:f>
        <x:v>0</x:v>
      </x:c>
      <x:c r="AG417" s="6" t="n">
        <x:f>SUM(H417,N417,T417,Z417,AF417)</x:f>
        <x:v>0</x:v>
      </x:c>
      <x:c r="AH417" s="6" t="n">
        <x:f>SUM(D417,J417,P417,V417,AB417)+AH416</x:f>
        <x:v>1353.9499999999996</x:v>
      </x:c>
      <x:c r="AI417" s="2"/>
    </x:row>
    <x:row r="418" ht="23" customHeight="1">
      <x:c r="B418" s="2" t="n">
        <x:f>410</x:f>
        <x:v>410</x:v>
      </x:c>
      <x:c r="C418" s="6" t="n">
        <x:f>H417</x:f>
        <x:v>0</x:v>
      </x:c>
      <x:c r="D418" s="6" t="n">
        <x:f>ROUND(C418*'Debt strategy'!$D$9/12,2)</x:f>
        <x:v>0</x:v>
      </x:c>
      <x:c r="E418" s="6" t="n">
        <x:f>MIN(C418+D418,'Debt strategy'!$E$9)</x:f>
        <x:v>0</x:v>
      </x:c>
      <x:c r="F418" s="27" t="n">
        <x:f>IF(C418+D418-E418&lt;=0,99,1+SUM(IF(AND(I418+J418-K418&gt;0,OR(I418+J418-K418&lt;C418+D418-E418,AND(I418+J418-K418=C418+D418-E418,1&lt;0))),1,0),IF(AND(O418+P418-Q418&gt;0,OR(O418+P418-Q418&lt;C418+D418-E418,AND(O418+P418-Q418=C418+D418-E418,2&lt;0))),1,0),IF(AND(U418+V418-W418&gt;0,OR(U418+V418-W418&lt;C418+D418-E418,AND(U418+V418-W418=C418+D418-E418,3&lt;0))),1,0),IF(AND(AA418+AB418-AC418&gt;0,OR(AA418+AB418-AC418&lt;C418+D418-E418,AND(AA418+AB418-AC418=C418+D418-E418,4&lt;0))),1,0)))</x:f>
        <x:v>99</x:v>
      </x:c>
      <x:c r="G418" s="6" t="n">
        <x:f>IF('Debt strategy'!$C$16&gt;0,0,MIN(C418+D418-E418,MAX(0,'Debt strategy'!$C$5-SUM(E418,K418,Q418,W418,AC418)-SUM(IF(L418&lt;F418,I418+J418-K418,0),IF(R418&lt;F418,O418+P418-Q418,0),IF(X418&lt;F418,U418+V418-W418,0),IF(AD418&lt;F418,AA418+AB418-AC418,0)))))</x:f>
        <x:v>0</x:v>
      </x:c>
      <x:c r="H418" s="6" t="n">
        <x:f>ROUND(MAX(0,C418+D418-E418-G418),2)</x:f>
        <x:v>0</x:v>
      </x:c>
      <x:c r="I418" s="6" t="n">
        <x:f>N417</x:f>
        <x:v>0</x:v>
      </x:c>
      <x:c r="J418" s="6" t="n">
        <x:f>ROUND(I418*'Debt strategy'!$D$10/12,2)</x:f>
        <x:v>0</x:v>
      </x:c>
      <x:c r="K418" s="6" t="n">
        <x:f>MIN(I418+J418,'Debt strategy'!$E$10)</x:f>
        <x:v>0</x:v>
      </x:c>
      <x:c r="L418" s="27" t="n">
        <x:f>IF(I418+J418-K418&lt;=0,99,1+SUM(IF(AND(C418+D418-E418&gt;0,OR(C418+D418-E418&lt;I418+J418-K418,AND(C418+D418-E418=I418+J418-K418,0&lt;1))),1,0),IF(AND(O418+P418-Q418&gt;0,OR(O418+P418-Q418&lt;I418+J418-K418,AND(O418+P418-Q418=I418+J418-K418,2&lt;1))),1,0),IF(AND(U418+V418-W418&gt;0,OR(U418+V418-W418&lt;I418+J418-K418,AND(U418+V418-W418=I418+J418-K418,3&lt;1))),1,0),IF(AND(AA418+AB418-AC418&gt;0,OR(AA418+AB418-AC418&lt;I418+J418-K418,AND(AA418+AB418-AC418=I418+J418-K418,4&lt;1))),1,0)))</x:f>
        <x:v>99</x:v>
      </x:c>
      <x:c r="M418" s="6" t="n">
        <x:f>IF('Debt strategy'!$C$16&gt;0,0,MIN(I418+J418-K418,MAX(0,'Debt strategy'!$C$5-SUM(E418,K418,Q418,W418,AC418)-SUM(IF(F418&lt;L418,C418+D418-E418,0),IF(R418&lt;L418,O418+P418-Q418,0),IF(X418&lt;L418,U418+V418-W418,0),IF(AD418&lt;L418,AA418+AB418-AC418,0)))))</x:f>
        <x:v>0</x:v>
      </x:c>
      <x:c r="N418" s="6" t="n">
        <x:f>ROUND(MAX(0,I418+J418-K418-M418),2)</x:f>
        <x:v>0</x:v>
      </x:c>
      <x:c r="O418" s="6" t="n">
        <x:f>T417</x:f>
        <x:v>0</x:v>
      </x:c>
      <x:c r="P418" s="6" t="n">
        <x:f>ROUND(O418*'Debt strategy'!$D$11/12,2)</x:f>
        <x:v>0</x:v>
      </x:c>
      <x:c r="Q418" s="6" t="n">
        <x:f>MIN(O418+P418,'Debt strategy'!$E$11)</x:f>
        <x:v>0</x:v>
      </x:c>
      <x:c r="R418" s="27" t="n">
        <x:f>IF(O418+P418-Q418&lt;=0,99,1+SUM(IF(AND(C418+D418-E418&gt;0,OR(C418+D418-E418&lt;O418+P418-Q418,AND(C418+D418-E418=O418+P418-Q418,0&lt;2))),1,0),IF(AND(I418+J418-K418&gt;0,OR(I418+J418-K418&lt;O418+P418-Q418,AND(I418+J418-K418=O418+P418-Q418,1&lt;2))),1,0),IF(AND(U418+V418-W418&gt;0,OR(U418+V418-W418&lt;O418+P418-Q418,AND(U418+V418-W418=O418+P418-Q418,3&lt;2))),1,0),IF(AND(AA418+AB418-AC418&gt;0,OR(AA418+AB418-AC418&lt;O418+P418-Q418,AND(AA418+AB418-AC418=O418+P418-Q418,4&lt;2))),1,0)))</x:f>
        <x:v>99</x:v>
      </x:c>
      <x:c r="S418" s="6" t="n">
        <x:f>IF('Debt strategy'!$C$16&gt;0,0,MIN(O418+P418-Q418,MAX(0,'Debt strategy'!$C$5-SUM(E418,K418,Q418,W418,AC418)-SUM(IF(F418&lt;R418,C418+D418-E418,0),IF(L418&lt;R418,I418+J418-K418,0),IF(X418&lt;R418,U418+V418-W418,0),IF(AD418&lt;R418,AA418+AB418-AC418,0)))))</x:f>
        <x:v>0</x:v>
      </x:c>
      <x:c r="T418" s="6" t="n">
        <x:f>ROUND(MAX(0,O418+P418-Q418-S418),2)</x:f>
        <x:v>0</x:v>
      </x:c>
      <x:c r="U418" s="6" t="n">
        <x:f>Z417</x:f>
        <x:v>0</x:v>
      </x:c>
      <x:c r="V418" s="6" t="n">
        <x:f>ROUND(U418*'Debt strategy'!$D$12/12,2)</x:f>
        <x:v>0</x:v>
      </x:c>
      <x:c r="W418" s="6" t="n">
        <x:f>MIN(U418+V418,'Debt strategy'!$E$12)</x:f>
        <x:v>0</x:v>
      </x:c>
      <x:c r="X418" s="27" t="n">
        <x:f>IF(U418+V418-W418&lt;=0,99,1+SUM(IF(AND(C418+D418-E418&gt;0,OR(C418+D418-E418&lt;U418+V418-W418,AND(C418+D418-E418=U418+V418-W418,0&lt;3))),1,0),IF(AND(I418+J418-K418&gt;0,OR(I418+J418-K418&lt;U418+V418-W418,AND(I418+J418-K418=U418+V418-W418,1&lt;3))),1,0),IF(AND(O418+P418-Q418&gt;0,OR(O418+P418-Q418&lt;U418+V418-W418,AND(O418+P418-Q418=U418+V418-W418,2&lt;3))),1,0),IF(AND(AA418+AB418-AC418&gt;0,OR(AA418+AB418-AC418&lt;U418+V418-W418,AND(AA418+AB418-AC418=U418+V418-W418,4&lt;3))),1,0)))</x:f>
        <x:v>99</x:v>
      </x:c>
      <x:c r="Y418" s="6" t="n">
        <x:f>IF('Debt strategy'!$C$16&gt;0,0,MIN(U418+V418-W418,MAX(0,'Debt strategy'!$C$5-SUM(E418,K418,Q418,W418,AC418)-SUM(IF(F418&lt;X418,C418+D418-E418,0),IF(L418&lt;X418,I418+J418-K418,0),IF(R418&lt;X418,O418+P418-Q418,0),IF(AD418&lt;X418,AA418+AB418-AC418,0)))))</x:f>
        <x:v>0</x:v>
      </x:c>
      <x:c r="Z418" s="6" t="n">
        <x:f>ROUND(MAX(0,U418+V418-W418-Y418),2)</x:f>
        <x:v>0</x:v>
      </x:c>
      <x:c r="AA418" s="6" t="n">
        <x:f>AF417</x:f>
        <x:v>0</x:v>
      </x:c>
      <x:c r="AB418" s="6" t="n">
        <x:f>ROUND(AA418*'Debt strategy'!$D$13/12,2)</x:f>
        <x:v>0</x:v>
      </x:c>
      <x:c r="AC418" s="6" t="n">
        <x:f>MIN(AA418+AB418,'Debt strategy'!$E$13)</x:f>
        <x:v>0</x:v>
      </x:c>
      <x:c r="AD418" s="27" t="n">
        <x:f>IF(AA418+AB418-AC418&lt;=0,99,1+SUM(IF(AND(C418+D418-E418&gt;0,OR(C418+D418-E418&lt;AA418+AB418-AC418,AND(C418+D418-E418=AA418+AB418-AC418,0&lt;4))),1,0),IF(AND(I418+J418-K418&gt;0,OR(I418+J418-K418&lt;AA418+AB418-AC418,AND(I418+J418-K418=AA418+AB418-AC418,1&lt;4))),1,0),IF(AND(O418+P418-Q418&gt;0,OR(O418+P418-Q418&lt;AA418+AB418-AC418,AND(O418+P418-Q418=AA418+AB418-AC418,2&lt;4))),1,0),IF(AND(U418+V418-W418&gt;0,OR(U418+V418-W418&lt;AA418+AB418-AC418,AND(U418+V418-W418=AA418+AB418-AC418,3&lt;4))),1,0)))</x:f>
        <x:v>99</x:v>
      </x:c>
      <x:c r="AE418" s="6" t="n">
        <x:f>IF('Debt strategy'!$C$16&gt;0,0,MIN(AA418+AB418-AC418,MAX(0,'Debt strategy'!$C$5-SUM(E418,K418,Q418,W418,AC418)-SUM(IF(F418&lt;AD418,C418+D418-E418,0),IF(L418&lt;AD418,I418+J418-K418,0),IF(R418&lt;AD418,O418+P418-Q418,0),IF(X418&lt;AD418,U418+V418-W418,0)))))</x:f>
        <x:v>0</x:v>
      </x:c>
      <x:c r="AF418" s="6" t="n">
        <x:f>ROUND(MAX(0,AA418+AB418-AC418-AE418),2)</x:f>
        <x:v>0</x:v>
      </x:c>
      <x:c r="AG418" s="6" t="n">
        <x:f>SUM(H418,N418,T418,Z418,AF418)</x:f>
        <x:v>0</x:v>
      </x:c>
      <x:c r="AH418" s="6" t="n">
        <x:f>SUM(D418,J418,P418,V418,AB418)+AH417</x:f>
        <x:v>1353.9499999999996</x:v>
      </x:c>
      <x:c r="AI418" s="2"/>
    </x:row>
    <x:row r="419" ht="23" customHeight="1">
      <x:c r="B419" s="2" t="n">
        <x:f>411</x:f>
        <x:v>411</x:v>
      </x:c>
      <x:c r="C419" s="6" t="n">
        <x:f>H418</x:f>
        <x:v>0</x:v>
      </x:c>
      <x:c r="D419" s="6" t="n">
        <x:f>ROUND(C419*'Debt strategy'!$D$9/12,2)</x:f>
        <x:v>0</x:v>
      </x:c>
      <x:c r="E419" s="6" t="n">
        <x:f>MIN(C419+D419,'Debt strategy'!$E$9)</x:f>
        <x:v>0</x:v>
      </x:c>
      <x:c r="F419" s="27" t="n">
        <x:f>IF(C419+D419-E419&lt;=0,99,1+SUM(IF(AND(I419+J419-K419&gt;0,OR(I419+J419-K419&lt;C419+D419-E419,AND(I419+J419-K419=C419+D419-E419,1&lt;0))),1,0),IF(AND(O419+P419-Q419&gt;0,OR(O419+P419-Q419&lt;C419+D419-E419,AND(O419+P419-Q419=C419+D419-E419,2&lt;0))),1,0),IF(AND(U419+V419-W419&gt;0,OR(U419+V419-W419&lt;C419+D419-E419,AND(U419+V419-W419=C419+D419-E419,3&lt;0))),1,0),IF(AND(AA419+AB419-AC419&gt;0,OR(AA419+AB419-AC419&lt;C419+D419-E419,AND(AA419+AB419-AC419=C419+D419-E419,4&lt;0))),1,0)))</x:f>
        <x:v>99</x:v>
      </x:c>
      <x:c r="G419" s="6" t="n">
        <x:f>IF('Debt strategy'!$C$16&gt;0,0,MIN(C419+D419-E419,MAX(0,'Debt strategy'!$C$5-SUM(E419,K419,Q419,W419,AC419)-SUM(IF(L419&lt;F419,I419+J419-K419,0),IF(R419&lt;F419,O419+P419-Q419,0),IF(X419&lt;F419,U419+V419-W419,0),IF(AD419&lt;F419,AA419+AB419-AC419,0)))))</x:f>
        <x:v>0</x:v>
      </x:c>
      <x:c r="H419" s="6" t="n">
        <x:f>ROUND(MAX(0,C419+D419-E419-G419),2)</x:f>
        <x:v>0</x:v>
      </x:c>
      <x:c r="I419" s="6" t="n">
        <x:f>N418</x:f>
        <x:v>0</x:v>
      </x:c>
      <x:c r="J419" s="6" t="n">
        <x:f>ROUND(I419*'Debt strategy'!$D$10/12,2)</x:f>
        <x:v>0</x:v>
      </x:c>
      <x:c r="K419" s="6" t="n">
        <x:f>MIN(I419+J419,'Debt strategy'!$E$10)</x:f>
        <x:v>0</x:v>
      </x:c>
      <x:c r="L419" s="27" t="n">
        <x:f>IF(I419+J419-K419&lt;=0,99,1+SUM(IF(AND(C419+D419-E419&gt;0,OR(C419+D419-E419&lt;I419+J419-K419,AND(C419+D419-E419=I419+J419-K419,0&lt;1))),1,0),IF(AND(O419+P419-Q419&gt;0,OR(O419+P419-Q419&lt;I419+J419-K419,AND(O419+P419-Q419=I419+J419-K419,2&lt;1))),1,0),IF(AND(U419+V419-W419&gt;0,OR(U419+V419-W419&lt;I419+J419-K419,AND(U419+V419-W419=I419+J419-K419,3&lt;1))),1,0),IF(AND(AA419+AB419-AC419&gt;0,OR(AA419+AB419-AC419&lt;I419+J419-K419,AND(AA419+AB419-AC419=I419+J419-K419,4&lt;1))),1,0)))</x:f>
        <x:v>99</x:v>
      </x:c>
      <x:c r="M419" s="6" t="n">
        <x:f>IF('Debt strategy'!$C$16&gt;0,0,MIN(I419+J419-K419,MAX(0,'Debt strategy'!$C$5-SUM(E419,K419,Q419,W419,AC419)-SUM(IF(F419&lt;L419,C419+D419-E419,0),IF(R419&lt;L419,O419+P419-Q419,0),IF(X419&lt;L419,U419+V419-W419,0),IF(AD419&lt;L419,AA419+AB419-AC419,0)))))</x:f>
        <x:v>0</x:v>
      </x:c>
      <x:c r="N419" s="6" t="n">
        <x:f>ROUND(MAX(0,I419+J419-K419-M419),2)</x:f>
        <x:v>0</x:v>
      </x:c>
      <x:c r="O419" s="6" t="n">
        <x:f>T418</x:f>
        <x:v>0</x:v>
      </x:c>
      <x:c r="P419" s="6" t="n">
        <x:f>ROUND(O419*'Debt strategy'!$D$11/12,2)</x:f>
        <x:v>0</x:v>
      </x:c>
      <x:c r="Q419" s="6" t="n">
        <x:f>MIN(O419+P419,'Debt strategy'!$E$11)</x:f>
        <x:v>0</x:v>
      </x:c>
      <x:c r="R419" s="27" t="n">
        <x:f>IF(O419+P419-Q419&lt;=0,99,1+SUM(IF(AND(C419+D419-E419&gt;0,OR(C419+D419-E419&lt;O419+P419-Q419,AND(C419+D419-E419=O419+P419-Q419,0&lt;2))),1,0),IF(AND(I419+J419-K419&gt;0,OR(I419+J419-K419&lt;O419+P419-Q419,AND(I419+J419-K419=O419+P419-Q419,1&lt;2))),1,0),IF(AND(U419+V419-W419&gt;0,OR(U419+V419-W419&lt;O419+P419-Q419,AND(U419+V419-W419=O419+P419-Q419,3&lt;2))),1,0),IF(AND(AA419+AB419-AC419&gt;0,OR(AA419+AB419-AC419&lt;O419+P419-Q419,AND(AA419+AB419-AC419=O419+P419-Q419,4&lt;2))),1,0)))</x:f>
        <x:v>99</x:v>
      </x:c>
      <x:c r="S419" s="6" t="n">
        <x:f>IF('Debt strategy'!$C$16&gt;0,0,MIN(O419+P419-Q419,MAX(0,'Debt strategy'!$C$5-SUM(E419,K419,Q419,W419,AC419)-SUM(IF(F419&lt;R419,C419+D419-E419,0),IF(L419&lt;R419,I419+J419-K419,0),IF(X419&lt;R419,U419+V419-W419,0),IF(AD419&lt;R419,AA419+AB419-AC419,0)))))</x:f>
        <x:v>0</x:v>
      </x:c>
      <x:c r="T419" s="6" t="n">
        <x:f>ROUND(MAX(0,O419+P419-Q419-S419),2)</x:f>
        <x:v>0</x:v>
      </x:c>
      <x:c r="U419" s="6" t="n">
        <x:f>Z418</x:f>
        <x:v>0</x:v>
      </x:c>
      <x:c r="V419" s="6" t="n">
        <x:f>ROUND(U419*'Debt strategy'!$D$12/12,2)</x:f>
        <x:v>0</x:v>
      </x:c>
      <x:c r="W419" s="6" t="n">
        <x:f>MIN(U419+V419,'Debt strategy'!$E$12)</x:f>
        <x:v>0</x:v>
      </x:c>
      <x:c r="X419" s="27" t="n">
        <x:f>IF(U419+V419-W419&lt;=0,99,1+SUM(IF(AND(C419+D419-E419&gt;0,OR(C419+D419-E419&lt;U419+V419-W419,AND(C419+D419-E419=U419+V419-W419,0&lt;3))),1,0),IF(AND(I419+J419-K419&gt;0,OR(I419+J419-K419&lt;U419+V419-W419,AND(I419+J419-K419=U419+V419-W419,1&lt;3))),1,0),IF(AND(O419+P419-Q419&gt;0,OR(O419+P419-Q419&lt;U419+V419-W419,AND(O419+P419-Q419=U419+V419-W419,2&lt;3))),1,0),IF(AND(AA419+AB419-AC419&gt;0,OR(AA419+AB419-AC419&lt;U419+V419-W419,AND(AA419+AB419-AC419=U419+V419-W419,4&lt;3))),1,0)))</x:f>
        <x:v>99</x:v>
      </x:c>
      <x:c r="Y419" s="6" t="n">
        <x:f>IF('Debt strategy'!$C$16&gt;0,0,MIN(U419+V419-W419,MAX(0,'Debt strategy'!$C$5-SUM(E419,K419,Q419,W419,AC419)-SUM(IF(F419&lt;X419,C419+D419-E419,0),IF(L419&lt;X419,I419+J419-K419,0),IF(R419&lt;X419,O419+P419-Q419,0),IF(AD419&lt;X419,AA419+AB419-AC419,0)))))</x:f>
        <x:v>0</x:v>
      </x:c>
      <x:c r="Z419" s="6" t="n">
        <x:f>ROUND(MAX(0,U419+V419-W419-Y419),2)</x:f>
        <x:v>0</x:v>
      </x:c>
      <x:c r="AA419" s="6" t="n">
        <x:f>AF418</x:f>
        <x:v>0</x:v>
      </x:c>
      <x:c r="AB419" s="6" t="n">
        <x:f>ROUND(AA419*'Debt strategy'!$D$13/12,2)</x:f>
        <x:v>0</x:v>
      </x:c>
      <x:c r="AC419" s="6" t="n">
        <x:f>MIN(AA419+AB419,'Debt strategy'!$E$13)</x:f>
        <x:v>0</x:v>
      </x:c>
      <x:c r="AD419" s="27" t="n">
        <x:f>IF(AA419+AB419-AC419&lt;=0,99,1+SUM(IF(AND(C419+D419-E419&gt;0,OR(C419+D419-E419&lt;AA419+AB419-AC419,AND(C419+D419-E419=AA419+AB419-AC419,0&lt;4))),1,0),IF(AND(I419+J419-K419&gt;0,OR(I419+J419-K419&lt;AA419+AB419-AC419,AND(I419+J419-K419=AA419+AB419-AC419,1&lt;4))),1,0),IF(AND(O419+P419-Q419&gt;0,OR(O419+P419-Q419&lt;AA419+AB419-AC419,AND(O419+P419-Q419=AA419+AB419-AC419,2&lt;4))),1,0),IF(AND(U419+V419-W419&gt;0,OR(U419+V419-W419&lt;AA419+AB419-AC419,AND(U419+V419-W419=AA419+AB419-AC419,3&lt;4))),1,0)))</x:f>
        <x:v>99</x:v>
      </x:c>
      <x:c r="AE419" s="6" t="n">
        <x:f>IF('Debt strategy'!$C$16&gt;0,0,MIN(AA419+AB419-AC419,MAX(0,'Debt strategy'!$C$5-SUM(E419,K419,Q419,W419,AC419)-SUM(IF(F419&lt;AD419,C419+D419-E419,0),IF(L419&lt;AD419,I419+J419-K419,0),IF(R419&lt;AD419,O419+P419-Q419,0),IF(X419&lt;AD419,U419+V419-W419,0)))))</x:f>
        <x:v>0</x:v>
      </x:c>
      <x:c r="AF419" s="6" t="n">
        <x:f>ROUND(MAX(0,AA419+AB419-AC419-AE419),2)</x:f>
        <x:v>0</x:v>
      </x:c>
      <x:c r="AG419" s="6" t="n">
        <x:f>SUM(H419,N419,T419,Z419,AF419)</x:f>
        <x:v>0</x:v>
      </x:c>
      <x:c r="AH419" s="6" t="n">
        <x:f>SUM(D419,J419,P419,V419,AB419)+AH418</x:f>
        <x:v>1353.9499999999996</x:v>
      </x:c>
      <x:c r="AI419" s="2"/>
    </x:row>
    <x:row r="420" ht="23" customHeight="1">
      <x:c r="B420" s="2" t="n">
        <x:f>412</x:f>
        <x:v>412</x:v>
      </x:c>
      <x:c r="C420" s="6" t="n">
        <x:f>H419</x:f>
        <x:v>0</x:v>
      </x:c>
      <x:c r="D420" s="6" t="n">
        <x:f>ROUND(C420*'Debt strategy'!$D$9/12,2)</x:f>
        <x:v>0</x:v>
      </x:c>
      <x:c r="E420" s="6" t="n">
        <x:f>MIN(C420+D420,'Debt strategy'!$E$9)</x:f>
        <x:v>0</x:v>
      </x:c>
      <x:c r="F420" s="27" t="n">
        <x:f>IF(C420+D420-E420&lt;=0,99,1+SUM(IF(AND(I420+J420-K420&gt;0,OR(I420+J420-K420&lt;C420+D420-E420,AND(I420+J420-K420=C420+D420-E420,1&lt;0))),1,0),IF(AND(O420+P420-Q420&gt;0,OR(O420+P420-Q420&lt;C420+D420-E420,AND(O420+P420-Q420=C420+D420-E420,2&lt;0))),1,0),IF(AND(U420+V420-W420&gt;0,OR(U420+V420-W420&lt;C420+D420-E420,AND(U420+V420-W420=C420+D420-E420,3&lt;0))),1,0),IF(AND(AA420+AB420-AC420&gt;0,OR(AA420+AB420-AC420&lt;C420+D420-E420,AND(AA420+AB420-AC420=C420+D420-E420,4&lt;0))),1,0)))</x:f>
        <x:v>99</x:v>
      </x:c>
      <x:c r="G420" s="6" t="n">
        <x:f>IF('Debt strategy'!$C$16&gt;0,0,MIN(C420+D420-E420,MAX(0,'Debt strategy'!$C$5-SUM(E420,K420,Q420,W420,AC420)-SUM(IF(L420&lt;F420,I420+J420-K420,0),IF(R420&lt;F420,O420+P420-Q420,0),IF(X420&lt;F420,U420+V420-W420,0),IF(AD420&lt;F420,AA420+AB420-AC420,0)))))</x:f>
        <x:v>0</x:v>
      </x:c>
      <x:c r="H420" s="6" t="n">
        <x:f>ROUND(MAX(0,C420+D420-E420-G420),2)</x:f>
        <x:v>0</x:v>
      </x:c>
      <x:c r="I420" s="6" t="n">
        <x:f>N419</x:f>
        <x:v>0</x:v>
      </x:c>
      <x:c r="J420" s="6" t="n">
        <x:f>ROUND(I420*'Debt strategy'!$D$10/12,2)</x:f>
        <x:v>0</x:v>
      </x:c>
      <x:c r="K420" s="6" t="n">
        <x:f>MIN(I420+J420,'Debt strategy'!$E$10)</x:f>
        <x:v>0</x:v>
      </x:c>
      <x:c r="L420" s="27" t="n">
        <x:f>IF(I420+J420-K420&lt;=0,99,1+SUM(IF(AND(C420+D420-E420&gt;0,OR(C420+D420-E420&lt;I420+J420-K420,AND(C420+D420-E420=I420+J420-K420,0&lt;1))),1,0),IF(AND(O420+P420-Q420&gt;0,OR(O420+P420-Q420&lt;I420+J420-K420,AND(O420+P420-Q420=I420+J420-K420,2&lt;1))),1,0),IF(AND(U420+V420-W420&gt;0,OR(U420+V420-W420&lt;I420+J420-K420,AND(U420+V420-W420=I420+J420-K420,3&lt;1))),1,0),IF(AND(AA420+AB420-AC420&gt;0,OR(AA420+AB420-AC420&lt;I420+J420-K420,AND(AA420+AB420-AC420=I420+J420-K420,4&lt;1))),1,0)))</x:f>
        <x:v>99</x:v>
      </x:c>
      <x:c r="M420" s="6" t="n">
        <x:f>IF('Debt strategy'!$C$16&gt;0,0,MIN(I420+J420-K420,MAX(0,'Debt strategy'!$C$5-SUM(E420,K420,Q420,W420,AC420)-SUM(IF(F420&lt;L420,C420+D420-E420,0),IF(R420&lt;L420,O420+P420-Q420,0),IF(X420&lt;L420,U420+V420-W420,0),IF(AD420&lt;L420,AA420+AB420-AC420,0)))))</x:f>
        <x:v>0</x:v>
      </x:c>
      <x:c r="N420" s="6" t="n">
        <x:f>ROUND(MAX(0,I420+J420-K420-M420),2)</x:f>
        <x:v>0</x:v>
      </x:c>
      <x:c r="O420" s="6" t="n">
        <x:f>T419</x:f>
        <x:v>0</x:v>
      </x:c>
      <x:c r="P420" s="6" t="n">
        <x:f>ROUND(O420*'Debt strategy'!$D$11/12,2)</x:f>
        <x:v>0</x:v>
      </x:c>
      <x:c r="Q420" s="6" t="n">
        <x:f>MIN(O420+P420,'Debt strategy'!$E$11)</x:f>
        <x:v>0</x:v>
      </x:c>
      <x:c r="R420" s="27" t="n">
        <x:f>IF(O420+P420-Q420&lt;=0,99,1+SUM(IF(AND(C420+D420-E420&gt;0,OR(C420+D420-E420&lt;O420+P420-Q420,AND(C420+D420-E420=O420+P420-Q420,0&lt;2))),1,0),IF(AND(I420+J420-K420&gt;0,OR(I420+J420-K420&lt;O420+P420-Q420,AND(I420+J420-K420=O420+P420-Q420,1&lt;2))),1,0),IF(AND(U420+V420-W420&gt;0,OR(U420+V420-W420&lt;O420+P420-Q420,AND(U420+V420-W420=O420+P420-Q420,3&lt;2))),1,0),IF(AND(AA420+AB420-AC420&gt;0,OR(AA420+AB420-AC420&lt;O420+P420-Q420,AND(AA420+AB420-AC420=O420+P420-Q420,4&lt;2))),1,0)))</x:f>
        <x:v>99</x:v>
      </x:c>
      <x:c r="S420" s="6" t="n">
        <x:f>IF('Debt strategy'!$C$16&gt;0,0,MIN(O420+P420-Q420,MAX(0,'Debt strategy'!$C$5-SUM(E420,K420,Q420,W420,AC420)-SUM(IF(F420&lt;R420,C420+D420-E420,0),IF(L420&lt;R420,I420+J420-K420,0),IF(X420&lt;R420,U420+V420-W420,0),IF(AD420&lt;R420,AA420+AB420-AC420,0)))))</x:f>
        <x:v>0</x:v>
      </x:c>
      <x:c r="T420" s="6" t="n">
        <x:f>ROUND(MAX(0,O420+P420-Q420-S420),2)</x:f>
        <x:v>0</x:v>
      </x:c>
      <x:c r="U420" s="6" t="n">
        <x:f>Z419</x:f>
        <x:v>0</x:v>
      </x:c>
      <x:c r="V420" s="6" t="n">
        <x:f>ROUND(U420*'Debt strategy'!$D$12/12,2)</x:f>
        <x:v>0</x:v>
      </x:c>
      <x:c r="W420" s="6" t="n">
        <x:f>MIN(U420+V420,'Debt strategy'!$E$12)</x:f>
        <x:v>0</x:v>
      </x:c>
      <x:c r="X420" s="27" t="n">
        <x:f>IF(U420+V420-W420&lt;=0,99,1+SUM(IF(AND(C420+D420-E420&gt;0,OR(C420+D420-E420&lt;U420+V420-W420,AND(C420+D420-E420=U420+V420-W420,0&lt;3))),1,0),IF(AND(I420+J420-K420&gt;0,OR(I420+J420-K420&lt;U420+V420-W420,AND(I420+J420-K420=U420+V420-W420,1&lt;3))),1,0),IF(AND(O420+P420-Q420&gt;0,OR(O420+P420-Q420&lt;U420+V420-W420,AND(O420+P420-Q420=U420+V420-W420,2&lt;3))),1,0),IF(AND(AA420+AB420-AC420&gt;0,OR(AA420+AB420-AC420&lt;U420+V420-W420,AND(AA420+AB420-AC420=U420+V420-W420,4&lt;3))),1,0)))</x:f>
        <x:v>99</x:v>
      </x:c>
      <x:c r="Y420" s="6" t="n">
        <x:f>IF('Debt strategy'!$C$16&gt;0,0,MIN(U420+V420-W420,MAX(0,'Debt strategy'!$C$5-SUM(E420,K420,Q420,W420,AC420)-SUM(IF(F420&lt;X420,C420+D420-E420,0),IF(L420&lt;X420,I420+J420-K420,0),IF(R420&lt;X420,O420+P420-Q420,0),IF(AD420&lt;X420,AA420+AB420-AC420,0)))))</x:f>
        <x:v>0</x:v>
      </x:c>
      <x:c r="Z420" s="6" t="n">
        <x:f>ROUND(MAX(0,U420+V420-W420-Y420),2)</x:f>
        <x:v>0</x:v>
      </x:c>
      <x:c r="AA420" s="6" t="n">
        <x:f>AF419</x:f>
        <x:v>0</x:v>
      </x:c>
      <x:c r="AB420" s="6" t="n">
        <x:f>ROUND(AA420*'Debt strategy'!$D$13/12,2)</x:f>
        <x:v>0</x:v>
      </x:c>
      <x:c r="AC420" s="6" t="n">
        <x:f>MIN(AA420+AB420,'Debt strategy'!$E$13)</x:f>
        <x:v>0</x:v>
      </x:c>
      <x:c r="AD420" s="27" t="n">
        <x:f>IF(AA420+AB420-AC420&lt;=0,99,1+SUM(IF(AND(C420+D420-E420&gt;0,OR(C420+D420-E420&lt;AA420+AB420-AC420,AND(C420+D420-E420=AA420+AB420-AC420,0&lt;4))),1,0),IF(AND(I420+J420-K420&gt;0,OR(I420+J420-K420&lt;AA420+AB420-AC420,AND(I420+J420-K420=AA420+AB420-AC420,1&lt;4))),1,0),IF(AND(O420+P420-Q420&gt;0,OR(O420+P420-Q420&lt;AA420+AB420-AC420,AND(O420+P420-Q420=AA420+AB420-AC420,2&lt;4))),1,0),IF(AND(U420+V420-W420&gt;0,OR(U420+V420-W420&lt;AA420+AB420-AC420,AND(U420+V420-W420=AA420+AB420-AC420,3&lt;4))),1,0)))</x:f>
        <x:v>99</x:v>
      </x:c>
      <x:c r="AE420" s="6" t="n">
        <x:f>IF('Debt strategy'!$C$16&gt;0,0,MIN(AA420+AB420-AC420,MAX(0,'Debt strategy'!$C$5-SUM(E420,K420,Q420,W420,AC420)-SUM(IF(F420&lt;AD420,C420+D420-E420,0),IF(L420&lt;AD420,I420+J420-K420,0),IF(R420&lt;AD420,O420+P420-Q420,0),IF(X420&lt;AD420,U420+V420-W420,0)))))</x:f>
        <x:v>0</x:v>
      </x:c>
      <x:c r="AF420" s="6" t="n">
        <x:f>ROUND(MAX(0,AA420+AB420-AC420-AE420),2)</x:f>
        <x:v>0</x:v>
      </x:c>
      <x:c r="AG420" s="6" t="n">
        <x:f>SUM(H420,N420,T420,Z420,AF420)</x:f>
        <x:v>0</x:v>
      </x:c>
      <x:c r="AH420" s="6" t="n">
        <x:f>SUM(D420,J420,P420,V420,AB420)+AH419</x:f>
        <x:v>1353.9499999999996</x:v>
      </x:c>
      <x:c r="AI420" s="2"/>
    </x:row>
    <x:row r="421" ht="23" customHeight="1">
      <x:c r="B421" s="2" t="n">
        <x:f>413</x:f>
        <x:v>413</x:v>
      </x:c>
      <x:c r="C421" s="6" t="n">
        <x:f>H420</x:f>
        <x:v>0</x:v>
      </x:c>
      <x:c r="D421" s="6" t="n">
        <x:f>ROUND(C421*'Debt strategy'!$D$9/12,2)</x:f>
        <x:v>0</x:v>
      </x:c>
      <x:c r="E421" s="6" t="n">
        <x:f>MIN(C421+D421,'Debt strategy'!$E$9)</x:f>
        <x:v>0</x:v>
      </x:c>
      <x:c r="F421" s="27" t="n">
        <x:f>IF(C421+D421-E421&lt;=0,99,1+SUM(IF(AND(I421+J421-K421&gt;0,OR(I421+J421-K421&lt;C421+D421-E421,AND(I421+J421-K421=C421+D421-E421,1&lt;0))),1,0),IF(AND(O421+P421-Q421&gt;0,OR(O421+P421-Q421&lt;C421+D421-E421,AND(O421+P421-Q421=C421+D421-E421,2&lt;0))),1,0),IF(AND(U421+V421-W421&gt;0,OR(U421+V421-W421&lt;C421+D421-E421,AND(U421+V421-W421=C421+D421-E421,3&lt;0))),1,0),IF(AND(AA421+AB421-AC421&gt;0,OR(AA421+AB421-AC421&lt;C421+D421-E421,AND(AA421+AB421-AC421=C421+D421-E421,4&lt;0))),1,0)))</x:f>
        <x:v>99</x:v>
      </x:c>
      <x:c r="G421" s="6" t="n">
        <x:f>IF('Debt strategy'!$C$16&gt;0,0,MIN(C421+D421-E421,MAX(0,'Debt strategy'!$C$5-SUM(E421,K421,Q421,W421,AC421)-SUM(IF(L421&lt;F421,I421+J421-K421,0),IF(R421&lt;F421,O421+P421-Q421,0),IF(X421&lt;F421,U421+V421-W421,0),IF(AD421&lt;F421,AA421+AB421-AC421,0)))))</x:f>
        <x:v>0</x:v>
      </x:c>
      <x:c r="H421" s="6" t="n">
        <x:f>ROUND(MAX(0,C421+D421-E421-G421),2)</x:f>
        <x:v>0</x:v>
      </x:c>
      <x:c r="I421" s="6" t="n">
        <x:f>N420</x:f>
        <x:v>0</x:v>
      </x:c>
      <x:c r="J421" s="6" t="n">
        <x:f>ROUND(I421*'Debt strategy'!$D$10/12,2)</x:f>
        <x:v>0</x:v>
      </x:c>
      <x:c r="K421" s="6" t="n">
        <x:f>MIN(I421+J421,'Debt strategy'!$E$10)</x:f>
        <x:v>0</x:v>
      </x:c>
      <x:c r="L421" s="27" t="n">
        <x:f>IF(I421+J421-K421&lt;=0,99,1+SUM(IF(AND(C421+D421-E421&gt;0,OR(C421+D421-E421&lt;I421+J421-K421,AND(C421+D421-E421=I421+J421-K421,0&lt;1))),1,0),IF(AND(O421+P421-Q421&gt;0,OR(O421+P421-Q421&lt;I421+J421-K421,AND(O421+P421-Q421=I421+J421-K421,2&lt;1))),1,0),IF(AND(U421+V421-W421&gt;0,OR(U421+V421-W421&lt;I421+J421-K421,AND(U421+V421-W421=I421+J421-K421,3&lt;1))),1,0),IF(AND(AA421+AB421-AC421&gt;0,OR(AA421+AB421-AC421&lt;I421+J421-K421,AND(AA421+AB421-AC421=I421+J421-K421,4&lt;1))),1,0)))</x:f>
        <x:v>99</x:v>
      </x:c>
      <x:c r="M421" s="6" t="n">
        <x:f>IF('Debt strategy'!$C$16&gt;0,0,MIN(I421+J421-K421,MAX(0,'Debt strategy'!$C$5-SUM(E421,K421,Q421,W421,AC421)-SUM(IF(F421&lt;L421,C421+D421-E421,0),IF(R421&lt;L421,O421+P421-Q421,0),IF(X421&lt;L421,U421+V421-W421,0),IF(AD421&lt;L421,AA421+AB421-AC421,0)))))</x:f>
        <x:v>0</x:v>
      </x:c>
      <x:c r="N421" s="6" t="n">
        <x:f>ROUND(MAX(0,I421+J421-K421-M421),2)</x:f>
        <x:v>0</x:v>
      </x:c>
      <x:c r="O421" s="6" t="n">
        <x:f>T420</x:f>
        <x:v>0</x:v>
      </x:c>
      <x:c r="P421" s="6" t="n">
        <x:f>ROUND(O421*'Debt strategy'!$D$11/12,2)</x:f>
        <x:v>0</x:v>
      </x:c>
      <x:c r="Q421" s="6" t="n">
        <x:f>MIN(O421+P421,'Debt strategy'!$E$11)</x:f>
        <x:v>0</x:v>
      </x:c>
      <x:c r="R421" s="27" t="n">
        <x:f>IF(O421+P421-Q421&lt;=0,99,1+SUM(IF(AND(C421+D421-E421&gt;0,OR(C421+D421-E421&lt;O421+P421-Q421,AND(C421+D421-E421=O421+P421-Q421,0&lt;2))),1,0),IF(AND(I421+J421-K421&gt;0,OR(I421+J421-K421&lt;O421+P421-Q421,AND(I421+J421-K421=O421+P421-Q421,1&lt;2))),1,0),IF(AND(U421+V421-W421&gt;0,OR(U421+V421-W421&lt;O421+P421-Q421,AND(U421+V421-W421=O421+P421-Q421,3&lt;2))),1,0),IF(AND(AA421+AB421-AC421&gt;0,OR(AA421+AB421-AC421&lt;O421+P421-Q421,AND(AA421+AB421-AC421=O421+P421-Q421,4&lt;2))),1,0)))</x:f>
        <x:v>99</x:v>
      </x:c>
      <x:c r="S421" s="6" t="n">
        <x:f>IF('Debt strategy'!$C$16&gt;0,0,MIN(O421+P421-Q421,MAX(0,'Debt strategy'!$C$5-SUM(E421,K421,Q421,W421,AC421)-SUM(IF(F421&lt;R421,C421+D421-E421,0),IF(L421&lt;R421,I421+J421-K421,0),IF(X421&lt;R421,U421+V421-W421,0),IF(AD421&lt;R421,AA421+AB421-AC421,0)))))</x:f>
        <x:v>0</x:v>
      </x:c>
      <x:c r="T421" s="6" t="n">
        <x:f>ROUND(MAX(0,O421+P421-Q421-S421),2)</x:f>
        <x:v>0</x:v>
      </x:c>
      <x:c r="U421" s="6" t="n">
        <x:f>Z420</x:f>
        <x:v>0</x:v>
      </x:c>
      <x:c r="V421" s="6" t="n">
        <x:f>ROUND(U421*'Debt strategy'!$D$12/12,2)</x:f>
        <x:v>0</x:v>
      </x:c>
      <x:c r="W421" s="6" t="n">
        <x:f>MIN(U421+V421,'Debt strategy'!$E$12)</x:f>
        <x:v>0</x:v>
      </x:c>
      <x:c r="X421" s="27" t="n">
        <x:f>IF(U421+V421-W421&lt;=0,99,1+SUM(IF(AND(C421+D421-E421&gt;0,OR(C421+D421-E421&lt;U421+V421-W421,AND(C421+D421-E421=U421+V421-W421,0&lt;3))),1,0),IF(AND(I421+J421-K421&gt;0,OR(I421+J421-K421&lt;U421+V421-W421,AND(I421+J421-K421=U421+V421-W421,1&lt;3))),1,0),IF(AND(O421+P421-Q421&gt;0,OR(O421+P421-Q421&lt;U421+V421-W421,AND(O421+P421-Q421=U421+V421-W421,2&lt;3))),1,0),IF(AND(AA421+AB421-AC421&gt;0,OR(AA421+AB421-AC421&lt;U421+V421-W421,AND(AA421+AB421-AC421=U421+V421-W421,4&lt;3))),1,0)))</x:f>
        <x:v>99</x:v>
      </x:c>
      <x:c r="Y421" s="6" t="n">
        <x:f>IF('Debt strategy'!$C$16&gt;0,0,MIN(U421+V421-W421,MAX(0,'Debt strategy'!$C$5-SUM(E421,K421,Q421,W421,AC421)-SUM(IF(F421&lt;X421,C421+D421-E421,0),IF(L421&lt;X421,I421+J421-K421,0),IF(R421&lt;X421,O421+P421-Q421,0),IF(AD421&lt;X421,AA421+AB421-AC421,0)))))</x:f>
        <x:v>0</x:v>
      </x:c>
      <x:c r="Z421" s="6" t="n">
        <x:f>ROUND(MAX(0,U421+V421-W421-Y421),2)</x:f>
        <x:v>0</x:v>
      </x:c>
      <x:c r="AA421" s="6" t="n">
        <x:f>AF420</x:f>
        <x:v>0</x:v>
      </x:c>
      <x:c r="AB421" s="6" t="n">
        <x:f>ROUND(AA421*'Debt strategy'!$D$13/12,2)</x:f>
        <x:v>0</x:v>
      </x:c>
      <x:c r="AC421" s="6" t="n">
        <x:f>MIN(AA421+AB421,'Debt strategy'!$E$13)</x:f>
        <x:v>0</x:v>
      </x:c>
      <x:c r="AD421" s="27" t="n">
        <x:f>IF(AA421+AB421-AC421&lt;=0,99,1+SUM(IF(AND(C421+D421-E421&gt;0,OR(C421+D421-E421&lt;AA421+AB421-AC421,AND(C421+D421-E421=AA421+AB421-AC421,0&lt;4))),1,0),IF(AND(I421+J421-K421&gt;0,OR(I421+J421-K421&lt;AA421+AB421-AC421,AND(I421+J421-K421=AA421+AB421-AC421,1&lt;4))),1,0),IF(AND(O421+P421-Q421&gt;0,OR(O421+P421-Q421&lt;AA421+AB421-AC421,AND(O421+P421-Q421=AA421+AB421-AC421,2&lt;4))),1,0),IF(AND(U421+V421-W421&gt;0,OR(U421+V421-W421&lt;AA421+AB421-AC421,AND(U421+V421-W421=AA421+AB421-AC421,3&lt;4))),1,0)))</x:f>
        <x:v>99</x:v>
      </x:c>
      <x:c r="AE421" s="6" t="n">
        <x:f>IF('Debt strategy'!$C$16&gt;0,0,MIN(AA421+AB421-AC421,MAX(0,'Debt strategy'!$C$5-SUM(E421,K421,Q421,W421,AC421)-SUM(IF(F421&lt;AD421,C421+D421-E421,0),IF(L421&lt;AD421,I421+J421-K421,0),IF(R421&lt;AD421,O421+P421-Q421,0),IF(X421&lt;AD421,U421+V421-W421,0)))))</x:f>
        <x:v>0</x:v>
      </x:c>
      <x:c r="AF421" s="6" t="n">
        <x:f>ROUND(MAX(0,AA421+AB421-AC421-AE421),2)</x:f>
        <x:v>0</x:v>
      </x:c>
      <x:c r="AG421" s="6" t="n">
        <x:f>SUM(H421,N421,T421,Z421,AF421)</x:f>
        <x:v>0</x:v>
      </x:c>
      <x:c r="AH421" s="6" t="n">
        <x:f>SUM(D421,J421,P421,V421,AB421)+AH420</x:f>
        <x:v>1353.9499999999996</x:v>
      </x:c>
      <x:c r="AI421" s="2"/>
    </x:row>
    <x:row r="422" ht="23" customHeight="1">
      <x:c r="B422" s="2" t="n">
        <x:f>414</x:f>
        <x:v>414</x:v>
      </x:c>
      <x:c r="C422" s="6" t="n">
        <x:f>H421</x:f>
        <x:v>0</x:v>
      </x:c>
      <x:c r="D422" s="6" t="n">
        <x:f>ROUND(C422*'Debt strategy'!$D$9/12,2)</x:f>
        <x:v>0</x:v>
      </x:c>
      <x:c r="E422" s="6" t="n">
        <x:f>MIN(C422+D422,'Debt strategy'!$E$9)</x:f>
        <x:v>0</x:v>
      </x:c>
      <x:c r="F422" s="27" t="n">
        <x:f>IF(C422+D422-E422&lt;=0,99,1+SUM(IF(AND(I422+J422-K422&gt;0,OR(I422+J422-K422&lt;C422+D422-E422,AND(I422+J422-K422=C422+D422-E422,1&lt;0))),1,0),IF(AND(O422+P422-Q422&gt;0,OR(O422+P422-Q422&lt;C422+D422-E422,AND(O422+P422-Q422=C422+D422-E422,2&lt;0))),1,0),IF(AND(U422+V422-W422&gt;0,OR(U422+V422-W422&lt;C422+D422-E422,AND(U422+V422-W422=C422+D422-E422,3&lt;0))),1,0),IF(AND(AA422+AB422-AC422&gt;0,OR(AA422+AB422-AC422&lt;C422+D422-E422,AND(AA422+AB422-AC422=C422+D422-E422,4&lt;0))),1,0)))</x:f>
        <x:v>99</x:v>
      </x:c>
      <x:c r="G422" s="6" t="n">
        <x:f>IF('Debt strategy'!$C$16&gt;0,0,MIN(C422+D422-E422,MAX(0,'Debt strategy'!$C$5-SUM(E422,K422,Q422,W422,AC422)-SUM(IF(L422&lt;F422,I422+J422-K422,0),IF(R422&lt;F422,O422+P422-Q422,0),IF(X422&lt;F422,U422+V422-W422,0),IF(AD422&lt;F422,AA422+AB422-AC422,0)))))</x:f>
        <x:v>0</x:v>
      </x:c>
      <x:c r="H422" s="6" t="n">
        <x:f>ROUND(MAX(0,C422+D422-E422-G422),2)</x:f>
        <x:v>0</x:v>
      </x:c>
      <x:c r="I422" s="6" t="n">
        <x:f>N421</x:f>
        <x:v>0</x:v>
      </x:c>
      <x:c r="J422" s="6" t="n">
        <x:f>ROUND(I422*'Debt strategy'!$D$10/12,2)</x:f>
        <x:v>0</x:v>
      </x:c>
      <x:c r="K422" s="6" t="n">
        <x:f>MIN(I422+J422,'Debt strategy'!$E$10)</x:f>
        <x:v>0</x:v>
      </x:c>
      <x:c r="L422" s="27" t="n">
        <x:f>IF(I422+J422-K422&lt;=0,99,1+SUM(IF(AND(C422+D422-E422&gt;0,OR(C422+D422-E422&lt;I422+J422-K422,AND(C422+D422-E422=I422+J422-K422,0&lt;1))),1,0),IF(AND(O422+P422-Q422&gt;0,OR(O422+P422-Q422&lt;I422+J422-K422,AND(O422+P422-Q422=I422+J422-K422,2&lt;1))),1,0),IF(AND(U422+V422-W422&gt;0,OR(U422+V422-W422&lt;I422+J422-K422,AND(U422+V422-W422=I422+J422-K422,3&lt;1))),1,0),IF(AND(AA422+AB422-AC422&gt;0,OR(AA422+AB422-AC422&lt;I422+J422-K422,AND(AA422+AB422-AC422=I422+J422-K422,4&lt;1))),1,0)))</x:f>
        <x:v>99</x:v>
      </x:c>
      <x:c r="M422" s="6" t="n">
        <x:f>IF('Debt strategy'!$C$16&gt;0,0,MIN(I422+J422-K422,MAX(0,'Debt strategy'!$C$5-SUM(E422,K422,Q422,W422,AC422)-SUM(IF(F422&lt;L422,C422+D422-E422,0),IF(R422&lt;L422,O422+P422-Q422,0),IF(X422&lt;L422,U422+V422-W422,0),IF(AD422&lt;L422,AA422+AB422-AC422,0)))))</x:f>
        <x:v>0</x:v>
      </x:c>
      <x:c r="N422" s="6" t="n">
        <x:f>ROUND(MAX(0,I422+J422-K422-M422),2)</x:f>
        <x:v>0</x:v>
      </x:c>
      <x:c r="O422" s="6" t="n">
        <x:f>T421</x:f>
        <x:v>0</x:v>
      </x:c>
      <x:c r="P422" s="6" t="n">
        <x:f>ROUND(O422*'Debt strategy'!$D$11/12,2)</x:f>
        <x:v>0</x:v>
      </x:c>
      <x:c r="Q422" s="6" t="n">
        <x:f>MIN(O422+P422,'Debt strategy'!$E$11)</x:f>
        <x:v>0</x:v>
      </x:c>
      <x:c r="R422" s="27" t="n">
        <x:f>IF(O422+P422-Q422&lt;=0,99,1+SUM(IF(AND(C422+D422-E422&gt;0,OR(C422+D422-E422&lt;O422+P422-Q422,AND(C422+D422-E422=O422+P422-Q422,0&lt;2))),1,0),IF(AND(I422+J422-K422&gt;0,OR(I422+J422-K422&lt;O422+P422-Q422,AND(I422+J422-K422=O422+P422-Q422,1&lt;2))),1,0),IF(AND(U422+V422-W422&gt;0,OR(U422+V422-W422&lt;O422+P422-Q422,AND(U422+V422-W422=O422+P422-Q422,3&lt;2))),1,0),IF(AND(AA422+AB422-AC422&gt;0,OR(AA422+AB422-AC422&lt;O422+P422-Q422,AND(AA422+AB422-AC422=O422+P422-Q422,4&lt;2))),1,0)))</x:f>
        <x:v>99</x:v>
      </x:c>
      <x:c r="S422" s="6" t="n">
        <x:f>IF('Debt strategy'!$C$16&gt;0,0,MIN(O422+P422-Q422,MAX(0,'Debt strategy'!$C$5-SUM(E422,K422,Q422,W422,AC422)-SUM(IF(F422&lt;R422,C422+D422-E422,0),IF(L422&lt;R422,I422+J422-K422,0),IF(X422&lt;R422,U422+V422-W422,0),IF(AD422&lt;R422,AA422+AB422-AC422,0)))))</x:f>
        <x:v>0</x:v>
      </x:c>
      <x:c r="T422" s="6" t="n">
        <x:f>ROUND(MAX(0,O422+P422-Q422-S422),2)</x:f>
        <x:v>0</x:v>
      </x:c>
      <x:c r="U422" s="6" t="n">
        <x:f>Z421</x:f>
        <x:v>0</x:v>
      </x:c>
      <x:c r="V422" s="6" t="n">
        <x:f>ROUND(U422*'Debt strategy'!$D$12/12,2)</x:f>
        <x:v>0</x:v>
      </x:c>
      <x:c r="W422" s="6" t="n">
        <x:f>MIN(U422+V422,'Debt strategy'!$E$12)</x:f>
        <x:v>0</x:v>
      </x:c>
      <x:c r="X422" s="27" t="n">
        <x:f>IF(U422+V422-W422&lt;=0,99,1+SUM(IF(AND(C422+D422-E422&gt;0,OR(C422+D422-E422&lt;U422+V422-W422,AND(C422+D422-E422=U422+V422-W422,0&lt;3))),1,0),IF(AND(I422+J422-K422&gt;0,OR(I422+J422-K422&lt;U422+V422-W422,AND(I422+J422-K422=U422+V422-W422,1&lt;3))),1,0),IF(AND(O422+P422-Q422&gt;0,OR(O422+P422-Q422&lt;U422+V422-W422,AND(O422+P422-Q422=U422+V422-W422,2&lt;3))),1,0),IF(AND(AA422+AB422-AC422&gt;0,OR(AA422+AB422-AC422&lt;U422+V422-W422,AND(AA422+AB422-AC422=U422+V422-W422,4&lt;3))),1,0)))</x:f>
        <x:v>99</x:v>
      </x:c>
      <x:c r="Y422" s="6" t="n">
        <x:f>IF('Debt strategy'!$C$16&gt;0,0,MIN(U422+V422-W422,MAX(0,'Debt strategy'!$C$5-SUM(E422,K422,Q422,W422,AC422)-SUM(IF(F422&lt;X422,C422+D422-E422,0),IF(L422&lt;X422,I422+J422-K422,0),IF(R422&lt;X422,O422+P422-Q422,0),IF(AD422&lt;X422,AA422+AB422-AC422,0)))))</x:f>
        <x:v>0</x:v>
      </x:c>
      <x:c r="Z422" s="6" t="n">
        <x:f>ROUND(MAX(0,U422+V422-W422-Y422),2)</x:f>
        <x:v>0</x:v>
      </x:c>
      <x:c r="AA422" s="6" t="n">
        <x:f>AF421</x:f>
        <x:v>0</x:v>
      </x:c>
      <x:c r="AB422" s="6" t="n">
        <x:f>ROUND(AA422*'Debt strategy'!$D$13/12,2)</x:f>
        <x:v>0</x:v>
      </x:c>
      <x:c r="AC422" s="6" t="n">
        <x:f>MIN(AA422+AB422,'Debt strategy'!$E$13)</x:f>
        <x:v>0</x:v>
      </x:c>
      <x:c r="AD422" s="27" t="n">
        <x:f>IF(AA422+AB422-AC422&lt;=0,99,1+SUM(IF(AND(C422+D422-E422&gt;0,OR(C422+D422-E422&lt;AA422+AB422-AC422,AND(C422+D422-E422=AA422+AB422-AC422,0&lt;4))),1,0),IF(AND(I422+J422-K422&gt;0,OR(I422+J422-K422&lt;AA422+AB422-AC422,AND(I422+J422-K422=AA422+AB422-AC422,1&lt;4))),1,0),IF(AND(O422+P422-Q422&gt;0,OR(O422+P422-Q422&lt;AA422+AB422-AC422,AND(O422+P422-Q422=AA422+AB422-AC422,2&lt;4))),1,0),IF(AND(U422+V422-W422&gt;0,OR(U422+V422-W422&lt;AA422+AB422-AC422,AND(U422+V422-W422=AA422+AB422-AC422,3&lt;4))),1,0)))</x:f>
        <x:v>99</x:v>
      </x:c>
      <x:c r="AE422" s="6" t="n">
        <x:f>IF('Debt strategy'!$C$16&gt;0,0,MIN(AA422+AB422-AC422,MAX(0,'Debt strategy'!$C$5-SUM(E422,K422,Q422,W422,AC422)-SUM(IF(F422&lt;AD422,C422+D422-E422,0),IF(L422&lt;AD422,I422+J422-K422,0),IF(R422&lt;AD422,O422+P422-Q422,0),IF(X422&lt;AD422,U422+V422-W422,0)))))</x:f>
        <x:v>0</x:v>
      </x:c>
      <x:c r="AF422" s="6" t="n">
        <x:f>ROUND(MAX(0,AA422+AB422-AC422-AE422),2)</x:f>
        <x:v>0</x:v>
      </x:c>
      <x:c r="AG422" s="6" t="n">
        <x:f>SUM(H422,N422,T422,Z422,AF422)</x:f>
        <x:v>0</x:v>
      </x:c>
      <x:c r="AH422" s="6" t="n">
        <x:f>SUM(D422,J422,P422,V422,AB422)+AH421</x:f>
        <x:v>1353.9499999999996</x:v>
      </x:c>
      <x:c r="AI422" s="2"/>
    </x:row>
    <x:row r="423" ht="23" customHeight="1">
      <x:c r="B423" s="2" t="n">
        <x:f>415</x:f>
        <x:v>415</x:v>
      </x:c>
      <x:c r="C423" s="6" t="n">
        <x:f>H422</x:f>
        <x:v>0</x:v>
      </x:c>
      <x:c r="D423" s="6" t="n">
        <x:f>ROUND(C423*'Debt strategy'!$D$9/12,2)</x:f>
        <x:v>0</x:v>
      </x:c>
      <x:c r="E423" s="6" t="n">
        <x:f>MIN(C423+D423,'Debt strategy'!$E$9)</x:f>
        <x:v>0</x:v>
      </x:c>
      <x:c r="F423" s="27" t="n">
        <x:f>IF(C423+D423-E423&lt;=0,99,1+SUM(IF(AND(I423+J423-K423&gt;0,OR(I423+J423-K423&lt;C423+D423-E423,AND(I423+J423-K423=C423+D423-E423,1&lt;0))),1,0),IF(AND(O423+P423-Q423&gt;0,OR(O423+P423-Q423&lt;C423+D423-E423,AND(O423+P423-Q423=C423+D423-E423,2&lt;0))),1,0),IF(AND(U423+V423-W423&gt;0,OR(U423+V423-W423&lt;C423+D423-E423,AND(U423+V423-W423=C423+D423-E423,3&lt;0))),1,0),IF(AND(AA423+AB423-AC423&gt;0,OR(AA423+AB423-AC423&lt;C423+D423-E423,AND(AA423+AB423-AC423=C423+D423-E423,4&lt;0))),1,0)))</x:f>
        <x:v>99</x:v>
      </x:c>
      <x:c r="G423" s="6" t="n">
        <x:f>IF('Debt strategy'!$C$16&gt;0,0,MIN(C423+D423-E423,MAX(0,'Debt strategy'!$C$5-SUM(E423,K423,Q423,W423,AC423)-SUM(IF(L423&lt;F423,I423+J423-K423,0),IF(R423&lt;F423,O423+P423-Q423,0),IF(X423&lt;F423,U423+V423-W423,0),IF(AD423&lt;F423,AA423+AB423-AC423,0)))))</x:f>
        <x:v>0</x:v>
      </x:c>
      <x:c r="H423" s="6" t="n">
        <x:f>ROUND(MAX(0,C423+D423-E423-G423),2)</x:f>
        <x:v>0</x:v>
      </x:c>
      <x:c r="I423" s="6" t="n">
        <x:f>N422</x:f>
        <x:v>0</x:v>
      </x:c>
      <x:c r="J423" s="6" t="n">
        <x:f>ROUND(I423*'Debt strategy'!$D$10/12,2)</x:f>
        <x:v>0</x:v>
      </x:c>
      <x:c r="K423" s="6" t="n">
        <x:f>MIN(I423+J423,'Debt strategy'!$E$10)</x:f>
        <x:v>0</x:v>
      </x:c>
      <x:c r="L423" s="27" t="n">
        <x:f>IF(I423+J423-K423&lt;=0,99,1+SUM(IF(AND(C423+D423-E423&gt;0,OR(C423+D423-E423&lt;I423+J423-K423,AND(C423+D423-E423=I423+J423-K423,0&lt;1))),1,0),IF(AND(O423+P423-Q423&gt;0,OR(O423+P423-Q423&lt;I423+J423-K423,AND(O423+P423-Q423=I423+J423-K423,2&lt;1))),1,0),IF(AND(U423+V423-W423&gt;0,OR(U423+V423-W423&lt;I423+J423-K423,AND(U423+V423-W423=I423+J423-K423,3&lt;1))),1,0),IF(AND(AA423+AB423-AC423&gt;0,OR(AA423+AB423-AC423&lt;I423+J423-K423,AND(AA423+AB423-AC423=I423+J423-K423,4&lt;1))),1,0)))</x:f>
        <x:v>99</x:v>
      </x:c>
      <x:c r="M423" s="6" t="n">
        <x:f>IF('Debt strategy'!$C$16&gt;0,0,MIN(I423+J423-K423,MAX(0,'Debt strategy'!$C$5-SUM(E423,K423,Q423,W423,AC423)-SUM(IF(F423&lt;L423,C423+D423-E423,0),IF(R423&lt;L423,O423+P423-Q423,0),IF(X423&lt;L423,U423+V423-W423,0),IF(AD423&lt;L423,AA423+AB423-AC423,0)))))</x:f>
        <x:v>0</x:v>
      </x:c>
      <x:c r="N423" s="6" t="n">
        <x:f>ROUND(MAX(0,I423+J423-K423-M423),2)</x:f>
        <x:v>0</x:v>
      </x:c>
      <x:c r="O423" s="6" t="n">
        <x:f>T422</x:f>
        <x:v>0</x:v>
      </x:c>
      <x:c r="P423" s="6" t="n">
        <x:f>ROUND(O423*'Debt strategy'!$D$11/12,2)</x:f>
        <x:v>0</x:v>
      </x:c>
      <x:c r="Q423" s="6" t="n">
        <x:f>MIN(O423+P423,'Debt strategy'!$E$11)</x:f>
        <x:v>0</x:v>
      </x:c>
      <x:c r="R423" s="27" t="n">
        <x:f>IF(O423+P423-Q423&lt;=0,99,1+SUM(IF(AND(C423+D423-E423&gt;0,OR(C423+D423-E423&lt;O423+P423-Q423,AND(C423+D423-E423=O423+P423-Q423,0&lt;2))),1,0),IF(AND(I423+J423-K423&gt;0,OR(I423+J423-K423&lt;O423+P423-Q423,AND(I423+J423-K423=O423+P423-Q423,1&lt;2))),1,0),IF(AND(U423+V423-W423&gt;0,OR(U423+V423-W423&lt;O423+P423-Q423,AND(U423+V423-W423=O423+P423-Q423,3&lt;2))),1,0),IF(AND(AA423+AB423-AC423&gt;0,OR(AA423+AB423-AC423&lt;O423+P423-Q423,AND(AA423+AB423-AC423=O423+P423-Q423,4&lt;2))),1,0)))</x:f>
        <x:v>99</x:v>
      </x:c>
      <x:c r="S423" s="6" t="n">
        <x:f>IF('Debt strategy'!$C$16&gt;0,0,MIN(O423+P423-Q423,MAX(0,'Debt strategy'!$C$5-SUM(E423,K423,Q423,W423,AC423)-SUM(IF(F423&lt;R423,C423+D423-E423,0),IF(L423&lt;R423,I423+J423-K423,0),IF(X423&lt;R423,U423+V423-W423,0),IF(AD423&lt;R423,AA423+AB423-AC423,0)))))</x:f>
        <x:v>0</x:v>
      </x:c>
      <x:c r="T423" s="6" t="n">
        <x:f>ROUND(MAX(0,O423+P423-Q423-S423),2)</x:f>
        <x:v>0</x:v>
      </x:c>
      <x:c r="U423" s="6" t="n">
        <x:f>Z422</x:f>
        <x:v>0</x:v>
      </x:c>
      <x:c r="V423" s="6" t="n">
        <x:f>ROUND(U423*'Debt strategy'!$D$12/12,2)</x:f>
        <x:v>0</x:v>
      </x:c>
      <x:c r="W423" s="6" t="n">
        <x:f>MIN(U423+V423,'Debt strategy'!$E$12)</x:f>
        <x:v>0</x:v>
      </x:c>
      <x:c r="X423" s="27" t="n">
        <x:f>IF(U423+V423-W423&lt;=0,99,1+SUM(IF(AND(C423+D423-E423&gt;0,OR(C423+D423-E423&lt;U423+V423-W423,AND(C423+D423-E423=U423+V423-W423,0&lt;3))),1,0),IF(AND(I423+J423-K423&gt;0,OR(I423+J423-K423&lt;U423+V423-W423,AND(I423+J423-K423=U423+V423-W423,1&lt;3))),1,0),IF(AND(O423+P423-Q423&gt;0,OR(O423+P423-Q423&lt;U423+V423-W423,AND(O423+P423-Q423=U423+V423-W423,2&lt;3))),1,0),IF(AND(AA423+AB423-AC423&gt;0,OR(AA423+AB423-AC423&lt;U423+V423-W423,AND(AA423+AB423-AC423=U423+V423-W423,4&lt;3))),1,0)))</x:f>
        <x:v>99</x:v>
      </x:c>
      <x:c r="Y423" s="6" t="n">
        <x:f>IF('Debt strategy'!$C$16&gt;0,0,MIN(U423+V423-W423,MAX(0,'Debt strategy'!$C$5-SUM(E423,K423,Q423,W423,AC423)-SUM(IF(F423&lt;X423,C423+D423-E423,0),IF(L423&lt;X423,I423+J423-K423,0),IF(R423&lt;X423,O423+P423-Q423,0),IF(AD423&lt;X423,AA423+AB423-AC423,0)))))</x:f>
        <x:v>0</x:v>
      </x:c>
      <x:c r="Z423" s="6" t="n">
        <x:f>ROUND(MAX(0,U423+V423-W423-Y423),2)</x:f>
        <x:v>0</x:v>
      </x:c>
      <x:c r="AA423" s="6" t="n">
        <x:f>AF422</x:f>
        <x:v>0</x:v>
      </x:c>
      <x:c r="AB423" s="6" t="n">
        <x:f>ROUND(AA423*'Debt strategy'!$D$13/12,2)</x:f>
        <x:v>0</x:v>
      </x:c>
      <x:c r="AC423" s="6" t="n">
        <x:f>MIN(AA423+AB423,'Debt strategy'!$E$13)</x:f>
        <x:v>0</x:v>
      </x:c>
      <x:c r="AD423" s="27" t="n">
        <x:f>IF(AA423+AB423-AC423&lt;=0,99,1+SUM(IF(AND(C423+D423-E423&gt;0,OR(C423+D423-E423&lt;AA423+AB423-AC423,AND(C423+D423-E423=AA423+AB423-AC423,0&lt;4))),1,0),IF(AND(I423+J423-K423&gt;0,OR(I423+J423-K423&lt;AA423+AB423-AC423,AND(I423+J423-K423=AA423+AB423-AC423,1&lt;4))),1,0),IF(AND(O423+P423-Q423&gt;0,OR(O423+P423-Q423&lt;AA423+AB423-AC423,AND(O423+P423-Q423=AA423+AB423-AC423,2&lt;4))),1,0),IF(AND(U423+V423-W423&gt;0,OR(U423+V423-W423&lt;AA423+AB423-AC423,AND(U423+V423-W423=AA423+AB423-AC423,3&lt;4))),1,0)))</x:f>
        <x:v>99</x:v>
      </x:c>
      <x:c r="AE423" s="6" t="n">
        <x:f>IF('Debt strategy'!$C$16&gt;0,0,MIN(AA423+AB423-AC423,MAX(0,'Debt strategy'!$C$5-SUM(E423,K423,Q423,W423,AC423)-SUM(IF(F423&lt;AD423,C423+D423-E423,0),IF(L423&lt;AD423,I423+J423-K423,0),IF(R423&lt;AD423,O423+P423-Q423,0),IF(X423&lt;AD423,U423+V423-W423,0)))))</x:f>
        <x:v>0</x:v>
      </x:c>
      <x:c r="AF423" s="6" t="n">
        <x:f>ROUND(MAX(0,AA423+AB423-AC423-AE423),2)</x:f>
        <x:v>0</x:v>
      </x:c>
      <x:c r="AG423" s="6" t="n">
        <x:f>SUM(H423,N423,T423,Z423,AF423)</x:f>
        <x:v>0</x:v>
      </x:c>
      <x:c r="AH423" s="6" t="n">
        <x:f>SUM(D423,J423,P423,V423,AB423)+AH422</x:f>
        <x:v>1353.9499999999996</x:v>
      </x:c>
      <x:c r="AI423" s="2"/>
    </x:row>
    <x:row r="424" ht="23" customHeight="1">
      <x:c r="B424" s="2" t="n">
        <x:f>416</x:f>
        <x:v>416</x:v>
      </x:c>
      <x:c r="C424" s="6" t="n">
        <x:f>H423</x:f>
        <x:v>0</x:v>
      </x:c>
      <x:c r="D424" s="6" t="n">
        <x:f>ROUND(C424*'Debt strategy'!$D$9/12,2)</x:f>
        <x:v>0</x:v>
      </x:c>
      <x:c r="E424" s="6" t="n">
        <x:f>MIN(C424+D424,'Debt strategy'!$E$9)</x:f>
        <x:v>0</x:v>
      </x:c>
      <x:c r="F424" s="27" t="n">
        <x:f>IF(C424+D424-E424&lt;=0,99,1+SUM(IF(AND(I424+J424-K424&gt;0,OR(I424+J424-K424&lt;C424+D424-E424,AND(I424+J424-K424=C424+D424-E424,1&lt;0))),1,0),IF(AND(O424+P424-Q424&gt;0,OR(O424+P424-Q424&lt;C424+D424-E424,AND(O424+P424-Q424=C424+D424-E424,2&lt;0))),1,0),IF(AND(U424+V424-W424&gt;0,OR(U424+V424-W424&lt;C424+D424-E424,AND(U424+V424-W424=C424+D424-E424,3&lt;0))),1,0),IF(AND(AA424+AB424-AC424&gt;0,OR(AA424+AB424-AC424&lt;C424+D424-E424,AND(AA424+AB424-AC424=C424+D424-E424,4&lt;0))),1,0)))</x:f>
        <x:v>99</x:v>
      </x:c>
      <x:c r="G424" s="6" t="n">
        <x:f>IF('Debt strategy'!$C$16&gt;0,0,MIN(C424+D424-E424,MAX(0,'Debt strategy'!$C$5-SUM(E424,K424,Q424,W424,AC424)-SUM(IF(L424&lt;F424,I424+J424-K424,0),IF(R424&lt;F424,O424+P424-Q424,0),IF(X424&lt;F424,U424+V424-W424,0),IF(AD424&lt;F424,AA424+AB424-AC424,0)))))</x:f>
        <x:v>0</x:v>
      </x:c>
      <x:c r="H424" s="6" t="n">
        <x:f>ROUND(MAX(0,C424+D424-E424-G424),2)</x:f>
        <x:v>0</x:v>
      </x:c>
      <x:c r="I424" s="6" t="n">
        <x:f>N423</x:f>
        <x:v>0</x:v>
      </x:c>
      <x:c r="J424" s="6" t="n">
        <x:f>ROUND(I424*'Debt strategy'!$D$10/12,2)</x:f>
        <x:v>0</x:v>
      </x:c>
      <x:c r="K424" s="6" t="n">
        <x:f>MIN(I424+J424,'Debt strategy'!$E$10)</x:f>
        <x:v>0</x:v>
      </x:c>
      <x:c r="L424" s="27" t="n">
        <x:f>IF(I424+J424-K424&lt;=0,99,1+SUM(IF(AND(C424+D424-E424&gt;0,OR(C424+D424-E424&lt;I424+J424-K424,AND(C424+D424-E424=I424+J424-K424,0&lt;1))),1,0),IF(AND(O424+P424-Q424&gt;0,OR(O424+P424-Q424&lt;I424+J424-K424,AND(O424+P424-Q424=I424+J424-K424,2&lt;1))),1,0),IF(AND(U424+V424-W424&gt;0,OR(U424+V424-W424&lt;I424+J424-K424,AND(U424+V424-W424=I424+J424-K424,3&lt;1))),1,0),IF(AND(AA424+AB424-AC424&gt;0,OR(AA424+AB424-AC424&lt;I424+J424-K424,AND(AA424+AB424-AC424=I424+J424-K424,4&lt;1))),1,0)))</x:f>
        <x:v>99</x:v>
      </x:c>
      <x:c r="M424" s="6" t="n">
        <x:f>IF('Debt strategy'!$C$16&gt;0,0,MIN(I424+J424-K424,MAX(0,'Debt strategy'!$C$5-SUM(E424,K424,Q424,W424,AC424)-SUM(IF(F424&lt;L424,C424+D424-E424,0),IF(R424&lt;L424,O424+P424-Q424,0),IF(X424&lt;L424,U424+V424-W424,0),IF(AD424&lt;L424,AA424+AB424-AC424,0)))))</x:f>
        <x:v>0</x:v>
      </x:c>
      <x:c r="N424" s="6" t="n">
        <x:f>ROUND(MAX(0,I424+J424-K424-M424),2)</x:f>
        <x:v>0</x:v>
      </x:c>
      <x:c r="O424" s="6" t="n">
        <x:f>T423</x:f>
        <x:v>0</x:v>
      </x:c>
      <x:c r="P424" s="6" t="n">
        <x:f>ROUND(O424*'Debt strategy'!$D$11/12,2)</x:f>
        <x:v>0</x:v>
      </x:c>
      <x:c r="Q424" s="6" t="n">
        <x:f>MIN(O424+P424,'Debt strategy'!$E$11)</x:f>
        <x:v>0</x:v>
      </x:c>
      <x:c r="R424" s="27" t="n">
        <x:f>IF(O424+P424-Q424&lt;=0,99,1+SUM(IF(AND(C424+D424-E424&gt;0,OR(C424+D424-E424&lt;O424+P424-Q424,AND(C424+D424-E424=O424+P424-Q424,0&lt;2))),1,0),IF(AND(I424+J424-K424&gt;0,OR(I424+J424-K424&lt;O424+P424-Q424,AND(I424+J424-K424=O424+P424-Q424,1&lt;2))),1,0),IF(AND(U424+V424-W424&gt;0,OR(U424+V424-W424&lt;O424+P424-Q424,AND(U424+V424-W424=O424+P424-Q424,3&lt;2))),1,0),IF(AND(AA424+AB424-AC424&gt;0,OR(AA424+AB424-AC424&lt;O424+P424-Q424,AND(AA424+AB424-AC424=O424+P424-Q424,4&lt;2))),1,0)))</x:f>
        <x:v>99</x:v>
      </x:c>
      <x:c r="S424" s="6" t="n">
        <x:f>IF('Debt strategy'!$C$16&gt;0,0,MIN(O424+P424-Q424,MAX(0,'Debt strategy'!$C$5-SUM(E424,K424,Q424,W424,AC424)-SUM(IF(F424&lt;R424,C424+D424-E424,0),IF(L424&lt;R424,I424+J424-K424,0),IF(X424&lt;R424,U424+V424-W424,0),IF(AD424&lt;R424,AA424+AB424-AC424,0)))))</x:f>
        <x:v>0</x:v>
      </x:c>
      <x:c r="T424" s="6" t="n">
        <x:f>ROUND(MAX(0,O424+P424-Q424-S424),2)</x:f>
        <x:v>0</x:v>
      </x:c>
      <x:c r="U424" s="6" t="n">
        <x:f>Z423</x:f>
        <x:v>0</x:v>
      </x:c>
      <x:c r="V424" s="6" t="n">
        <x:f>ROUND(U424*'Debt strategy'!$D$12/12,2)</x:f>
        <x:v>0</x:v>
      </x:c>
      <x:c r="W424" s="6" t="n">
        <x:f>MIN(U424+V424,'Debt strategy'!$E$12)</x:f>
        <x:v>0</x:v>
      </x:c>
      <x:c r="X424" s="27" t="n">
        <x:f>IF(U424+V424-W424&lt;=0,99,1+SUM(IF(AND(C424+D424-E424&gt;0,OR(C424+D424-E424&lt;U424+V424-W424,AND(C424+D424-E424=U424+V424-W424,0&lt;3))),1,0),IF(AND(I424+J424-K424&gt;0,OR(I424+J424-K424&lt;U424+V424-W424,AND(I424+J424-K424=U424+V424-W424,1&lt;3))),1,0),IF(AND(O424+P424-Q424&gt;0,OR(O424+P424-Q424&lt;U424+V424-W424,AND(O424+P424-Q424=U424+V424-W424,2&lt;3))),1,0),IF(AND(AA424+AB424-AC424&gt;0,OR(AA424+AB424-AC424&lt;U424+V424-W424,AND(AA424+AB424-AC424=U424+V424-W424,4&lt;3))),1,0)))</x:f>
        <x:v>99</x:v>
      </x:c>
      <x:c r="Y424" s="6" t="n">
        <x:f>IF('Debt strategy'!$C$16&gt;0,0,MIN(U424+V424-W424,MAX(0,'Debt strategy'!$C$5-SUM(E424,K424,Q424,W424,AC424)-SUM(IF(F424&lt;X424,C424+D424-E424,0),IF(L424&lt;X424,I424+J424-K424,0),IF(R424&lt;X424,O424+P424-Q424,0),IF(AD424&lt;X424,AA424+AB424-AC424,0)))))</x:f>
        <x:v>0</x:v>
      </x:c>
      <x:c r="Z424" s="6" t="n">
        <x:f>ROUND(MAX(0,U424+V424-W424-Y424),2)</x:f>
        <x:v>0</x:v>
      </x:c>
      <x:c r="AA424" s="6" t="n">
        <x:f>AF423</x:f>
        <x:v>0</x:v>
      </x:c>
      <x:c r="AB424" s="6" t="n">
        <x:f>ROUND(AA424*'Debt strategy'!$D$13/12,2)</x:f>
        <x:v>0</x:v>
      </x:c>
      <x:c r="AC424" s="6" t="n">
        <x:f>MIN(AA424+AB424,'Debt strategy'!$E$13)</x:f>
        <x:v>0</x:v>
      </x:c>
      <x:c r="AD424" s="27" t="n">
        <x:f>IF(AA424+AB424-AC424&lt;=0,99,1+SUM(IF(AND(C424+D424-E424&gt;0,OR(C424+D424-E424&lt;AA424+AB424-AC424,AND(C424+D424-E424=AA424+AB424-AC424,0&lt;4))),1,0),IF(AND(I424+J424-K424&gt;0,OR(I424+J424-K424&lt;AA424+AB424-AC424,AND(I424+J424-K424=AA424+AB424-AC424,1&lt;4))),1,0),IF(AND(O424+P424-Q424&gt;0,OR(O424+P424-Q424&lt;AA424+AB424-AC424,AND(O424+P424-Q424=AA424+AB424-AC424,2&lt;4))),1,0),IF(AND(U424+V424-W424&gt;0,OR(U424+V424-W424&lt;AA424+AB424-AC424,AND(U424+V424-W424=AA424+AB424-AC424,3&lt;4))),1,0)))</x:f>
        <x:v>99</x:v>
      </x:c>
      <x:c r="AE424" s="6" t="n">
        <x:f>IF('Debt strategy'!$C$16&gt;0,0,MIN(AA424+AB424-AC424,MAX(0,'Debt strategy'!$C$5-SUM(E424,K424,Q424,W424,AC424)-SUM(IF(F424&lt;AD424,C424+D424-E424,0),IF(L424&lt;AD424,I424+J424-K424,0),IF(R424&lt;AD424,O424+P424-Q424,0),IF(X424&lt;AD424,U424+V424-W424,0)))))</x:f>
        <x:v>0</x:v>
      </x:c>
      <x:c r="AF424" s="6" t="n">
        <x:f>ROUND(MAX(0,AA424+AB424-AC424-AE424),2)</x:f>
        <x:v>0</x:v>
      </x:c>
      <x:c r="AG424" s="6" t="n">
        <x:f>SUM(H424,N424,T424,Z424,AF424)</x:f>
        <x:v>0</x:v>
      </x:c>
      <x:c r="AH424" s="6" t="n">
        <x:f>SUM(D424,J424,P424,V424,AB424)+AH423</x:f>
        <x:v>1353.9499999999996</x:v>
      </x:c>
      <x:c r="AI424" s="2"/>
    </x:row>
    <x:row r="425" ht="23" customHeight="1">
      <x:c r="B425" s="2" t="n">
        <x:f>417</x:f>
        <x:v>417</x:v>
      </x:c>
      <x:c r="C425" s="6" t="n">
        <x:f>H424</x:f>
        <x:v>0</x:v>
      </x:c>
      <x:c r="D425" s="6" t="n">
        <x:f>ROUND(C425*'Debt strategy'!$D$9/12,2)</x:f>
        <x:v>0</x:v>
      </x:c>
      <x:c r="E425" s="6" t="n">
        <x:f>MIN(C425+D425,'Debt strategy'!$E$9)</x:f>
        <x:v>0</x:v>
      </x:c>
      <x:c r="F425" s="27" t="n">
        <x:f>IF(C425+D425-E425&lt;=0,99,1+SUM(IF(AND(I425+J425-K425&gt;0,OR(I425+J425-K425&lt;C425+D425-E425,AND(I425+J425-K425=C425+D425-E425,1&lt;0))),1,0),IF(AND(O425+P425-Q425&gt;0,OR(O425+P425-Q425&lt;C425+D425-E425,AND(O425+P425-Q425=C425+D425-E425,2&lt;0))),1,0),IF(AND(U425+V425-W425&gt;0,OR(U425+V425-W425&lt;C425+D425-E425,AND(U425+V425-W425=C425+D425-E425,3&lt;0))),1,0),IF(AND(AA425+AB425-AC425&gt;0,OR(AA425+AB425-AC425&lt;C425+D425-E425,AND(AA425+AB425-AC425=C425+D425-E425,4&lt;0))),1,0)))</x:f>
        <x:v>99</x:v>
      </x:c>
      <x:c r="G425" s="6" t="n">
        <x:f>IF('Debt strategy'!$C$16&gt;0,0,MIN(C425+D425-E425,MAX(0,'Debt strategy'!$C$5-SUM(E425,K425,Q425,W425,AC425)-SUM(IF(L425&lt;F425,I425+J425-K425,0),IF(R425&lt;F425,O425+P425-Q425,0),IF(X425&lt;F425,U425+V425-W425,0),IF(AD425&lt;F425,AA425+AB425-AC425,0)))))</x:f>
        <x:v>0</x:v>
      </x:c>
      <x:c r="H425" s="6" t="n">
        <x:f>ROUND(MAX(0,C425+D425-E425-G425),2)</x:f>
        <x:v>0</x:v>
      </x:c>
      <x:c r="I425" s="6" t="n">
        <x:f>N424</x:f>
        <x:v>0</x:v>
      </x:c>
      <x:c r="J425" s="6" t="n">
        <x:f>ROUND(I425*'Debt strategy'!$D$10/12,2)</x:f>
        <x:v>0</x:v>
      </x:c>
      <x:c r="K425" s="6" t="n">
        <x:f>MIN(I425+J425,'Debt strategy'!$E$10)</x:f>
        <x:v>0</x:v>
      </x:c>
      <x:c r="L425" s="27" t="n">
        <x:f>IF(I425+J425-K425&lt;=0,99,1+SUM(IF(AND(C425+D425-E425&gt;0,OR(C425+D425-E425&lt;I425+J425-K425,AND(C425+D425-E425=I425+J425-K425,0&lt;1))),1,0),IF(AND(O425+P425-Q425&gt;0,OR(O425+P425-Q425&lt;I425+J425-K425,AND(O425+P425-Q425=I425+J425-K425,2&lt;1))),1,0),IF(AND(U425+V425-W425&gt;0,OR(U425+V425-W425&lt;I425+J425-K425,AND(U425+V425-W425=I425+J425-K425,3&lt;1))),1,0),IF(AND(AA425+AB425-AC425&gt;0,OR(AA425+AB425-AC425&lt;I425+J425-K425,AND(AA425+AB425-AC425=I425+J425-K425,4&lt;1))),1,0)))</x:f>
        <x:v>99</x:v>
      </x:c>
      <x:c r="M425" s="6" t="n">
        <x:f>IF('Debt strategy'!$C$16&gt;0,0,MIN(I425+J425-K425,MAX(0,'Debt strategy'!$C$5-SUM(E425,K425,Q425,W425,AC425)-SUM(IF(F425&lt;L425,C425+D425-E425,0),IF(R425&lt;L425,O425+P425-Q425,0),IF(X425&lt;L425,U425+V425-W425,0),IF(AD425&lt;L425,AA425+AB425-AC425,0)))))</x:f>
        <x:v>0</x:v>
      </x:c>
      <x:c r="N425" s="6" t="n">
        <x:f>ROUND(MAX(0,I425+J425-K425-M425),2)</x:f>
        <x:v>0</x:v>
      </x:c>
      <x:c r="O425" s="6" t="n">
        <x:f>T424</x:f>
        <x:v>0</x:v>
      </x:c>
      <x:c r="P425" s="6" t="n">
        <x:f>ROUND(O425*'Debt strategy'!$D$11/12,2)</x:f>
        <x:v>0</x:v>
      </x:c>
      <x:c r="Q425" s="6" t="n">
        <x:f>MIN(O425+P425,'Debt strategy'!$E$11)</x:f>
        <x:v>0</x:v>
      </x:c>
      <x:c r="R425" s="27" t="n">
        <x:f>IF(O425+P425-Q425&lt;=0,99,1+SUM(IF(AND(C425+D425-E425&gt;0,OR(C425+D425-E425&lt;O425+P425-Q425,AND(C425+D425-E425=O425+P425-Q425,0&lt;2))),1,0),IF(AND(I425+J425-K425&gt;0,OR(I425+J425-K425&lt;O425+P425-Q425,AND(I425+J425-K425=O425+P425-Q425,1&lt;2))),1,0),IF(AND(U425+V425-W425&gt;0,OR(U425+V425-W425&lt;O425+P425-Q425,AND(U425+V425-W425=O425+P425-Q425,3&lt;2))),1,0),IF(AND(AA425+AB425-AC425&gt;0,OR(AA425+AB425-AC425&lt;O425+P425-Q425,AND(AA425+AB425-AC425=O425+P425-Q425,4&lt;2))),1,0)))</x:f>
        <x:v>99</x:v>
      </x:c>
      <x:c r="S425" s="6" t="n">
        <x:f>IF('Debt strategy'!$C$16&gt;0,0,MIN(O425+P425-Q425,MAX(0,'Debt strategy'!$C$5-SUM(E425,K425,Q425,W425,AC425)-SUM(IF(F425&lt;R425,C425+D425-E425,0),IF(L425&lt;R425,I425+J425-K425,0),IF(X425&lt;R425,U425+V425-W425,0),IF(AD425&lt;R425,AA425+AB425-AC425,0)))))</x:f>
        <x:v>0</x:v>
      </x:c>
      <x:c r="T425" s="6" t="n">
        <x:f>ROUND(MAX(0,O425+P425-Q425-S425),2)</x:f>
        <x:v>0</x:v>
      </x:c>
      <x:c r="U425" s="6" t="n">
        <x:f>Z424</x:f>
        <x:v>0</x:v>
      </x:c>
      <x:c r="V425" s="6" t="n">
        <x:f>ROUND(U425*'Debt strategy'!$D$12/12,2)</x:f>
        <x:v>0</x:v>
      </x:c>
      <x:c r="W425" s="6" t="n">
        <x:f>MIN(U425+V425,'Debt strategy'!$E$12)</x:f>
        <x:v>0</x:v>
      </x:c>
      <x:c r="X425" s="27" t="n">
        <x:f>IF(U425+V425-W425&lt;=0,99,1+SUM(IF(AND(C425+D425-E425&gt;0,OR(C425+D425-E425&lt;U425+V425-W425,AND(C425+D425-E425=U425+V425-W425,0&lt;3))),1,0),IF(AND(I425+J425-K425&gt;0,OR(I425+J425-K425&lt;U425+V425-W425,AND(I425+J425-K425=U425+V425-W425,1&lt;3))),1,0),IF(AND(O425+P425-Q425&gt;0,OR(O425+P425-Q425&lt;U425+V425-W425,AND(O425+P425-Q425=U425+V425-W425,2&lt;3))),1,0),IF(AND(AA425+AB425-AC425&gt;0,OR(AA425+AB425-AC425&lt;U425+V425-W425,AND(AA425+AB425-AC425=U425+V425-W425,4&lt;3))),1,0)))</x:f>
        <x:v>99</x:v>
      </x:c>
      <x:c r="Y425" s="6" t="n">
        <x:f>IF('Debt strategy'!$C$16&gt;0,0,MIN(U425+V425-W425,MAX(0,'Debt strategy'!$C$5-SUM(E425,K425,Q425,W425,AC425)-SUM(IF(F425&lt;X425,C425+D425-E425,0),IF(L425&lt;X425,I425+J425-K425,0),IF(R425&lt;X425,O425+P425-Q425,0),IF(AD425&lt;X425,AA425+AB425-AC425,0)))))</x:f>
        <x:v>0</x:v>
      </x:c>
      <x:c r="Z425" s="6" t="n">
        <x:f>ROUND(MAX(0,U425+V425-W425-Y425),2)</x:f>
        <x:v>0</x:v>
      </x:c>
      <x:c r="AA425" s="6" t="n">
        <x:f>AF424</x:f>
        <x:v>0</x:v>
      </x:c>
      <x:c r="AB425" s="6" t="n">
        <x:f>ROUND(AA425*'Debt strategy'!$D$13/12,2)</x:f>
        <x:v>0</x:v>
      </x:c>
      <x:c r="AC425" s="6" t="n">
        <x:f>MIN(AA425+AB425,'Debt strategy'!$E$13)</x:f>
        <x:v>0</x:v>
      </x:c>
      <x:c r="AD425" s="27" t="n">
        <x:f>IF(AA425+AB425-AC425&lt;=0,99,1+SUM(IF(AND(C425+D425-E425&gt;0,OR(C425+D425-E425&lt;AA425+AB425-AC425,AND(C425+D425-E425=AA425+AB425-AC425,0&lt;4))),1,0),IF(AND(I425+J425-K425&gt;0,OR(I425+J425-K425&lt;AA425+AB425-AC425,AND(I425+J425-K425=AA425+AB425-AC425,1&lt;4))),1,0),IF(AND(O425+P425-Q425&gt;0,OR(O425+P425-Q425&lt;AA425+AB425-AC425,AND(O425+P425-Q425=AA425+AB425-AC425,2&lt;4))),1,0),IF(AND(U425+V425-W425&gt;0,OR(U425+V425-W425&lt;AA425+AB425-AC425,AND(U425+V425-W425=AA425+AB425-AC425,3&lt;4))),1,0)))</x:f>
        <x:v>99</x:v>
      </x:c>
      <x:c r="AE425" s="6" t="n">
        <x:f>IF('Debt strategy'!$C$16&gt;0,0,MIN(AA425+AB425-AC425,MAX(0,'Debt strategy'!$C$5-SUM(E425,K425,Q425,W425,AC425)-SUM(IF(F425&lt;AD425,C425+D425-E425,0),IF(L425&lt;AD425,I425+J425-K425,0),IF(R425&lt;AD425,O425+P425-Q425,0),IF(X425&lt;AD425,U425+V425-W425,0)))))</x:f>
        <x:v>0</x:v>
      </x:c>
      <x:c r="AF425" s="6" t="n">
        <x:f>ROUND(MAX(0,AA425+AB425-AC425-AE425),2)</x:f>
        <x:v>0</x:v>
      </x:c>
      <x:c r="AG425" s="6" t="n">
        <x:f>SUM(H425,N425,T425,Z425,AF425)</x:f>
        <x:v>0</x:v>
      </x:c>
      <x:c r="AH425" s="6" t="n">
        <x:f>SUM(D425,J425,P425,V425,AB425)+AH424</x:f>
        <x:v>1353.9499999999996</x:v>
      </x:c>
      <x:c r="AI425" s="2"/>
    </x:row>
    <x:row r="426" ht="23" customHeight="1">
      <x:c r="B426" s="2" t="n">
        <x:f>418</x:f>
        <x:v>418</x:v>
      </x:c>
      <x:c r="C426" s="6" t="n">
        <x:f>H425</x:f>
        <x:v>0</x:v>
      </x:c>
      <x:c r="D426" s="6" t="n">
        <x:f>ROUND(C426*'Debt strategy'!$D$9/12,2)</x:f>
        <x:v>0</x:v>
      </x:c>
      <x:c r="E426" s="6" t="n">
        <x:f>MIN(C426+D426,'Debt strategy'!$E$9)</x:f>
        <x:v>0</x:v>
      </x:c>
      <x:c r="F426" s="27" t="n">
        <x:f>IF(C426+D426-E426&lt;=0,99,1+SUM(IF(AND(I426+J426-K426&gt;0,OR(I426+J426-K426&lt;C426+D426-E426,AND(I426+J426-K426=C426+D426-E426,1&lt;0))),1,0),IF(AND(O426+P426-Q426&gt;0,OR(O426+P426-Q426&lt;C426+D426-E426,AND(O426+P426-Q426=C426+D426-E426,2&lt;0))),1,0),IF(AND(U426+V426-W426&gt;0,OR(U426+V426-W426&lt;C426+D426-E426,AND(U426+V426-W426=C426+D426-E426,3&lt;0))),1,0),IF(AND(AA426+AB426-AC426&gt;0,OR(AA426+AB426-AC426&lt;C426+D426-E426,AND(AA426+AB426-AC426=C426+D426-E426,4&lt;0))),1,0)))</x:f>
        <x:v>99</x:v>
      </x:c>
      <x:c r="G426" s="6" t="n">
        <x:f>IF('Debt strategy'!$C$16&gt;0,0,MIN(C426+D426-E426,MAX(0,'Debt strategy'!$C$5-SUM(E426,K426,Q426,W426,AC426)-SUM(IF(L426&lt;F426,I426+J426-K426,0),IF(R426&lt;F426,O426+P426-Q426,0),IF(X426&lt;F426,U426+V426-W426,0),IF(AD426&lt;F426,AA426+AB426-AC426,0)))))</x:f>
        <x:v>0</x:v>
      </x:c>
      <x:c r="H426" s="6" t="n">
        <x:f>ROUND(MAX(0,C426+D426-E426-G426),2)</x:f>
        <x:v>0</x:v>
      </x:c>
      <x:c r="I426" s="6" t="n">
        <x:f>N425</x:f>
        <x:v>0</x:v>
      </x:c>
      <x:c r="J426" s="6" t="n">
        <x:f>ROUND(I426*'Debt strategy'!$D$10/12,2)</x:f>
        <x:v>0</x:v>
      </x:c>
      <x:c r="K426" s="6" t="n">
        <x:f>MIN(I426+J426,'Debt strategy'!$E$10)</x:f>
        <x:v>0</x:v>
      </x:c>
      <x:c r="L426" s="27" t="n">
        <x:f>IF(I426+J426-K426&lt;=0,99,1+SUM(IF(AND(C426+D426-E426&gt;0,OR(C426+D426-E426&lt;I426+J426-K426,AND(C426+D426-E426=I426+J426-K426,0&lt;1))),1,0),IF(AND(O426+P426-Q426&gt;0,OR(O426+P426-Q426&lt;I426+J426-K426,AND(O426+P426-Q426=I426+J426-K426,2&lt;1))),1,0),IF(AND(U426+V426-W426&gt;0,OR(U426+V426-W426&lt;I426+J426-K426,AND(U426+V426-W426=I426+J426-K426,3&lt;1))),1,0),IF(AND(AA426+AB426-AC426&gt;0,OR(AA426+AB426-AC426&lt;I426+J426-K426,AND(AA426+AB426-AC426=I426+J426-K426,4&lt;1))),1,0)))</x:f>
        <x:v>99</x:v>
      </x:c>
      <x:c r="M426" s="6" t="n">
        <x:f>IF('Debt strategy'!$C$16&gt;0,0,MIN(I426+J426-K426,MAX(0,'Debt strategy'!$C$5-SUM(E426,K426,Q426,W426,AC426)-SUM(IF(F426&lt;L426,C426+D426-E426,0),IF(R426&lt;L426,O426+P426-Q426,0),IF(X426&lt;L426,U426+V426-W426,0),IF(AD426&lt;L426,AA426+AB426-AC426,0)))))</x:f>
        <x:v>0</x:v>
      </x:c>
      <x:c r="N426" s="6" t="n">
        <x:f>ROUND(MAX(0,I426+J426-K426-M426),2)</x:f>
        <x:v>0</x:v>
      </x:c>
      <x:c r="O426" s="6" t="n">
        <x:f>T425</x:f>
        <x:v>0</x:v>
      </x:c>
      <x:c r="P426" s="6" t="n">
        <x:f>ROUND(O426*'Debt strategy'!$D$11/12,2)</x:f>
        <x:v>0</x:v>
      </x:c>
      <x:c r="Q426" s="6" t="n">
        <x:f>MIN(O426+P426,'Debt strategy'!$E$11)</x:f>
        <x:v>0</x:v>
      </x:c>
      <x:c r="R426" s="27" t="n">
        <x:f>IF(O426+P426-Q426&lt;=0,99,1+SUM(IF(AND(C426+D426-E426&gt;0,OR(C426+D426-E426&lt;O426+P426-Q426,AND(C426+D426-E426=O426+P426-Q426,0&lt;2))),1,0),IF(AND(I426+J426-K426&gt;0,OR(I426+J426-K426&lt;O426+P426-Q426,AND(I426+J426-K426=O426+P426-Q426,1&lt;2))),1,0),IF(AND(U426+V426-W426&gt;0,OR(U426+V426-W426&lt;O426+P426-Q426,AND(U426+V426-W426=O426+P426-Q426,3&lt;2))),1,0),IF(AND(AA426+AB426-AC426&gt;0,OR(AA426+AB426-AC426&lt;O426+P426-Q426,AND(AA426+AB426-AC426=O426+P426-Q426,4&lt;2))),1,0)))</x:f>
        <x:v>99</x:v>
      </x:c>
      <x:c r="S426" s="6" t="n">
        <x:f>IF('Debt strategy'!$C$16&gt;0,0,MIN(O426+P426-Q426,MAX(0,'Debt strategy'!$C$5-SUM(E426,K426,Q426,W426,AC426)-SUM(IF(F426&lt;R426,C426+D426-E426,0),IF(L426&lt;R426,I426+J426-K426,0),IF(X426&lt;R426,U426+V426-W426,0),IF(AD426&lt;R426,AA426+AB426-AC426,0)))))</x:f>
        <x:v>0</x:v>
      </x:c>
      <x:c r="T426" s="6" t="n">
        <x:f>ROUND(MAX(0,O426+P426-Q426-S426),2)</x:f>
        <x:v>0</x:v>
      </x:c>
      <x:c r="U426" s="6" t="n">
        <x:f>Z425</x:f>
        <x:v>0</x:v>
      </x:c>
      <x:c r="V426" s="6" t="n">
        <x:f>ROUND(U426*'Debt strategy'!$D$12/12,2)</x:f>
        <x:v>0</x:v>
      </x:c>
      <x:c r="W426" s="6" t="n">
        <x:f>MIN(U426+V426,'Debt strategy'!$E$12)</x:f>
        <x:v>0</x:v>
      </x:c>
      <x:c r="X426" s="27" t="n">
        <x:f>IF(U426+V426-W426&lt;=0,99,1+SUM(IF(AND(C426+D426-E426&gt;0,OR(C426+D426-E426&lt;U426+V426-W426,AND(C426+D426-E426=U426+V426-W426,0&lt;3))),1,0),IF(AND(I426+J426-K426&gt;0,OR(I426+J426-K426&lt;U426+V426-W426,AND(I426+J426-K426=U426+V426-W426,1&lt;3))),1,0),IF(AND(O426+P426-Q426&gt;0,OR(O426+P426-Q426&lt;U426+V426-W426,AND(O426+P426-Q426=U426+V426-W426,2&lt;3))),1,0),IF(AND(AA426+AB426-AC426&gt;0,OR(AA426+AB426-AC426&lt;U426+V426-W426,AND(AA426+AB426-AC426=U426+V426-W426,4&lt;3))),1,0)))</x:f>
        <x:v>99</x:v>
      </x:c>
      <x:c r="Y426" s="6" t="n">
        <x:f>IF('Debt strategy'!$C$16&gt;0,0,MIN(U426+V426-W426,MAX(0,'Debt strategy'!$C$5-SUM(E426,K426,Q426,W426,AC426)-SUM(IF(F426&lt;X426,C426+D426-E426,0),IF(L426&lt;X426,I426+J426-K426,0),IF(R426&lt;X426,O426+P426-Q426,0),IF(AD426&lt;X426,AA426+AB426-AC426,0)))))</x:f>
        <x:v>0</x:v>
      </x:c>
      <x:c r="Z426" s="6" t="n">
        <x:f>ROUND(MAX(0,U426+V426-W426-Y426),2)</x:f>
        <x:v>0</x:v>
      </x:c>
      <x:c r="AA426" s="6" t="n">
        <x:f>AF425</x:f>
        <x:v>0</x:v>
      </x:c>
      <x:c r="AB426" s="6" t="n">
        <x:f>ROUND(AA426*'Debt strategy'!$D$13/12,2)</x:f>
        <x:v>0</x:v>
      </x:c>
      <x:c r="AC426" s="6" t="n">
        <x:f>MIN(AA426+AB426,'Debt strategy'!$E$13)</x:f>
        <x:v>0</x:v>
      </x:c>
      <x:c r="AD426" s="27" t="n">
        <x:f>IF(AA426+AB426-AC426&lt;=0,99,1+SUM(IF(AND(C426+D426-E426&gt;0,OR(C426+D426-E426&lt;AA426+AB426-AC426,AND(C426+D426-E426=AA426+AB426-AC426,0&lt;4))),1,0),IF(AND(I426+J426-K426&gt;0,OR(I426+J426-K426&lt;AA426+AB426-AC426,AND(I426+J426-K426=AA426+AB426-AC426,1&lt;4))),1,0),IF(AND(O426+P426-Q426&gt;0,OR(O426+P426-Q426&lt;AA426+AB426-AC426,AND(O426+P426-Q426=AA426+AB426-AC426,2&lt;4))),1,0),IF(AND(U426+V426-W426&gt;0,OR(U426+V426-W426&lt;AA426+AB426-AC426,AND(U426+V426-W426=AA426+AB426-AC426,3&lt;4))),1,0)))</x:f>
        <x:v>99</x:v>
      </x:c>
      <x:c r="AE426" s="6" t="n">
        <x:f>IF('Debt strategy'!$C$16&gt;0,0,MIN(AA426+AB426-AC426,MAX(0,'Debt strategy'!$C$5-SUM(E426,K426,Q426,W426,AC426)-SUM(IF(F426&lt;AD426,C426+D426-E426,0),IF(L426&lt;AD426,I426+J426-K426,0),IF(R426&lt;AD426,O426+P426-Q426,0),IF(X426&lt;AD426,U426+V426-W426,0)))))</x:f>
        <x:v>0</x:v>
      </x:c>
      <x:c r="AF426" s="6" t="n">
        <x:f>ROUND(MAX(0,AA426+AB426-AC426-AE426),2)</x:f>
        <x:v>0</x:v>
      </x:c>
      <x:c r="AG426" s="6" t="n">
        <x:f>SUM(H426,N426,T426,Z426,AF426)</x:f>
        <x:v>0</x:v>
      </x:c>
      <x:c r="AH426" s="6" t="n">
        <x:f>SUM(D426,J426,P426,V426,AB426)+AH425</x:f>
        <x:v>1353.9499999999996</x:v>
      </x:c>
      <x:c r="AI426" s="2"/>
    </x:row>
    <x:row r="427" ht="23" customHeight="1">
      <x:c r="B427" s="2" t="n">
        <x:f>419</x:f>
        <x:v>419</x:v>
      </x:c>
      <x:c r="C427" s="6" t="n">
        <x:f>H426</x:f>
        <x:v>0</x:v>
      </x:c>
      <x:c r="D427" s="6" t="n">
        <x:f>ROUND(C427*'Debt strategy'!$D$9/12,2)</x:f>
        <x:v>0</x:v>
      </x:c>
      <x:c r="E427" s="6" t="n">
        <x:f>MIN(C427+D427,'Debt strategy'!$E$9)</x:f>
        <x:v>0</x:v>
      </x:c>
      <x:c r="F427" s="27" t="n">
        <x:f>IF(C427+D427-E427&lt;=0,99,1+SUM(IF(AND(I427+J427-K427&gt;0,OR(I427+J427-K427&lt;C427+D427-E427,AND(I427+J427-K427=C427+D427-E427,1&lt;0))),1,0),IF(AND(O427+P427-Q427&gt;0,OR(O427+P427-Q427&lt;C427+D427-E427,AND(O427+P427-Q427=C427+D427-E427,2&lt;0))),1,0),IF(AND(U427+V427-W427&gt;0,OR(U427+V427-W427&lt;C427+D427-E427,AND(U427+V427-W427=C427+D427-E427,3&lt;0))),1,0),IF(AND(AA427+AB427-AC427&gt;0,OR(AA427+AB427-AC427&lt;C427+D427-E427,AND(AA427+AB427-AC427=C427+D427-E427,4&lt;0))),1,0)))</x:f>
        <x:v>99</x:v>
      </x:c>
      <x:c r="G427" s="6" t="n">
        <x:f>IF('Debt strategy'!$C$16&gt;0,0,MIN(C427+D427-E427,MAX(0,'Debt strategy'!$C$5-SUM(E427,K427,Q427,W427,AC427)-SUM(IF(L427&lt;F427,I427+J427-K427,0),IF(R427&lt;F427,O427+P427-Q427,0),IF(X427&lt;F427,U427+V427-W427,0),IF(AD427&lt;F427,AA427+AB427-AC427,0)))))</x:f>
        <x:v>0</x:v>
      </x:c>
      <x:c r="H427" s="6" t="n">
        <x:f>ROUND(MAX(0,C427+D427-E427-G427),2)</x:f>
        <x:v>0</x:v>
      </x:c>
      <x:c r="I427" s="6" t="n">
        <x:f>N426</x:f>
        <x:v>0</x:v>
      </x:c>
      <x:c r="J427" s="6" t="n">
        <x:f>ROUND(I427*'Debt strategy'!$D$10/12,2)</x:f>
        <x:v>0</x:v>
      </x:c>
      <x:c r="K427" s="6" t="n">
        <x:f>MIN(I427+J427,'Debt strategy'!$E$10)</x:f>
        <x:v>0</x:v>
      </x:c>
      <x:c r="L427" s="27" t="n">
        <x:f>IF(I427+J427-K427&lt;=0,99,1+SUM(IF(AND(C427+D427-E427&gt;0,OR(C427+D427-E427&lt;I427+J427-K427,AND(C427+D427-E427=I427+J427-K427,0&lt;1))),1,0),IF(AND(O427+P427-Q427&gt;0,OR(O427+P427-Q427&lt;I427+J427-K427,AND(O427+P427-Q427=I427+J427-K427,2&lt;1))),1,0),IF(AND(U427+V427-W427&gt;0,OR(U427+V427-W427&lt;I427+J427-K427,AND(U427+V427-W427=I427+J427-K427,3&lt;1))),1,0),IF(AND(AA427+AB427-AC427&gt;0,OR(AA427+AB427-AC427&lt;I427+J427-K427,AND(AA427+AB427-AC427=I427+J427-K427,4&lt;1))),1,0)))</x:f>
        <x:v>99</x:v>
      </x:c>
      <x:c r="M427" s="6" t="n">
        <x:f>IF('Debt strategy'!$C$16&gt;0,0,MIN(I427+J427-K427,MAX(0,'Debt strategy'!$C$5-SUM(E427,K427,Q427,W427,AC427)-SUM(IF(F427&lt;L427,C427+D427-E427,0),IF(R427&lt;L427,O427+P427-Q427,0),IF(X427&lt;L427,U427+V427-W427,0),IF(AD427&lt;L427,AA427+AB427-AC427,0)))))</x:f>
        <x:v>0</x:v>
      </x:c>
      <x:c r="N427" s="6" t="n">
        <x:f>ROUND(MAX(0,I427+J427-K427-M427),2)</x:f>
        <x:v>0</x:v>
      </x:c>
      <x:c r="O427" s="6" t="n">
        <x:f>T426</x:f>
        <x:v>0</x:v>
      </x:c>
      <x:c r="P427" s="6" t="n">
        <x:f>ROUND(O427*'Debt strategy'!$D$11/12,2)</x:f>
        <x:v>0</x:v>
      </x:c>
      <x:c r="Q427" s="6" t="n">
        <x:f>MIN(O427+P427,'Debt strategy'!$E$11)</x:f>
        <x:v>0</x:v>
      </x:c>
      <x:c r="R427" s="27" t="n">
        <x:f>IF(O427+P427-Q427&lt;=0,99,1+SUM(IF(AND(C427+D427-E427&gt;0,OR(C427+D427-E427&lt;O427+P427-Q427,AND(C427+D427-E427=O427+P427-Q427,0&lt;2))),1,0),IF(AND(I427+J427-K427&gt;0,OR(I427+J427-K427&lt;O427+P427-Q427,AND(I427+J427-K427=O427+P427-Q427,1&lt;2))),1,0),IF(AND(U427+V427-W427&gt;0,OR(U427+V427-W427&lt;O427+P427-Q427,AND(U427+V427-W427=O427+P427-Q427,3&lt;2))),1,0),IF(AND(AA427+AB427-AC427&gt;0,OR(AA427+AB427-AC427&lt;O427+P427-Q427,AND(AA427+AB427-AC427=O427+P427-Q427,4&lt;2))),1,0)))</x:f>
        <x:v>99</x:v>
      </x:c>
      <x:c r="S427" s="6" t="n">
        <x:f>IF('Debt strategy'!$C$16&gt;0,0,MIN(O427+P427-Q427,MAX(0,'Debt strategy'!$C$5-SUM(E427,K427,Q427,W427,AC427)-SUM(IF(F427&lt;R427,C427+D427-E427,0),IF(L427&lt;R427,I427+J427-K427,0),IF(X427&lt;R427,U427+V427-W427,0),IF(AD427&lt;R427,AA427+AB427-AC427,0)))))</x:f>
        <x:v>0</x:v>
      </x:c>
      <x:c r="T427" s="6" t="n">
        <x:f>ROUND(MAX(0,O427+P427-Q427-S427),2)</x:f>
        <x:v>0</x:v>
      </x:c>
      <x:c r="U427" s="6" t="n">
        <x:f>Z426</x:f>
        <x:v>0</x:v>
      </x:c>
      <x:c r="V427" s="6" t="n">
        <x:f>ROUND(U427*'Debt strategy'!$D$12/12,2)</x:f>
        <x:v>0</x:v>
      </x:c>
      <x:c r="W427" s="6" t="n">
        <x:f>MIN(U427+V427,'Debt strategy'!$E$12)</x:f>
        <x:v>0</x:v>
      </x:c>
      <x:c r="X427" s="27" t="n">
        <x:f>IF(U427+V427-W427&lt;=0,99,1+SUM(IF(AND(C427+D427-E427&gt;0,OR(C427+D427-E427&lt;U427+V427-W427,AND(C427+D427-E427=U427+V427-W427,0&lt;3))),1,0),IF(AND(I427+J427-K427&gt;0,OR(I427+J427-K427&lt;U427+V427-W427,AND(I427+J427-K427=U427+V427-W427,1&lt;3))),1,0),IF(AND(O427+P427-Q427&gt;0,OR(O427+P427-Q427&lt;U427+V427-W427,AND(O427+P427-Q427=U427+V427-W427,2&lt;3))),1,0),IF(AND(AA427+AB427-AC427&gt;0,OR(AA427+AB427-AC427&lt;U427+V427-W427,AND(AA427+AB427-AC427=U427+V427-W427,4&lt;3))),1,0)))</x:f>
        <x:v>99</x:v>
      </x:c>
      <x:c r="Y427" s="6" t="n">
        <x:f>IF('Debt strategy'!$C$16&gt;0,0,MIN(U427+V427-W427,MAX(0,'Debt strategy'!$C$5-SUM(E427,K427,Q427,W427,AC427)-SUM(IF(F427&lt;X427,C427+D427-E427,0),IF(L427&lt;X427,I427+J427-K427,0),IF(R427&lt;X427,O427+P427-Q427,0),IF(AD427&lt;X427,AA427+AB427-AC427,0)))))</x:f>
        <x:v>0</x:v>
      </x:c>
      <x:c r="Z427" s="6" t="n">
        <x:f>ROUND(MAX(0,U427+V427-W427-Y427),2)</x:f>
        <x:v>0</x:v>
      </x:c>
      <x:c r="AA427" s="6" t="n">
        <x:f>AF426</x:f>
        <x:v>0</x:v>
      </x:c>
      <x:c r="AB427" s="6" t="n">
        <x:f>ROUND(AA427*'Debt strategy'!$D$13/12,2)</x:f>
        <x:v>0</x:v>
      </x:c>
      <x:c r="AC427" s="6" t="n">
        <x:f>MIN(AA427+AB427,'Debt strategy'!$E$13)</x:f>
        <x:v>0</x:v>
      </x:c>
      <x:c r="AD427" s="27" t="n">
        <x:f>IF(AA427+AB427-AC427&lt;=0,99,1+SUM(IF(AND(C427+D427-E427&gt;0,OR(C427+D427-E427&lt;AA427+AB427-AC427,AND(C427+D427-E427=AA427+AB427-AC427,0&lt;4))),1,0),IF(AND(I427+J427-K427&gt;0,OR(I427+J427-K427&lt;AA427+AB427-AC427,AND(I427+J427-K427=AA427+AB427-AC427,1&lt;4))),1,0),IF(AND(O427+P427-Q427&gt;0,OR(O427+P427-Q427&lt;AA427+AB427-AC427,AND(O427+P427-Q427=AA427+AB427-AC427,2&lt;4))),1,0),IF(AND(U427+V427-W427&gt;0,OR(U427+V427-W427&lt;AA427+AB427-AC427,AND(U427+V427-W427=AA427+AB427-AC427,3&lt;4))),1,0)))</x:f>
        <x:v>99</x:v>
      </x:c>
      <x:c r="AE427" s="6" t="n">
        <x:f>IF('Debt strategy'!$C$16&gt;0,0,MIN(AA427+AB427-AC427,MAX(0,'Debt strategy'!$C$5-SUM(E427,K427,Q427,W427,AC427)-SUM(IF(F427&lt;AD427,C427+D427-E427,0),IF(L427&lt;AD427,I427+J427-K427,0),IF(R427&lt;AD427,O427+P427-Q427,0),IF(X427&lt;AD427,U427+V427-W427,0)))))</x:f>
        <x:v>0</x:v>
      </x:c>
      <x:c r="AF427" s="6" t="n">
        <x:f>ROUND(MAX(0,AA427+AB427-AC427-AE427),2)</x:f>
        <x:v>0</x:v>
      </x:c>
      <x:c r="AG427" s="6" t="n">
        <x:f>SUM(H427,N427,T427,Z427,AF427)</x:f>
        <x:v>0</x:v>
      </x:c>
      <x:c r="AH427" s="6" t="n">
        <x:f>SUM(D427,J427,P427,V427,AB427)+AH426</x:f>
        <x:v>1353.9499999999996</x:v>
      </x:c>
      <x:c r="AI427" s="2"/>
    </x:row>
    <x:row r="428" ht="23" customHeight="1">
      <x:c r="B428" s="2" t="n">
        <x:f>420</x:f>
        <x:v>420</x:v>
      </x:c>
      <x:c r="C428" s="6" t="n">
        <x:f>H427</x:f>
        <x:v>0</x:v>
      </x:c>
      <x:c r="D428" s="6" t="n">
        <x:f>ROUND(C428*'Debt strategy'!$D$9/12,2)</x:f>
        <x:v>0</x:v>
      </x:c>
      <x:c r="E428" s="6" t="n">
        <x:f>MIN(C428+D428,'Debt strategy'!$E$9)</x:f>
        <x:v>0</x:v>
      </x:c>
      <x:c r="F428" s="27" t="n">
        <x:f>IF(C428+D428-E428&lt;=0,99,1+SUM(IF(AND(I428+J428-K428&gt;0,OR(I428+J428-K428&lt;C428+D428-E428,AND(I428+J428-K428=C428+D428-E428,1&lt;0))),1,0),IF(AND(O428+P428-Q428&gt;0,OR(O428+P428-Q428&lt;C428+D428-E428,AND(O428+P428-Q428=C428+D428-E428,2&lt;0))),1,0),IF(AND(U428+V428-W428&gt;0,OR(U428+V428-W428&lt;C428+D428-E428,AND(U428+V428-W428=C428+D428-E428,3&lt;0))),1,0),IF(AND(AA428+AB428-AC428&gt;0,OR(AA428+AB428-AC428&lt;C428+D428-E428,AND(AA428+AB428-AC428=C428+D428-E428,4&lt;0))),1,0)))</x:f>
        <x:v>99</x:v>
      </x:c>
      <x:c r="G428" s="6" t="n">
        <x:f>IF('Debt strategy'!$C$16&gt;0,0,MIN(C428+D428-E428,MAX(0,'Debt strategy'!$C$5-SUM(E428,K428,Q428,W428,AC428)-SUM(IF(L428&lt;F428,I428+J428-K428,0),IF(R428&lt;F428,O428+P428-Q428,0),IF(X428&lt;F428,U428+V428-W428,0),IF(AD428&lt;F428,AA428+AB428-AC428,0)))))</x:f>
        <x:v>0</x:v>
      </x:c>
      <x:c r="H428" s="6" t="n">
        <x:f>ROUND(MAX(0,C428+D428-E428-G428),2)</x:f>
        <x:v>0</x:v>
      </x:c>
      <x:c r="I428" s="6" t="n">
        <x:f>N427</x:f>
        <x:v>0</x:v>
      </x:c>
      <x:c r="J428" s="6" t="n">
        <x:f>ROUND(I428*'Debt strategy'!$D$10/12,2)</x:f>
        <x:v>0</x:v>
      </x:c>
      <x:c r="K428" s="6" t="n">
        <x:f>MIN(I428+J428,'Debt strategy'!$E$10)</x:f>
        <x:v>0</x:v>
      </x:c>
      <x:c r="L428" s="27" t="n">
        <x:f>IF(I428+J428-K428&lt;=0,99,1+SUM(IF(AND(C428+D428-E428&gt;0,OR(C428+D428-E428&lt;I428+J428-K428,AND(C428+D428-E428=I428+J428-K428,0&lt;1))),1,0),IF(AND(O428+P428-Q428&gt;0,OR(O428+P428-Q428&lt;I428+J428-K428,AND(O428+P428-Q428=I428+J428-K428,2&lt;1))),1,0),IF(AND(U428+V428-W428&gt;0,OR(U428+V428-W428&lt;I428+J428-K428,AND(U428+V428-W428=I428+J428-K428,3&lt;1))),1,0),IF(AND(AA428+AB428-AC428&gt;0,OR(AA428+AB428-AC428&lt;I428+J428-K428,AND(AA428+AB428-AC428=I428+J428-K428,4&lt;1))),1,0)))</x:f>
        <x:v>99</x:v>
      </x:c>
      <x:c r="M428" s="6" t="n">
        <x:f>IF('Debt strategy'!$C$16&gt;0,0,MIN(I428+J428-K428,MAX(0,'Debt strategy'!$C$5-SUM(E428,K428,Q428,W428,AC428)-SUM(IF(F428&lt;L428,C428+D428-E428,0),IF(R428&lt;L428,O428+P428-Q428,0),IF(X428&lt;L428,U428+V428-W428,0),IF(AD428&lt;L428,AA428+AB428-AC428,0)))))</x:f>
        <x:v>0</x:v>
      </x:c>
      <x:c r="N428" s="6" t="n">
        <x:f>ROUND(MAX(0,I428+J428-K428-M428),2)</x:f>
        <x:v>0</x:v>
      </x:c>
      <x:c r="O428" s="6" t="n">
        <x:f>T427</x:f>
        <x:v>0</x:v>
      </x:c>
      <x:c r="P428" s="6" t="n">
        <x:f>ROUND(O428*'Debt strategy'!$D$11/12,2)</x:f>
        <x:v>0</x:v>
      </x:c>
      <x:c r="Q428" s="6" t="n">
        <x:f>MIN(O428+P428,'Debt strategy'!$E$11)</x:f>
        <x:v>0</x:v>
      </x:c>
      <x:c r="R428" s="27" t="n">
        <x:f>IF(O428+P428-Q428&lt;=0,99,1+SUM(IF(AND(C428+D428-E428&gt;0,OR(C428+D428-E428&lt;O428+P428-Q428,AND(C428+D428-E428=O428+P428-Q428,0&lt;2))),1,0),IF(AND(I428+J428-K428&gt;0,OR(I428+J428-K428&lt;O428+P428-Q428,AND(I428+J428-K428=O428+P428-Q428,1&lt;2))),1,0),IF(AND(U428+V428-W428&gt;0,OR(U428+V428-W428&lt;O428+P428-Q428,AND(U428+V428-W428=O428+P428-Q428,3&lt;2))),1,0),IF(AND(AA428+AB428-AC428&gt;0,OR(AA428+AB428-AC428&lt;O428+P428-Q428,AND(AA428+AB428-AC428=O428+P428-Q428,4&lt;2))),1,0)))</x:f>
        <x:v>99</x:v>
      </x:c>
      <x:c r="S428" s="6" t="n">
        <x:f>IF('Debt strategy'!$C$16&gt;0,0,MIN(O428+P428-Q428,MAX(0,'Debt strategy'!$C$5-SUM(E428,K428,Q428,W428,AC428)-SUM(IF(F428&lt;R428,C428+D428-E428,0),IF(L428&lt;R428,I428+J428-K428,0),IF(X428&lt;R428,U428+V428-W428,0),IF(AD428&lt;R428,AA428+AB428-AC428,0)))))</x:f>
        <x:v>0</x:v>
      </x:c>
      <x:c r="T428" s="6" t="n">
        <x:f>ROUND(MAX(0,O428+P428-Q428-S428),2)</x:f>
        <x:v>0</x:v>
      </x:c>
      <x:c r="U428" s="6" t="n">
        <x:f>Z427</x:f>
        <x:v>0</x:v>
      </x:c>
      <x:c r="V428" s="6" t="n">
        <x:f>ROUND(U428*'Debt strategy'!$D$12/12,2)</x:f>
        <x:v>0</x:v>
      </x:c>
      <x:c r="W428" s="6" t="n">
        <x:f>MIN(U428+V428,'Debt strategy'!$E$12)</x:f>
        <x:v>0</x:v>
      </x:c>
      <x:c r="X428" s="27" t="n">
        <x:f>IF(U428+V428-W428&lt;=0,99,1+SUM(IF(AND(C428+D428-E428&gt;0,OR(C428+D428-E428&lt;U428+V428-W428,AND(C428+D428-E428=U428+V428-W428,0&lt;3))),1,0),IF(AND(I428+J428-K428&gt;0,OR(I428+J428-K428&lt;U428+V428-W428,AND(I428+J428-K428=U428+V428-W428,1&lt;3))),1,0),IF(AND(O428+P428-Q428&gt;0,OR(O428+P428-Q428&lt;U428+V428-W428,AND(O428+P428-Q428=U428+V428-W428,2&lt;3))),1,0),IF(AND(AA428+AB428-AC428&gt;0,OR(AA428+AB428-AC428&lt;U428+V428-W428,AND(AA428+AB428-AC428=U428+V428-W428,4&lt;3))),1,0)))</x:f>
        <x:v>99</x:v>
      </x:c>
      <x:c r="Y428" s="6" t="n">
        <x:f>IF('Debt strategy'!$C$16&gt;0,0,MIN(U428+V428-W428,MAX(0,'Debt strategy'!$C$5-SUM(E428,K428,Q428,W428,AC428)-SUM(IF(F428&lt;X428,C428+D428-E428,0),IF(L428&lt;X428,I428+J428-K428,0),IF(R428&lt;X428,O428+P428-Q428,0),IF(AD428&lt;X428,AA428+AB428-AC428,0)))))</x:f>
        <x:v>0</x:v>
      </x:c>
      <x:c r="Z428" s="6" t="n">
        <x:f>ROUND(MAX(0,U428+V428-W428-Y428),2)</x:f>
        <x:v>0</x:v>
      </x:c>
      <x:c r="AA428" s="6" t="n">
        <x:f>AF427</x:f>
        <x:v>0</x:v>
      </x:c>
      <x:c r="AB428" s="6" t="n">
        <x:f>ROUND(AA428*'Debt strategy'!$D$13/12,2)</x:f>
        <x:v>0</x:v>
      </x:c>
      <x:c r="AC428" s="6" t="n">
        <x:f>MIN(AA428+AB428,'Debt strategy'!$E$13)</x:f>
        <x:v>0</x:v>
      </x:c>
      <x:c r="AD428" s="27" t="n">
        <x:f>IF(AA428+AB428-AC428&lt;=0,99,1+SUM(IF(AND(C428+D428-E428&gt;0,OR(C428+D428-E428&lt;AA428+AB428-AC428,AND(C428+D428-E428=AA428+AB428-AC428,0&lt;4))),1,0),IF(AND(I428+J428-K428&gt;0,OR(I428+J428-K428&lt;AA428+AB428-AC428,AND(I428+J428-K428=AA428+AB428-AC428,1&lt;4))),1,0),IF(AND(O428+P428-Q428&gt;0,OR(O428+P428-Q428&lt;AA428+AB428-AC428,AND(O428+P428-Q428=AA428+AB428-AC428,2&lt;4))),1,0),IF(AND(U428+V428-W428&gt;0,OR(U428+V428-W428&lt;AA428+AB428-AC428,AND(U428+V428-W428=AA428+AB428-AC428,3&lt;4))),1,0)))</x:f>
        <x:v>99</x:v>
      </x:c>
      <x:c r="AE428" s="6" t="n">
        <x:f>IF('Debt strategy'!$C$16&gt;0,0,MIN(AA428+AB428-AC428,MAX(0,'Debt strategy'!$C$5-SUM(E428,K428,Q428,W428,AC428)-SUM(IF(F428&lt;AD428,C428+D428-E428,0),IF(L428&lt;AD428,I428+J428-K428,0),IF(R428&lt;AD428,O428+P428-Q428,0),IF(X428&lt;AD428,U428+V428-W428,0)))))</x:f>
        <x:v>0</x:v>
      </x:c>
      <x:c r="AF428" s="6" t="n">
        <x:f>ROUND(MAX(0,AA428+AB428-AC428-AE428),2)</x:f>
        <x:v>0</x:v>
      </x:c>
      <x:c r="AG428" s="6" t="n">
        <x:f>SUM(H428,N428,T428,Z428,AF428)</x:f>
        <x:v>0</x:v>
      </x:c>
      <x:c r="AH428" s="6" t="n">
        <x:f>SUM(D428,J428,P428,V428,AB428)+AH427</x:f>
        <x:v>1353.9499999999996</x:v>
      </x:c>
      <x:c r="AI428" s="2"/>
    </x:row>
    <x:row r="429" ht="23" customHeight="1">
      <x:c r="B429" s="2" t="n">
        <x:f>421</x:f>
        <x:v>421</x:v>
      </x:c>
      <x:c r="C429" s="6" t="n">
        <x:f>H428</x:f>
        <x:v>0</x:v>
      </x:c>
      <x:c r="D429" s="6" t="n">
        <x:f>ROUND(C429*'Debt strategy'!$D$9/12,2)</x:f>
        <x:v>0</x:v>
      </x:c>
      <x:c r="E429" s="6" t="n">
        <x:f>MIN(C429+D429,'Debt strategy'!$E$9)</x:f>
        <x:v>0</x:v>
      </x:c>
      <x:c r="F429" s="27" t="n">
        <x:f>IF(C429+D429-E429&lt;=0,99,1+SUM(IF(AND(I429+J429-K429&gt;0,OR(I429+J429-K429&lt;C429+D429-E429,AND(I429+J429-K429=C429+D429-E429,1&lt;0))),1,0),IF(AND(O429+P429-Q429&gt;0,OR(O429+P429-Q429&lt;C429+D429-E429,AND(O429+P429-Q429=C429+D429-E429,2&lt;0))),1,0),IF(AND(U429+V429-W429&gt;0,OR(U429+V429-W429&lt;C429+D429-E429,AND(U429+V429-W429=C429+D429-E429,3&lt;0))),1,0),IF(AND(AA429+AB429-AC429&gt;0,OR(AA429+AB429-AC429&lt;C429+D429-E429,AND(AA429+AB429-AC429=C429+D429-E429,4&lt;0))),1,0)))</x:f>
        <x:v>99</x:v>
      </x:c>
      <x:c r="G429" s="6" t="n">
        <x:f>IF('Debt strategy'!$C$16&gt;0,0,MIN(C429+D429-E429,MAX(0,'Debt strategy'!$C$5-SUM(E429,K429,Q429,W429,AC429)-SUM(IF(L429&lt;F429,I429+J429-K429,0),IF(R429&lt;F429,O429+P429-Q429,0),IF(X429&lt;F429,U429+V429-W429,0),IF(AD429&lt;F429,AA429+AB429-AC429,0)))))</x:f>
        <x:v>0</x:v>
      </x:c>
      <x:c r="H429" s="6" t="n">
        <x:f>ROUND(MAX(0,C429+D429-E429-G429),2)</x:f>
        <x:v>0</x:v>
      </x:c>
      <x:c r="I429" s="6" t="n">
        <x:f>N428</x:f>
        <x:v>0</x:v>
      </x:c>
      <x:c r="J429" s="6" t="n">
        <x:f>ROUND(I429*'Debt strategy'!$D$10/12,2)</x:f>
        <x:v>0</x:v>
      </x:c>
      <x:c r="K429" s="6" t="n">
        <x:f>MIN(I429+J429,'Debt strategy'!$E$10)</x:f>
        <x:v>0</x:v>
      </x:c>
      <x:c r="L429" s="27" t="n">
        <x:f>IF(I429+J429-K429&lt;=0,99,1+SUM(IF(AND(C429+D429-E429&gt;0,OR(C429+D429-E429&lt;I429+J429-K429,AND(C429+D429-E429=I429+J429-K429,0&lt;1))),1,0),IF(AND(O429+P429-Q429&gt;0,OR(O429+P429-Q429&lt;I429+J429-K429,AND(O429+P429-Q429=I429+J429-K429,2&lt;1))),1,0),IF(AND(U429+V429-W429&gt;0,OR(U429+V429-W429&lt;I429+J429-K429,AND(U429+V429-W429=I429+J429-K429,3&lt;1))),1,0),IF(AND(AA429+AB429-AC429&gt;0,OR(AA429+AB429-AC429&lt;I429+J429-K429,AND(AA429+AB429-AC429=I429+J429-K429,4&lt;1))),1,0)))</x:f>
        <x:v>99</x:v>
      </x:c>
      <x:c r="M429" s="6" t="n">
        <x:f>IF('Debt strategy'!$C$16&gt;0,0,MIN(I429+J429-K429,MAX(0,'Debt strategy'!$C$5-SUM(E429,K429,Q429,W429,AC429)-SUM(IF(F429&lt;L429,C429+D429-E429,0),IF(R429&lt;L429,O429+P429-Q429,0),IF(X429&lt;L429,U429+V429-W429,0),IF(AD429&lt;L429,AA429+AB429-AC429,0)))))</x:f>
        <x:v>0</x:v>
      </x:c>
      <x:c r="N429" s="6" t="n">
        <x:f>ROUND(MAX(0,I429+J429-K429-M429),2)</x:f>
        <x:v>0</x:v>
      </x:c>
      <x:c r="O429" s="6" t="n">
        <x:f>T428</x:f>
        <x:v>0</x:v>
      </x:c>
      <x:c r="P429" s="6" t="n">
        <x:f>ROUND(O429*'Debt strategy'!$D$11/12,2)</x:f>
        <x:v>0</x:v>
      </x:c>
      <x:c r="Q429" s="6" t="n">
        <x:f>MIN(O429+P429,'Debt strategy'!$E$11)</x:f>
        <x:v>0</x:v>
      </x:c>
      <x:c r="R429" s="27" t="n">
        <x:f>IF(O429+P429-Q429&lt;=0,99,1+SUM(IF(AND(C429+D429-E429&gt;0,OR(C429+D429-E429&lt;O429+P429-Q429,AND(C429+D429-E429=O429+P429-Q429,0&lt;2))),1,0),IF(AND(I429+J429-K429&gt;0,OR(I429+J429-K429&lt;O429+P429-Q429,AND(I429+J429-K429=O429+P429-Q429,1&lt;2))),1,0),IF(AND(U429+V429-W429&gt;0,OR(U429+V429-W429&lt;O429+P429-Q429,AND(U429+V429-W429=O429+P429-Q429,3&lt;2))),1,0),IF(AND(AA429+AB429-AC429&gt;0,OR(AA429+AB429-AC429&lt;O429+P429-Q429,AND(AA429+AB429-AC429=O429+P429-Q429,4&lt;2))),1,0)))</x:f>
        <x:v>99</x:v>
      </x:c>
      <x:c r="S429" s="6" t="n">
        <x:f>IF('Debt strategy'!$C$16&gt;0,0,MIN(O429+P429-Q429,MAX(0,'Debt strategy'!$C$5-SUM(E429,K429,Q429,W429,AC429)-SUM(IF(F429&lt;R429,C429+D429-E429,0),IF(L429&lt;R429,I429+J429-K429,0),IF(X429&lt;R429,U429+V429-W429,0),IF(AD429&lt;R429,AA429+AB429-AC429,0)))))</x:f>
        <x:v>0</x:v>
      </x:c>
      <x:c r="T429" s="6" t="n">
        <x:f>ROUND(MAX(0,O429+P429-Q429-S429),2)</x:f>
        <x:v>0</x:v>
      </x:c>
      <x:c r="U429" s="6" t="n">
        <x:f>Z428</x:f>
        <x:v>0</x:v>
      </x:c>
      <x:c r="V429" s="6" t="n">
        <x:f>ROUND(U429*'Debt strategy'!$D$12/12,2)</x:f>
        <x:v>0</x:v>
      </x:c>
      <x:c r="W429" s="6" t="n">
        <x:f>MIN(U429+V429,'Debt strategy'!$E$12)</x:f>
        <x:v>0</x:v>
      </x:c>
      <x:c r="X429" s="27" t="n">
        <x:f>IF(U429+V429-W429&lt;=0,99,1+SUM(IF(AND(C429+D429-E429&gt;0,OR(C429+D429-E429&lt;U429+V429-W429,AND(C429+D429-E429=U429+V429-W429,0&lt;3))),1,0),IF(AND(I429+J429-K429&gt;0,OR(I429+J429-K429&lt;U429+V429-W429,AND(I429+J429-K429=U429+V429-W429,1&lt;3))),1,0),IF(AND(O429+P429-Q429&gt;0,OR(O429+P429-Q429&lt;U429+V429-W429,AND(O429+P429-Q429=U429+V429-W429,2&lt;3))),1,0),IF(AND(AA429+AB429-AC429&gt;0,OR(AA429+AB429-AC429&lt;U429+V429-W429,AND(AA429+AB429-AC429=U429+V429-W429,4&lt;3))),1,0)))</x:f>
        <x:v>99</x:v>
      </x:c>
      <x:c r="Y429" s="6" t="n">
        <x:f>IF('Debt strategy'!$C$16&gt;0,0,MIN(U429+V429-W429,MAX(0,'Debt strategy'!$C$5-SUM(E429,K429,Q429,W429,AC429)-SUM(IF(F429&lt;X429,C429+D429-E429,0),IF(L429&lt;X429,I429+J429-K429,0),IF(R429&lt;X429,O429+P429-Q429,0),IF(AD429&lt;X429,AA429+AB429-AC429,0)))))</x:f>
        <x:v>0</x:v>
      </x:c>
      <x:c r="Z429" s="6" t="n">
        <x:f>ROUND(MAX(0,U429+V429-W429-Y429),2)</x:f>
        <x:v>0</x:v>
      </x:c>
      <x:c r="AA429" s="6" t="n">
        <x:f>AF428</x:f>
        <x:v>0</x:v>
      </x:c>
      <x:c r="AB429" s="6" t="n">
        <x:f>ROUND(AA429*'Debt strategy'!$D$13/12,2)</x:f>
        <x:v>0</x:v>
      </x:c>
      <x:c r="AC429" s="6" t="n">
        <x:f>MIN(AA429+AB429,'Debt strategy'!$E$13)</x:f>
        <x:v>0</x:v>
      </x:c>
      <x:c r="AD429" s="27" t="n">
        <x:f>IF(AA429+AB429-AC429&lt;=0,99,1+SUM(IF(AND(C429+D429-E429&gt;0,OR(C429+D429-E429&lt;AA429+AB429-AC429,AND(C429+D429-E429=AA429+AB429-AC429,0&lt;4))),1,0),IF(AND(I429+J429-K429&gt;0,OR(I429+J429-K429&lt;AA429+AB429-AC429,AND(I429+J429-K429=AA429+AB429-AC429,1&lt;4))),1,0),IF(AND(O429+P429-Q429&gt;0,OR(O429+P429-Q429&lt;AA429+AB429-AC429,AND(O429+P429-Q429=AA429+AB429-AC429,2&lt;4))),1,0),IF(AND(U429+V429-W429&gt;0,OR(U429+V429-W429&lt;AA429+AB429-AC429,AND(U429+V429-W429=AA429+AB429-AC429,3&lt;4))),1,0)))</x:f>
        <x:v>99</x:v>
      </x:c>
      <x:c r="AE429" s="6" t="n">
        <x:f>IF('Debt strategy'!$C$16&gt;0,0,MIN(AA429+AB429-AC429,MAX(0,'Debt strategy'!$C$5-SUM(E429,K429,Q429,W429,AC429)-SUM(IF(F429&lt;AD429,C429+D429-E429,0),IF(L429&lt;AD429,I429+J429-K429,0),IF(R429&lt;AD429,O429+P429-Q429,0),IF(X429&lt;AD429,U429+V429-W429,0)))))</x:f>
        <x:v>0</x:v>
      </x:c>
      <x:c r="AF429" s="6" t="n">
        <x:f>ROUND(MAX(0,AA429+AB429-AC429-AE429),2)</x:f>
        <x:v>0</x:v>
      </x:c>
      <x:c r="AG429" s="6" t="n">
        <x:f>SUM(H429,N429,T429,Z429,AF429)</x:f>
        <x:v>0</x:v>
      </x:c>
      <x:c r="AH429" s="6" t="n">
        <x:f>SUM(D429,J429,P429,V429,AB429)+AH428</x:f>
        <x:v>1353.9499999999996</x:v>
      </x:c>
      <x:c r="AI429" s="2"/>
    </x:row>
    <x:row r="430" ht="23" customHeight="1">
      <x:c r="B430" s="2" t="n">
        <x:f>422</x:f>
        <x:v>422</x:v>
      </x:c>
      <x:c r="C430" s="6" t="n">
        <x:f>H429</x:f>
        <x:v>0</x:v>
      </x:c>
      <x:c r="D430" s="6" t="n">
        <x:f>ROUND(C430*'Debt strategy'!$D$9/12,2)</x:f>
        <x:v>0</x:v>
      </x:c>
      <x:c r="E430" s="6" t="n">
        <x:f>MIN(C430+D430,'Debt strategy'!$E$9)</x:f>
        <x:v>0</x:v>
      </x:c>
      <x:c r="F430" s="27" t="n">
        <x:f>IF(C430+D430-E430&lt;=0,99,1+SUM(IF(AND(I430+J430-K430&gt;0,OR(I430+J430-K430&lt;C430+D430-E430,AND(I430+J430-K430=C430+D430-E430,1&lt;0))),1,0),IF(AND(O430+P430-Q430&gt;0,OR(O430+P430-Q430&lt;C430+D430-E430,AND(O430+P430-Q430=C430+D430-E430,2&lt;0))),1,0),IF(AND(U430+V430-W430&gt;0,OR(U430+V430-W430&lt;C430+D430-E430,AND(U430+V430-W430=C430+D430-E430,3&lt;0))),1,0),IF(AND(AA430+AB430-AC430&gt;0,OR(AA430+AB430-AC430&lt;C430+D430-E430,AND(AA430+AB430-AC430=C430+D430-E430,4&lt;0))),1,0)))</x:f>
        <x:v>99</x:v>
      </x:c>
      <x:c r="G430" s="6" t="n">
        <x:f>IF('Debt strategy'!$C$16&gt;0,0,MIN(C430+D430-E430,MAX(0,'Debt strategy'!$C$5-SUM(E430,K430,Q430,W430,AC430)-SUM(IF(L430&lt;F430,I430+J430-K430,0),IF(R430&lt;F430,O430+P430-Q430,0),IF(X430&lt;F430,U430+V430-W430,0),IF(AD430&lt;F430,AA430+AB430-AC430,0)))))</x:f>
        <x:v>0</x:v>
      </x:c>
      <x:c r="H430" s="6" t="n">
        <x:f>ROUND(MAX(0,C430+D430-E430-G430),2)</x:f>
        <x:v>0</x:v>
      </x:c>
      <x:c r="I430" s="6" t="n">
        <x:f>N429</x:f>
        <x:v>0</x:v>
      </x:c>
      <x:c r="J430" s="6" t="n">
        <x:f>ROUND(I430*'Debt strategy'!$D$10/12,2)</x:f>
        <x:v>0</x:v>
      </x:c>
      <x:c r="K430" s="6" t="n">
        <x:f>MIN(I430+J430,'Debt strategy'!$E$10)</x:f>
        <x:v>0</x:v>
      </x:c>
      <x:c r="L430" s="27" t="n">
        <x:f>IF(I430+J430-K430&lt;=0,99,1+SUM(IF(AND(C430+D430-E430&gt;0,OR(C430+D430-E430&lt;I430+J430-K430,AND(C430+D430-E430=I430+J430-K430,0&lt;1))),1,0),IF(AND(O430+P430-Q430&gt;0,OR(O430+P430-Q430&lt;I430+J430-K430,AND(O430+P430-Q430=I430+J430-K430,2&lt;1))),1,0),IF(AND(U430+V430-W430&gt;0,OR(U430+V430-W430&lt;I430+J430-K430,AND(U430+V430-W430=I430+J430-K430,3&lt;1))),1,0),IF(AND(AA430+AB430-AC430&gt;0,OR(AA430+AB430-AC430&lt;I430+J430-K430,AND(AA430+AB430-AC430=I430+J430-K430,4&lt;1))),1,0)))</x:f>
        <x:v>99</x:v>
      </x:c>
      <x:c r="M430" s="6" t="n">
        <x:f>IF('Debt strategy'!$C$16&gt;0,0,MIN(I430+J430-K430,MAX(0,'Debt strategy'!$C$5-SUM(E430,K430,Q430,W430,AC430)-SUM(IF(F430&lt;L430,C430+D430-E430,0),IF(R430&lt;L430,O430+P430-Q430,0),IF(X430&lt;L430,U430+V430-W430,0),IF(AD430&lt;L430,AA430+AB430-AC430,0)))))</x:f>
        <x:v>0</x:v>
      </x:c>
      <x:c r="N430" s="6" t="n">
        <x:f>ROUND(MAX(0,I430+J430-K430-M430),2)</x:f>
        <x:v>0</x:v>
      </x:c>
      <x:c r="O430" s="6" t="n">
        <x:f>T429</x:f>
        <x:v>0</x:v>
      </x:c>
      <x:c r="P430" s="6" t="n">
        <x:f>ROUND(O430*'Debt strategy'!$D$11/12,2)</x:f>
        <x:v>0</x:v>
      </x:c>
      <x:c r="Q430" s="6" t="n">
        <x:f>MIN(O430+P430,'Debt strategy'!$E$11)</x:f>
        <x:v>0</x:v>
      </x:c>
      <x:c r="R430" s="27" t="n">
        <x:f>IF(O430+P430-Q430&lt;=0,99,1+SUM(IF(AND(C430+D430-E430&gt;0,OR(C430+D430-E430&lt;O430+P430-Q430,AND(C430+D430-E430=O430+P430-Q430,0&lt;2))),1,0),IF(AND(I430+J430-K430&gt;0,OR(I430+J430-K430&lt;O430+P430-Q430,AND(I430+J430-K430=O430+P430-Q430,1&lt;2))),1,0),IF(AND(U430+V430-W430&gt;0,OR(U430+V430-W430&lt;O430+P430-Q430,AND(U430+V430-W430=O430+P430-Q430,3&lt;2))),1,0),IF(AND(AA430+AB430-AC430&gt;0,OR(AA430+AB430-AC430&lt;O430+P430-Q430,AND(AA430+AB430-AC430=O430+P430-Q430,4&lt;2))),1,0)))</x:f>
        <x:v>99</x:v>
      </x:c>
      <x:c r="S430" s="6" t="n">
        <x:f>IF('Debt strategy'!$C$16&gt;0,0,MIN(O430+P430-Q430,MAX(0,'Debt strategy'!$C$5-SUM(E430,K430,Q430,W430,AC430)-SUM(IF(F430&lt;R430,C430+D430-E430,0),IF(L430&lt;R430,I430+J430-K430,0),IF(X430&lt;R430,U430+V430-W430,0),IF(AD430&lt;R430,AA430+AB430-AC430,0)))))</x:f>
        <x:v>0</x:v>
      </x:c>
      <x:c r="T430" s="6" t="n">
        <x:f>ROUND(MAX(0,O430+P430-Q430-S430),2)</x:f>
        <x:v>0</x:v>
      </x:c>
      <x:c r="U430" s="6" t="n">
        <x:f>Z429</x:f>
        <x:v>0</x:v>
      </x:c>
      <x:c r="V430" s="6" t="n">
        <x:f>ROUND(U430*'Debt strategy'!$D$12/12,2)</x:f>
        <x:v>0</x:v>
      </x:c>
      <x:c r="W430" s="6" t="n">
        <x:f>MIN(U430+V430,'Debt strategy'!$E$12)</x:f>
        <x:v>0</x:v>
      </x:c>
      <x:c r="X430" s="27" t="n">
        <x:f>IF(U430+V430-W430&lt;=0,99,1+SUM(IF(AND(C430+D430-E430&gt;0,OR(C430+D430-E430&lt;U430+V430-W430,AND(C430+D430-E430=U430+V430-W430,0&lt;3))),1,0),IF(AND(I430+J430-K430&gt;0,OR(I430+J430-K430&lt;U430+V430-W430,AND(I430+J430-K430=U430+V430-W430,1&lt;3))),1,0),IF(AND(O430+P430-Q430&gt;0,OR(O430+P430-Q430&lt;U430+V430-W430,AND(O430+P430-Q430=U430+V430-W430,2&lt;3))),1,0),IF(AND(AA430+AB430-AC430&gt;0,OR(AA430+AB430-AC430&lt;U430+V430-W430,AND(AA430+AB430-AC430=U430+V430-W430,4&lt;3))),1,0)))</x:f>
        <x:v>99</x:v>
      </x:c>
      <x:c r="Y430" s="6" t="n">
        <x:f>IF('Debt strategy'!$C$16&gt;0,0,MIN(U430+V430-W430,MAX(0,'Debt strategy'!$C$5-SUM(E430,K430,Q430,W430,AC430)-SUM(IF(F430&lt;X430,C430+D430-E430,0),IF(L430&lt;X430,I430+J430-K430,0),IF(R430&lt;X430,O430+P430-Q430,0),IF(AD430&lt;X430,AA430+AB430-AC430,0)))))</x:f>
        <x:v>0</x:v>
      </x:c>
      <x:c r="Z430" s="6" t="n">
        <x:f>ROUND(MAX(0,U430+V430-W430-Y430),2)</x:f>
        <x:v>0</x:v>
      </x:c>
      <x:c r="AA430" s="6" t="n">
        <x:f>AF429</x:f>
        <x:v>0</x:v>
      </x:c>
      <x:c r="AB430" s="6" t="n">
        <x:f>ROUND(AA430*'Debt strategy'!$D$13/12,2)</x:f>
        <x:v>0</x:v>
      </x:c>
      <x:c r="AC430" s="6" t="n">
        <x:f>MIN(AA430+AB430,'Debt strategy'!$E$13)</x:f>
        <x:v>0</x:v>
      </x:c>
      <x:c r="AD430" s="27" t="n">
        <x:f>IF(AA430+AB430-AC430&lt;=0,99,1+SUM(IF(AND(C430+D430-E430&gt;0,OR(C430+D430-E430&lt;AA430+AB430-AC430,AND(C430+D430-E430=AA430+AB430-AC430,0&lt;4))),1,0),IF(AND(I430+J430-K430&gt;0,OR(I430+J430-K430&lt;AA430+AB430-AC430,AND(I430+J430-K430=AA430+AB430-AC430,1&lt;4))),1,0),IF(AND(O430+P430-Q430&gt;0,OR(O430+P430-Q430&lt;AA430+AB430-AC430,AND(O430+P430-Q430=AA430+AB430-AC430,2&lt;4))),1,0),IF(AND(U430+V430-W430&gt;0,OR(U430+V430-W430&lt;AA430+AB430-AC430,AND(U430+V430-W430=AA430+AB430-AC430,3&lt;4))),1,0)))</x:f>
        <x:v>99</x:v>
      </x:c>
      <x:c r="AE430" s="6" t="n">
        <x:f>IF('Debt strategy'!$C$16&gt;0,0,MIN(AA430+AB430-AC430,MAX(0,'Debt strategy'!$C$5-SUM(E430,K430,Q430,W430,AC430)-SUM(IF(F430&lt;AD430,C430+D430-E430,0),IF(L430&lt;AD430,I430+J430-K430,0),IF(R430&lt;AD430,O430+P430-Q430,0),IF(X430&lt;AD430,U430+V430-W430,0)))))</x:f>
        <x:v>0</x:v>
      </x:c>
      <x:c r="AF430" s="6" t="n">
        <x:f>ROUND(MAX(0,AA430+AB430-AC430-AE430),2)</x:f>
        <x:v>0</x:v>
      </x:c>
      <x:c r="AG430" s="6" t="n">
        <x:f>SUM(H430,N430,T430,Z430,AF430)</x:f>
        <x:v>0</x:v>
      </x:c>
      <x:c r="AH430" s="6" t="n">
        <x:f>SUM(D430,J430,P430,V430,AB430)+AH429</x:f>
        <x:v>1353.9499999999996</x:v>
      </x:c>
      <x:c r="AI430" s="2"/>
    </x:row>
    <x:row r="431" ht="23" customHeight="1">
      <x:c r="B431" s="2" t="n">
        <x:f>423</x:f>
        <x:v>423</x:v>
      </x:c>
      <x:c r="C431" s="6" t="n">
        <x:f>H430</x:f>
        <x:v>0</x:v>
      </x:c>
      <x:c r="D431" s="6" t="n">
        <x:f>ROUND(C431*'Debt strategy'!$D$9/12,2)</x:f>
        <x:v>0</x:v>
      </x:c>
      <x:c r="E431" s="6" t="n">
        <x:f>MIN(C431+D431,'Debt strategy'!$E$9)</x:f>
        <x:v>0</x:v>
      </x:c>
      <x:c r="F431" s="27" t="n">
        <x:f>IF(C431+D431-E431&lt;=0,99,1+SUM(IF(AND(I431+J431-K431&gt;0,OR(I431+J431-K431&lt;C431+D431-E431,AND(I431+J431-K431=C431+D431-E431,1&lt;0))),1,0),IF(AND(O431+P431-Q431&gt;0,OR(O431+P431-Q431&lt;C431+D431-E431,AND(O431+P431-Q431=C431+D431-E431,2&lt;0))),1,0),IF(AND(U431+V431-W431&gt;0,OR(U431+V431-W431&lt;C431+D431-E431,AND(U431+V431-W431=C431+D431-E431,3&lt;0))),1,0),IF(AND(AA431+AB431-AC431&gt;0,OR(AA431+AB431-AC431&lt;C431+D431-E431,AND(AA431+AB431-AC431=C431+D431-E431,4&lt;0))),1,0)))</x:f>
        <x:v>99</x:v>
      </x:c>
      <x:c r="G431" s="6" t="n">
        <x:f>IF('Debt strategy'!$C$16&gt;0,0,MIN(C431+D431-E431,MAX(0,'Debt strategy'!$C$5-SUM(E431,K431,Q431,W431,AC431)-SUM(IF(L431&lt;F431,I431+J431-K431,0),IF(R431&lt;F431,O431+P431-Q431,0),IF(X431&lt;F431,U431+V431-W431,0),IF(AD431&lt;F431,AA431+AB431-AC431,0)))))</x:f>
        <x:v>0</x:v>
      </x:c>
      <x:c r="H431" s="6" t="n">
        <x:f>ROUND(MAX(0,C431+D431-E431-G431),2)</x:f>
        <x:v>0</x:v>
      </x:c>
      <x:c r="I431" s="6" t="n">
        <x:f>N430</x:f>
        <x:v>0</x:v>
      </x:c>
      <x:c r="J431" s="6" t="n">
        <x:f>ROUND(I431*'Debt strategy'!$D$10/12,2)</x:f>
        <x:v>0</x:v>
      </x:c>
      <x:c r="K431" s="6" t="n">
        <x:f>MIN(I431+J431,'Debt strategy'!$E$10)</x:f>
        <x:v>0</x:v>
      </x:c>
      <x:c r="L431" s="27" t="n">
        <x:f>IF(I431+J431-K431&lt;=0,99,1+SUM(IF(AND(C431+D431-E431&gt;0,OR(C431+D431-E431&lt;I431+J431-K431,AND(C431+D431-E431=I431+J431-K431,0&lt;1))),1,0),IF(AND(O431+P431-Q431&gt;0,OR(O431+P431-Q431&lt;I431+J431-K431,AND(O431+P431-Q431=I431+J431-K431,2&lt;1))),1,0),IF(AND(U431+V431-W431&gt;0,OR(U431+V431-W431&lt;I431+J431-K431,AND(U431+V431-W431=I431+J431-K431,3&lt;1))),1,0),IF(AND(AA431+AB431-AC431&gt;0,OR(AA431+AB431-AC431&lt;I431+J431-K431,AND(AA431+AB431-AC431=I431+J431-K431,4&lt;1))),1,0)))</x:f>
        <x:v>99</x:v>
      </x:c>
      <x:c r="M431" s="6" t="n">
        <x:f>IF('Debt strategy'!$C$16&gt;0,0,MIN(I431+J431-K431,MAX(0,'Debt strategy'!$C$5-SUM(E431,K431,Q431,W431,AC431)-SUM(IF(F431&lt;L431,C431+D431-E431,0),IF(R431&lt;L431,O431+P431-Q431,0),IF(X431&lt;L431,U431+V431-W431,0),IF(AD431&lt;L431,AA431+AB431-AC431,0)))))</x:f>
        <x:v>0</x:v>
      </x:c>
      <x:c r="N431" s="6" t="n">
        <x:f>ROUND(MAX(0,I431+J431-K431-M431),2)</x:f>
        <x:v>0</x:v>
      </x:c>
      <x:c r="O431" s="6" t="n">
        <x:f>T430</x:f>
        <x:v>0</x:v>
      </x:c>
      <x:c r="P431" s="6" t="n">
        <x:f>ROUND(O431*'Debt strategy'!$D$11/12,2)</x:f>
        <x:v>0</x:v>
      </x:c>
      <x:c r="Q431" s="6" t="n">
        <x:f>MIN(O431+P431,'Debt strategy'!$E$11)</x:f>
        <x:v>0</x:v>
      </x:c>
      <x:c r="R431" s="27" t="n">
        <x:f>IF(O431+P431-Q431&lt;=0,99,1+SUM(IF(AND(C431+D431-E431&gt;0,OR(C431+D431-E431&lt;O431+P431-Q431,AND(C431+D431-E431=O431+P431-Q431,0&lt;2))),1,0),IF(AND(I431+J431-K431&gt;0,OR(I431+J431-K431&lt;O431+P431-Q431,AND(I431+J431-K431=O431+P431-Q431,1&lt;2))),1,0),IF(AND(U431+V431-W431&gt;0,OR(U431+V431-W431&lt;O431+P431-Q431,AND(U431+V431-W431=O431+P431-Q431,3&lt;2))),1,0),IF(AND(AA431+AB431-AC431&gt;0,OR(AA431+AB431-AC431&lt;O431+P431-Q431,AND(AA431+AB431-AC431=O431+P431-Q431,4&lt;2))),1,0)))</x:f>
        <x:v>99</x:v>
      </x:c>
      <x:c r="S431" s="6" t="n">
        <x:f>IF('Debt strategy'!$C$16&gt;0,0,MIN(O431+P431-Q431,MAX(0,'Debt strategy'!$C$5-SUM(E431,K431,Q431,W431,AC431)-SUM(IF(F431&lt;R431,C431+D431-E431,0),IF(L431&lt;R431,I431+J431-K431,0),IF(X431&lt;R431,U431+V431-W431,0),IF(AD431&lt;R431,AA431+AB431-AC431,0)))))</x:f>
        <x:v>0</x:v>
      </x:c>
      <x:c r="T431" s="6" t="n">
        <x:f>ROUND(MAX(0,O431+P431-Q431-S431),2)</x:f>
        <x:v>0</x:v>
      </x:c>
      <x:c r="U431" s="6" t="n">
        <x:f>Z430</x:f>
        <x:v>0</x:v>
      </x:c>
      <x:c r="V431" s="6" t="n">
        <x:f>ROUND(U431*'Debt strategy'!$D$12/12,2)</x:f>
        <x:v>0</x:v>
      </x:c>
      <x:c r="W431" s="6" t="n">
        <x:f>MIN(U431+V431,'Debt strategy'!$E$12)</x:f>
        <x:v>0</x:v>
      </x:c>
      <x:c r="X431" s="27" t="n">
        <x:f>IF(U431+V431-W431&lt;=0,99,1+SUM(IF(AND(C431+D431-E431&gt;0,OR(C431+D431-E431&lt;U431+V431-W431,AND(C431+D431-E431=U431+V431-W431,0&lt;3))),1,0),IF(AND(I431+J431-K431&gt;0,OR(I431+J431-K431&lt;U431+V431-W431,AND(I431+J431-K431=U431+V431-W431,1&lt;3))),1,0),IF(AND(O431+P431-Q431&gt;0,OR(O431+P431-Q431&lt;U431+V431-W431,AND(O431+P431-Q431=U431+V431-W431,2&lt;3))),1,0),IF(AND(AA431+AB431-AC431&gt;0,OR(AA431+AB431-AC431&lt;U431+V431-W431,AND(AA431+AB431-AC431=U431+V431-W431,4&lt;3))),1,0)))</x:f>
        <x:v>99</x:v>
      </x:c>
      <x:c r="Y431" s="6" t="n">
        <x:f>IF('Debt strategy'!$C$16&gt;0,0,MIN(U431+V431-W431,MAX(0,'Debt strategy'!$C$5-SUM(E431,K431,Q431,W431,AC431)-SUM(IF(F431&lt;X431,C431+D431-E431,0),IF(L431&lt;X431,I431+J431-K431,0),IF(R431&lt;X431,O431+P431-Q431,0),IF(AD431&lt;X431,AA431+AB431-AC431,0)))))</x:f>
        <x:v>0</x:v>
      </x:c>
      <x:c r="Z431" s="6" t="n">
        <x:f>ROUND(MAX(0,U431+V431-W431-Y431),2)</x:f>
        <x:v>0</x:v>
      </x:c>
      <x:c r="AA431" s="6" t="n">
        <x:f>AF430</x:f>
        <x:v>0</x:v>
      </x:c>
      <x:c r="AB431" s="6" t="n">
        <x:f>ROUND(AA431*'Debt strategy'!$D$13/12,2)</x:f>
        <x:v>0</x:v>
      </x:c>
      <x:c r="AC431" s="6" t="n">
        <x:f>MIN(AA431+AB431,'Debt strategy'!$E$13)</x:f>
        <x:v>0</x:v>
      </x:c>
      <x:c r="AD431" s="27" t="n">
        <x:f>IF(AA431+AB431-AC431&lt;=0,99,1+SUM(IF(AND(C431+D431-E431&gt;0,OR(C431+D431-E431&lt;AA431+AB431-AC431,AND(C431+D431-E431=AA431+AB431-AC431,0&lt;4))),1,0),IF(AND(I431+J431-K431&gt;0,OR(I431+J431-K431&lt;AA431+AB431-AC431,AND(I431+J431-K431=AA431+AB431-AC431,1&lt;4))),1,0),IF(AND(O431+P431-Q431&gt;0,OR(O431+P431-Q431&lt;AA431+AB431-AC431,AND(O431+P431-Q431=AA431+AB431-AC431,2&lt;4))),1,0),IF(AND(U431+V431-W431&gt;0,OR(U431+V431-W431&lt;AA431+AB431-AC431,AND(U431+V431-W431=AA431+AB431-AC431,3&lt;4))),1,0)))</x:f>
        <x:v>99</x:v>
      </x:c>
      <x:c r="AE431" s="6" t="n">
        <x:f>IF('Debt strategy'!$C$16&gt;0,0,MIN(AA431+AB431-AC431,MAX(0,'Debt strategy'!$C$5-SUM(E431,K431,Q431,W431,AC431)-SUM(IF(F431&lt;AD431,C431+D431-E431,0),IF(L431&lt;AD431,I431+J431-K431,0),IF(R431&lt;AD431,O431+P431-Q431,0),IF(X431&lt;AD431,U431+V431-W431,0)))))</x:f>
        <x:v>0</x:v>
      </x:c>
      <x:c r="AF431" s="6" t="n">
        <x:f>ROUND(MAX(0,AA431+AB431-AC431-AE431),2)</x:f>
        <x:v>0</x:v>
      </x:c>
      <x:c r="AG431" s="6" t="n">
        <x:f>SUM(H431,N431,T431,Z431,AF431)</x:f>
        <x:v>0</x:v>
      </x:c>
      <x:c r="AH431" s="6" t="n">
        <x:f>SUM(D431,J431,P431,V431,AB431)+AH430</x:f>
        <x:v>1353.9499999999996</x:v>
      </x:c>
      <x:c r="AI431" s="2"/>
    </x:row>
    <x:row r="432" ht="23" customHeight="1">
      <x:c r="B432" s="2" t="n">
        <x:f>424</x:f>
        <x:v>424</x:v>
      </x:c>
      <x:c r="C432" s="6" t="n">
        <x:f>H431</x:f>
        <x:v>0</x:v>
      </x:c>
      <x:c r="D432" s="6" t="n">
        <x:f>ROUND(C432*'Debt strategy'!$D$9/12,2)</x:f>
        <x:v>0</x:v>
      </x:c>
      <x:c r="E432" s="6" t="n">
        <x:f>MIN(C432+D432,'Debt strategy'!$E$9)</x:f>
        <x:v>0</x:v>
      </x:c>
      <x:c r="F432" s="27" t="n">
        <x:f>IF(C432+D432-E432&lt;=0,99,1+SUM(IF(AND(I432+J432-K432&gt;0,OR(I432+J432-K432&lt;C432+D432-E432,AND(I432+J432-K432=C432+D432-E432,1&lt;0))),1,0),IF(AND(O432+P432-Q432&gt;0,OR(O432+P432-Q432&lt;C432+D432-E432,AND(O432+P432-Q432=C432+D432-E432,2&lt;0))),1,0),IF(AND(U432+V432-W432&gt;0,OR(U432+V432-W432&lt;C432+D432-E432,AND(U432+V432-W432=C432+D432-E432,3&lt;0))),1,0),IF(AND(AA432+AB432-AC432&gt;0,OR(AA432+AB432-AC432&lt;C432+D432-E432,AND(AA432+AB432-AC432=C432+D432-E432,4&lt;0))),1,0)))</x:f>
        <x:v>99</x:v>
      </x:c>
      <x:c r="G432" s="6" t="n">
        <x:f>IF('Debt strategy'!$C$16&gt;0,0,MIN(C432+D432-E432,MAX(0,'Debt strategy'!$C$5-SUM(E432,K432,Q432,W432,AC432)-SUM(IF(L432&lt;F432,I432+J432-K432,0),IF(R432&lt;F432,O432+P432-Q432,0),IF(X432&lt;F432,U432+V432-W432,0),IF(AD432&lt;F432,AA432+AB432-AC432,0)))))</x:f>
        <x:v>0</x:v>
      </x:c>
      <x:c r="H432" s="6" t="n">
        <x:f>ROUND(MAX(0,C432+D432-E432-G432),2)</x:f>
        <x:v>0</x:v>
      </x:c>
      <x:c r="I432" s="6" t="n">
        <x:f>N431</x:f>
        <x:v>0</x:v>
      </x:c>
      <x:c r="J432" s="6" t="n">
        <x:f>ROUND(I432*'Debt strategy'!$D$10/12,2)</x:f>
        <x:v>0</x:v>
      </x:c>
      <x:c r="K432" s="6" t="n">
        <x:f>MIN(I432+J432,'Debt strategy'!$E$10)</x:f>
        <x:v>0</x:v>
      </x:c>
      <x:c r="L432" s="27" t="n">
        <x:f>IF(I432+J432-K432&lt;=0,99,1+SUM(IF(AND(C432+D432-E432&gt;0,OR(C432+D432-E432&lt;I432+J432-K432,AND(C432+D432-E432=I432+J432-K432,0&lt;1))),1,0),IF(AND(O432+P432-Q432&gt;0,OR(O432+P432-Q432&lt;I432+J432-K432,AND(O432+P432-Q432=I432+J432-K432,2&lt;1))),1,0),IF(AND(U432+V432-W432&gt;0,OR(U432+V432-W432&lt;I432+J432-K432,AND(U432+V432-W432=I432+J432-K432,3&lt;1))),1,0),IF(AND(AA432+AB432-AC432&gt;0,OR(AA432+AB432-AC432&lt;I432+J432-K432,AND(AA432+AB432-AC432=I432+J432-K432,4&lt;1))),1,0)))</x:f>
        <x:v>99</x:v>
      </x:c>
      <x:c r="M432" s="6" t="n">
        <x:f>IF('Debt strategy'!$C$16&gt;0,0,MIN(I432+J432-K432,MAX(0,'Debt strategy'!$C$5-SUM(E432,K432,Q432,W432,AC432)-SUM(IF(F432&lt;L432,C432+D432-E432,0),IF(R432&lt;L432,O432+P432-Q432,0),IF(X432&lt;L432,U432+V432-W432,0),IF(AD432&lt;L432,AA432+AB432-AC432,0)))))</x:f>
        <x:v>0</x:v>
      </x:c>
      <x:c r="N432" s="6" t="n">
        <x:f>ROUND(MAX(0,I432+J432-K432-M432),2)</x:f>
        <x:v>0</x:v>
      </x:c>
      <x:c r="O432" s="6" t="n">
        <x:f>T431</x:f>
        <x:v>0</x:v>
      </x:c>
      <x:c r="P432" s="6" t="n">
        <x:f>ROUND(O432*'Debt strategy'!$D$11/12,2)</x:f>
        <x:v>0</x:v>
      </x:c>
      <x:c r="Q432" s="6" t="n">
        <x:f>MIN(O432+P432,'Debt strategy'!$E$11)</x:f>
        <x:v>0</x:v>
      </x:c>
      <x:c r="R432" s="27" t="n">
        <x:f>IF(O432+P432-Q432&lt;=0,99,1+SUM(IF(AND(C432+D432-E432&gt;0,OR(C432+D432-E432&lt;O432+P432-Q432,AND(C432+D432-E432=O432+P432-Q432,0&lt;2))),1,0),IF(AND(I432+J432-K432&gt;0,OR(I432+J432-K432&lt;O432+P432-Q432,AND(I432+J432-K432=O432+P432-Q432,1&lt;2))),1,0),IF(AND(U432+V432-W432&gt;0,OR(U432+V432-W432&lt;O432+P432-Q432,AND(U432+V432-W432=O432+P432-Q432,3&lt;2))),1,0),IF(AND(AA432+AB432-AC432&gt;0,OR(AA432+AB432-AC432&lt;O432+P432-Q432,AND(AA432+AB432-AC432=O432+P432-Q432,4&lt;2))),1,0)))</x:f>
        <x:v>99</x:v>
      </x:c>
      <x:c r="S432" s="6" t="n">
        <x:f>IF('Debt strategy'!$C$16&gt;0,0,MIN(O432+P432-Q432,MAX(0,'Debt strategy'!$C$5-SUM(E432,K432,Q432,W432,AC432)-SUM(IF(F432&lt;R432,C432+D432-E432,0),IF(L432&lt;R432,I432+J432-K432,0),IF(X432&lt;R432,U432+V432-W432,0),IF(AD432&lt;R432,AA432+AB432-AC432,0)))))</x:f>
        <x:v>0</x:v>
      </x:c>
      <x:c r="T432" s="6" t="n">
        <x:f>ROUND(MAX(0,O432+P432-Q432-S432),2)</x:f>
        <x:v>0</x:v>
      </x:c>
      <x:c r="U432" s="6" t="n">
        <x:f>Z431</x:f>
        <x:v>0</x:v>
      </x:c>
      <x:c r="V432" s="6" t="n">
        <x:f>ROUND(U432*'Debt strategy'!$D$12/12,2)</x:f>
        <x:v>0</x:v>
      </x:c>
      <x:c r="W432" s="6" t="n">
        <x:f>MIN(U432+V432,'Debt strategy'!$E$12)</x:f>
        <x:v>0</x:v>
      </x:c>
      <x:c r="X432" s="27" t="n">
        <x:f>IF(U432+V432-W432&lt;=0,99,1+SUM(IF(AND(C432+D432-E432&gt;0,OR(C432+D432-E432&lt;U432+V432-W432,AND(C432+D432-E432=U432+V432-W432,0&lt;3))),1,0),IF(AND(I432+J432-K432&gt;0,OR(I432+J432-K432&lt;U432+V432-W432,AND(I432+J432-K432=U432+V432-W432,1&lt;3))),1,0),IF(AND(O432+P432-Q432&gt;0,OR(O432+P432-Q432&lt;U432+V432-W432,AND(O432+P432-Q432=U432+V432-W432,2&lt;3))),1,0),IF(AND(AA432+AB432-AC432&gt;0,OR(AA432+AB432-AC432&lt;U432+V432-W432,AND(AA432+AB432-AC432=U432+V432-W432,4&lt;3))),1,0)))</x:f>
        <x:v>99</x:v>
      </x:c>
      <x:c r="Y432" s="6" t="n">
        <x:f>IF('Debt strategy'!$C$16&gt;0,0,MIN(U432+V432-W432,MAX(0,'Debt strategy'!$C$5-SUM(E432,K432,Q432,W432,AC432)-SUM(IF(F432&lt;X432,C432+D432-E432,0),IF(L432&lt;X432,I432+J432-K432,0),IF(R432&lt;X432,O432+P432-Q432,0),IF(AD432&lt;X432,AA432+AB432-AC432,0)))))</x:f>
        <x:v>0</x:v>
      </x:c>
      <x:c r="Z432" s="6" t="n">
        <x:f>ROUND(MAX(0,U432+V432-W432-Y432),2)</x:f>
        <x:v>0</x:v>
      </x:c>
      <x:c r="AA432" s="6" t="n">
        <x:f>AF431</x:f>
        <x:v>0</x:v>
      </x:c>
      <x:c r="AB432" s="6" t="n">
        <x:f>ROUND(AA432*'Debt strategy'!$D$13/12,2)</x:f>
        <x:v>0</x:v>
      </x:c>
      <x:c r="AC432" s="6" t="n">
        <x:f>MIN(AA432+AB432,'Debt strategy'!$E$13)</x:f>
        <x:v>0</x:v>
      </x:c>
      <x:c r="AD432" s="27" t="n">
        <x:f>IF(AA432+AB432-AC432&lt;=0,99,1+SUM(IF(AND(C432+D432-E432&gt;0,OR(C432+D432-E432&lt;AA432+AB432-AC432,AND(C432+D432-E432=AA432+AB432-AC432,0&lt;4))),1,0),IF(AND(I432+J432-K432&gt;0,OR(I432+J432-K432&lt;AA432+AB432-AC432,AND(I432+J432-K432=AA432+AB432-AC432,1&lt;4))),1,0),IF(AND(O432+P432-Q432&gt;0,OR(O432+P432-Q432&lt;AA432+AB432-AC432,AND(O432+P432-Q432=AA432+AB432-AC432,2&lt;4))),1,0),IF(AND(U432+V432-W432&gt;0,OR(U432+V432-W432&lt;AA432+AB432-AC432,AND(U432+V432-W432=AA432+AB432-AC432,3&lt;4))),1,0)))</x:f>
        <x:v>99</x:v>
      </x:c>
      <x:c r="AE432" s="6" t="n">
        <x:f>IF('Debt strategy'!$C$16&gt;0,0,MIN(AA432+AB432-AC432,MAX(0,'Debt strategy'!$C$5-SUM(E432,K432,Q432,W432,AC432)-SUM(IF(F432&lt;AD432,C432+D432-E432,0),IF(L432&lt;AD432,I432+J432-K432,0),IF(R432&lt;AD432,O432+P432-Q432,0),IF(X432&lt;AD432,U432+V432-W432,0)))))</x:f>
        <x:v>0</x:v>
      </x:c>
      <x:c r="AF432" s="6" t="n">
        <x:f>ROUND(MAX(0,AA432+AB432-AC432-AE432),2)</x:f>
        <x:v>0</x:v>
      </x:c>
      <x:c r="AG432" s="6" t="n">
        <x:f>SUM(H432,N432,T432,Z432,AF432)</x:f>
        <x:v>0</x:v>
      </x:c>
      <x:c r="AH432" s="6" t="n">
        <x:f>SUM(D432,J432,P432,V432,AB432)+AH431</x:f>
        <x:v>1353.9499999999996</x:v>
      </x:c>
      <x:c r="AI432" s="2"/>
    </x:row>
    <x:row r="433" ht="23" customHeight="1">
      <x:c r="B433" s="2" t="n">
        <x:f>425</x:f>
        <x:v>425</x:v>
      </x:c>
      <x:c r="C433" s="6" t="n">
        <x:f>H432</x:f>
        <x:v>0</x:v>
      </x:c>
      <x:c r="D433" s="6" t="n">
        <x:f>ROUND(C433*'Debt strategy'!$D$9/12,2)</x:f>
        <x:v>0</x:v>
      </x:c>
      <x:c r="E433" s="6" t="n">
        <x:f>MIN(C433+D433,'Debt strategy'!$E$9)</x:f>
        <x:v>0</x:v>
      </x:c>
      <x:c r="F433" s="27" t="n">
        <x:f>IF(C433+D433-E433&lt;=0,99,1+SUM(IF(AND(I433+J433-K433&gt;0,OR(I433+J433-K433&lt;C433+D433-E433,AND(I433+J433-K433=C433+D433-E433,1&lt;0))),1,0),IF(AND(O433+P433-Q433&gt;0,OR(O433+P433-Q433&lt;C433+D433-E433,AND(O433+P433-Q433=C433+D433-E433,2&lt;0))),1,0),IF(AND(U433+V433-W433&gt;0,OR(U433+V433-W433&lt;C433+D433-E433,AND(U433+V433-W433=C433+D433-E433,3&lt;0))),1,0),IF(AND(AA433+AB433-AC433&gt;0,OR(AA433+AB433-AC433&lt;C433+D433-E433,AND(AA433+AB433-AC433=C433+D433-E433,4&lt;0))),1,0)))</x:f>
        <x:v>99</x:v>
      </x:c>
      <x:c r="G433" s="6" t="n">
        <x:f>IF('Debt strategy'!$C$16&gt;0,0,MIN(C433+D433-E433,MAX(0,'Debt strategy'!$C$5-SUM(E433,K433,Q433,W433,AC433)-SUM(IF(L433&lt;F433,I433+J433-K433,0),IF(R433&lt;F433,O433+P433-Q433,0),IF(X433&lt;F433,U433+V433-W433,0),IF(AD433&lt;F433,AA433+AB433-AC433,0)))))</x:f>
        <x:v>0</x:v>
      </x:c>
      <x:c r="H433" s="6" t="n">
        <x:f>ROUND(MAX(0,C433+D433-E433-G433),2)</x:f>
        <x:v>0</x:v>
      </x:c>
      <x:c r="I433" s="6" t="n">
        <x:f>N432</x:f>
        <x:v>0</x:v>
      </x:c>
      <x:c r="J433" s="6" t="n">
        <x:f>ROUND(I433*'Debt strategy'!$D$10/12,2)</x:f>
        <x:v>0</x:v>
      </x:c>
      <x:c r="K433" s="6" t="n">
        <x:f>MIN(I433+J433,'Debt strategy'!$E$10)</x:f>
        <x:v>0</x:v>
      </x:c>
      <x:c r="L433" s="27" t="n">
        <x:f>IF(I433+J433-K433&lt;=0,99,1+SUM(IF(AND(C433+D433-E433&gt;0,OR(C433+D433-E433&lt;I433+J433-K433,AND(C433+D433-E433=I433+J433-K433,0&lt;1))),1,0),IF(AND(O433+P433-Q433&gt;0,OR(O433+P433-Q433&lt;I433+J433-K433,AND(O433+P433-Q433=I433+J433-K433,2&lt;1))),1,0),IF(AND(U433+V433-W433&gt;0,OR(U433+V433-W433&lt;I433+J433-K433,AND(U433+V433-W433=I433+J433-K433,3&lt;1))),1,0),IF(AND(AA433+AB433-AC433&gt;0,OR(AA433+AB433-AC433&lt;I433+J433-K433,AND(AA433+AB433-AC433=I433+J433-K433,4&lt;1))),1,0)))</x:f>
        <x:v>99</x:v>
      </x:c>
      <x:c r="M433" s="6" t="n">
        <x:f>IF('Debt strategy'!$C$16&gt;0,0,MIN(I433+J433-K433,MAX(0,'Debt strategy'!$C$5-SUM(E433,K433,Q433,W433,AC433)-SUM(IF(F433&lt;L433,C433+D433-E433,0),IF(R433&lt;L433,O433+P433-Q433,0),IF(X433&lt;L433,U433+V433-W433,0),IF(AD433&lt;L433,AA433+AB433-AC433,0)))))</x:f>
        <x:v>0</x:v>
      </x:c>
      <x:c r="N433" s="6" t="n">
        <x:f>ROUND(MAX(0,I433+J433-K433-M433),2)</x:f>
        <x:v>0</x:v>
      </x:c>
      <x:c r="O433" s="6" t="n">
        <x:f>T432</x:f>
        <x:v>0</x:v>
      </x:c>
      <x:c r="P433" s="6" t="n">
        <x:f>ROUND(O433*'Debt strategy'!$D$11/12,2)</x:f>
        <x:v>0</x:v>
      </x:c>
      <x:c r="Q433" s="6" t="n">
        <x:f>MIN(O433+P433,'Debt strategy'!$E$11)</x:f>
        <x:v>0</x:v>
      </x:c>
      <x:c r="R433" s="27" t="n">
        <x:f>IF(O433+P433-Q433&lt;=0,99,1+SUM(IF(AND(C433+D433-E433&gt;0,OR(C433+D433-E433&lt;O433+P433-Q433,AND(C433+D433-E433=O433+P433-Q433,0&lt;2))),1,0),IF(AND(I433+J433-K433&gt;0,OR(I433+J433-K433&lt;O433+P433-Q433,AND(I433+J433-K433=O433+P433-Q433,1&lt;2))),1,0),IF(AND(U433+V433-W433&gt;0,OR(U433+V433-W433&lt;O433+P433-Q433,AND(U433+V433-W433=O433+P433-Q433,3&lt;2))),1,0),IF(AND(AA433+AB433-AC433&gt;0,OR(AA433+AB433-AC433&lt;O433+P433-Q433,AND(AA433+AB433-AC433=O433+P433-Q433,4&lt;2))),1,0)))</x:f>
        <x:v>99</x:v>
      </x:c>
      <x:c r="S433" s="6" t="n">
        <x:f>IF('Debt strategy'!$C$16&gt;0,0,MIN(O433+P433-Q433,MAX(0,'Debt strategy'!$C$5-SUM(E433,K433,Q433,W433,AC433)-SUM(IF(F433&lt;R433,C433+D433-E433,0),IF(L433&lt;R433,I433+J433-K433,0),IF(X433&lt;R433,U433+V433-W433,0),IF(AD433&lt;R433,AA433+AB433-AC433,0)))))</x:f>
        <x:v>0</x:v>
      </x:c>
      <x:c r="T433" s="6" t="n">
        <x:f>ROUND(MAX(0,O433+P433-Q433-S433),2)</x:f>
        <x:v>0</x:v>
      </x:c>
      <x:c r="U433" s="6" t="n">
        <x:f>Z432</x:f>
        <x:v>0</x:v>
      </x:c>
      <x:c r="V433" s="6" t="n">
        <x:f>ROUND(U433*'Debt strategy'!$D$12/12,2)</x:f>
        <x:v>0</x:v>
      </x:c>
      <x:c r="W433" s="6" t="n">
        <x:f>MIN(U433+V433,'Debt strategy'!$E$12)</x:f>
        <x:v>0</x:v>
      </x:c>
      <x:c r="X433" s="27" t="n">
        <x:f>IF(U433+V433-W433&lt;=0,99,1+SUM(IF(AND(C433+D433-E433&gt;0,OR(C433+D433-E433&lt;U433+V433-W433,AND(C433+D433-E433=U433+V433-W433,0&lt;3))),1,0),IF(AND(I433+J433-K433&gt;0,OR(I433+J433-K433&lt;U433+V433-W433,AND(I433+J433-K433=U433+V433-W433,1&lt;3))),1,0),IF(AND(O433+P433-Q433&gt;0,OR(O433+P433-Q433&lt;U433+V433-W433,AND(O433+P433-Q433=U433+V433-W433,2&lt;3))),1,0),IF(AND(AA433+AB433-AC433&gt;0,OR(AA433+AB433-AC433&lt;U433+V433-W433,AND(AA433+AB433-AC433=U433+V433-W433,4&lt;3))),1,0)))</x:f>
        <x:v>99</x:v>
      </x:c>
      <x:c r="Y433" s="6" t="n">
        <x:f>IF('Debt strategy'!$C$16&gt;0,0,MIN(U433+V433-W433,MAX(0,'Debt strategy'!$C$5-SUM(E433,K433,Q433,W433,AC433)-SUM(IF(F433&lt;X433,C433+D433-E433,0),IF(L433&lt;X433,I433+J433-K433,0),IF(R433&lt;X433,O433+P433-Q433,0),IF(AD433&lt;X433,AA433+AB433-AC433,0)))))</x:f>
        <x:v>0</x:v>
      </x:c>
      <x:c r="Z433" s="6" t="n">
        <x:f>ROUND(MAX(0,U433+V433-W433-Y433),2)</x:f>
        <x:v>0</x:v>
      </x:c>
      <x:c r="AA433" s="6" t="n">
        <x:f>AF432</x:f>
        <x:v>0</x:v>
      </x:c>
      <x:c r="AB433" s="6" t="n">
        <x:f>ROUND(AA433*'Debt strategy'!$D$13/12,2)</x:f>
        <x:v>0</x:v>
      </x:c>
      <x:c r="AC433" s="6" t="n">
        <x:f>MIN(AA433+AB433,'Debt strategy'!$E$13)</x:f>
        <x:v>0</x:v>
      </x:c>
      <x:c r="AD433" s="27" t="n">
        <x:f>IF(AA433+AB433-AC433&lt;=0,99,1+SUM(IF(AND(C433+D433-E433&gt;0,OR(C433+D433-E433&lt;AA433+AB433-AC433,AND(C433+D433-E433=AA433+AB433-AC433,0&lt;4))),1,0),IF(AND(I433+J433-K433&gt;0,OR(I433+J433-K433&lt;AA433+AB433-AC433,AND(I433+J433-K433=AA433+AB433-AC433,1&lt;4))),1,0),IF(AND(O433+P433-Q433&gt;0,OR(O433+P433-Q433&lt;AA433+AB433-AC433,AND(O433+P433-Q433=AA433+AB433-AC433,2&lt;4))),1,0),IF(AND(U433+V433-W433&gt;0,OR(U433+V433-W433&lt;AA433+AB433-AC433,AND(U433+V433-W433=AA433+AB433-AC433,3&lt;4))),1,0)))</x:f>
        <x:v>99</x:v>
      </x:c>
      <x:c r="AE433" s="6" t="n">
        <x:f>IF('Debt strategy'!$C$16&gt;0,0,MIN(AA433+AB433-AC433,MAX(0,'Debt strategy'!$C$5-SUM(E433,K433,Q433,W433,AC433)-SUM(IF(F433&lt;AD433,C433+D433-E433,0),IF(L433&lt;AD433,I433+J433-K433,0),IF(R433&lt;AD433,O433+P433-Q433,0),IF(X433&lt;AD433,U433+V433-W433,0)))))</x:f>
        <x:v>0</x:v>
      </x:c>
      <x:c r="AF433" s="6" t="n">
        <x:f>ROUND(MAX(0,AA433+AB433-AC433-AE433),2)</x:f>
        <x:v>0</x:v>
      </x:c>
      <x:c r="AG433" s="6" t="n">
        <x:f>SUM(H433,N433,T433,Z433,AF433)</x:f>
        <x:v>0</x:v>
      </x:c>
      <x:c r="AH433" s="6" t="n">
        <x:f>SUM(D433,J433,P433,V433,AB433)+AH432</x:f>
        <x:v>1353.9499999999996</x:v>
      </x:c>
      <x:c r="AI433" s="2"/>
    </x:row>
    <x:row r="434" ht="23" customHeight="1">
      <x:c r="B434" s="2" t="n">
        <x:f>426</x:f>
        <x:v>426</x:v>
      </x:c>
      <x:c r="C434" s="6" t="n">
        <x:f>H433</x:f>
        <x:v>0</x:v>
      </x:c>
      <x:c r="D434" s="6" t="n">
        <x:f>ROUND(C434*'Debt strategy'!$D$9/12,2)</x:f>
        <x:v>0</x:v>
      </x:c>
      <x:c r="E434" s="6" t="n">
        <x:f>MIN(C434+D434,'Debt strategy'!$E$9)</x:f>
        <x:v>0</x:v>
      </x:c>
      <x:c r="F434" s="27" t="n">
        <x:f>IF(C434+D434-E434&lt;=0,99,1+SUM(IF(AND(I434+J434-K434&gt;0,OR(I434+J434-K434&lt;C434+D434-E434,AND(I434+J434-K434=C434+D434-E434,1&lt;0))),1,0),IF(AND(O434+P434-Q434&gt;0,OR(O434+P434-Q434&lt;C434+D434-E434,AND(O434+P434-Q434=C434+D434-E434,2&lt;0))),1,0),IF(AND(U434+V434-W434&gt;0,OR(U434+V434-W434&lt;C434+D434-E434,AND(U434+V434-W434=C434+D434-E434,3&lt;0))),1,0),IF(AND(AA434+AB434-AC434&gt;0,OR(AA434+AB434-AC434&lt;C434+D434-E434,AND(AA434+AB434-AC434=C434+D434-E434,4&lt;0))),1,0)))</x:f>
        <x:v>99</x:v>
      </x:c>
      <x:c r="G434" s="6" t="n">
        <x:f>IF('Debt strategy'!$C$16&gt;0,0,MIN(C434+D434-E434,MAX(0,'Debt strategy'!$C$5-SUM(E434,K434,Q434,W434,AC434)-SUM(IF(L434&lt;F434,I434+J434-K434,0),IF(R434&lt;F434,O434+P434-Q434,0),IF(X434&lt;F434,U434+V434-W434,0),IF(AD434&lt;F434,AA434+AB434-AC434,0)))))</x:f>
        <x:v>0</x:v>
      </x:c>
      <x:c r="H434" s="6" t="n">
        <x:f>ROUND(MAX(0,C434+D434-E434-G434),2)</x:f>
        <x:v>0</x:v>
      </x:c>
      <x:c r="I434" s="6" t="n">
        <x:f>N433</x:f>
        <x:v>0</x:v>
      </x:c>
      <x:c r="J434" s="6" t="n">
        <x:f>ROUND(I434*'Debt strategy'!$D$10/12,2)</x:f>
        <x:v>0</x:v>
      </x:c>
      <x:c r="K434" s="6" t="n">
        <x:f>MIN(I434+J434,'Debt strategy'!$E$10)</x:f>
        <x:v>0</x:v>
      </x:c>
      <x:c r="L434" s="27" t="n">
        <x:f>IF(I434+J434-K434&lt;=0,99,1+SUM(IF(AND(C434+D434-E434&gt;0,OR(C434+D434-E434&lt;I434+J434-K434,AND(C434+D434-E434=I434+J434-K434,0&lt;1))),1,0),IF(AND(O434+P434-Q434&gt;0,OR(O434+P434-Q434&lt;I434+J434-K434,AND(O434+P434-Q434=I434+J434-K434,2&lt;1))),1,0),IF(AND(U434+V434-W434&gt;0,OR(U434+V434-W434&lt;I434+J434-K434,AND(U434+V434-W434=I434+J434-K434,3&lt;1))),1,0),IF(AND(AA434+AB434-AC434&gt;0,OR(AA434+AB434-AC434&lt;I434+J434-K434,AND(AA434+AB434-AC434=I434+J434-K434,4&lt;1))),1,0)))</x:f>
        <x:v>99</x:v>
      </x:c>
      <x:c r="M434" s="6" t="n">
        <x:f>IF('Debt strategy'!$C$16&gt;0,0,MIN(I434+J434-K434,MAX(0,'Debt strategy'!$C$5-SUM(E434,K434,Q434,W434,AC434)-SUM(IF(F434&lt;L434,C434+D434-E434,0),IF(R434&lt;L434,O434+P434-Q434,0),IF(X434&lt;L434,U434+V434-W434,0),IF(AD434&lt;L434,AA434+AB434-AC434,0)))))</x:f>
        <x:v>0</x:v>
      </x:c>
      <x:c r="N434" s="6" t="n">
        <x:f>ROUND(MAX(0,I434+J434-K434-M434),2)</x:f>
        <x:v>0</x:v>
      </x:c>
      <x:c r="O434" s="6" t="n">
        <x:f>T433</x:f>
        <x:v>0</x:v>
      </x:c>
      <x:c r="P434" s="6" t="n">
        <x:f>ROUND(O434*'Debt strategy'!$D$11/12,2)</x:f>
        <x:v>0</x:v>
      </x:c>
      <x:c r="Q434" s="6" t="n">
        <x:f>MIN(O434+P434,'Debt strategy'!$E$11)</x:f>
        <x:v>0</x:v>
      </x:c>
      <x:c r="R434" s="27" t="n">
        <x:f>IF(O434+P434-Q434&lt;=0,99,1+SUM(IF(AND(C434+D434-E434&gt;0,OR(C434+D434-E434&lt;O434+P434-Q434,AND(C434+D434-E434=O434+P434-Q434,0&lt;2))),1,0),IF(AND(I434+J434-K434&gt;0,OR(I434+J434-K434&lt;O434+P434-Q434,AND(I434+J434-K434=O434+P434-Q434,1&lt;2))),1,0),IF(AND(U434+V434-W434&gt;0,OR(U434+V434-W434&lt;O434+P434-Q434,AND(U434+V434-W434=O434+P434-Q434,3&lt;2))),1,0),IF(AND(AA434+AB434-AC434&gt;0,OR(AA434+AB434-AC434&lt;O434+P434-Q434,AND(AA434+AB434-AC434=O434+P434-Q434,4&lt;2))),1,0)))</x:f>
        <x:v>99</x:v>
      </x:c>
      <x:c r="S434" s="6" t="n">
        <x:f>IF('Debt strategy'!$C$16&gt;0,0,MIN(O434+P434-Q434,MAX(0,'Debt strategy'!$C$5-SUM(E434,K434,Q434,W434,AC434)-SUM(IF(F434&lt;R434,C434+D434-E434,0),IF(L434&lt;R434,I434+J434-K434,0),IF(X434&lt;R434,U434+V434-W434,0),IF(AD434&lt;R434,AA434+AB434-AC434,0)))))</x:f>
        <x:v>0</x:v>
      </x:c>
      <x:c r="T434" s="6" t="n">
        <x:f>ROUND(MAX(0,O434+P434-Q434-S434),2)</x:f>
        <x:v>0</x:v>
      </x:c>
      <x:c r="U434" s="6" t="n">
        <x:f>Z433</x:f>
        <x:v>0</x:v>
      </x:c>
      <x:c r="V434" s="6" t="n">
        <x:f>ROUND(U434*'Debt strategy'!$D$12/12,2)</x:f>
        <x:v>0</x:v>
      </x:c>
      <x:c r="W434" s="6" t="n">
        <x:f>MIN(U434+V434,'Debt strategy'!$E$12)</x:f>
        <x:v>0</x:v>
      </x:c>
      <x:c r="X434" s="27" t="n">
        <x:f>IF(U434+V434-W434&lt;=0,99,1+SUM(IF(AND(C434+D434-E434&gt;0,OR(C434+D434-E434&lt;U434+V434-W434,AND(C434+D434-E434=U434+V434-W434,0&lt;3))),1,0),IF(AND(I434+J434-K434&gt;0,OR(I434+J434-K434&lt;U434+V434-W434,AND(I434+J434-K434=U434+V434-W434,1&lt;3))),1,0),IF(AND(O434+P434-Q434&gt;0,OR(O434+P434-Q434&lt;U434+V434-W434,AND(O434+P434-Q434=U434+V434-W434,2&lt;3))),1,0),IF(AND(AA434+AB434-AC434&gt;0,OR(AA434+AB434-AC434&lt;U434+V434-W434,AND(AA434+AB434-AC434=U434+V434-W434,4&lt;3))),1,0)))</x:f>
        <x:v>99</x:v>
      </x:c>
      <x:c r="Y434" s="6" t="n">
        <x:f>IF('Debt strategy'!$C$16&gt;0,0,MIN(U434+V434-W434,MAX(0,'Debt strategy'!$C$5-SUM(E434,K434,Q434,W434,AC434)-SUM(IF(F434&lt;X434,C434+D434-E434,0),IF(L434&lt;X434,I434+J434-K434,0),IF(R434&lt;X434,O434+P434-Q434,0),IF(AD434&lt;X434,AA434+AB434-AC434,0)))))</x:f>
        <x:v>0</x:v>
      </x:c>
      <x:c r="Z434" s="6" t="n">
        <x:f>ROUND(MAX(0,U434+V434-W434-Y434),2)</x:f>
        <x:v>0</x:v>
      </x:c>
      <x:c r="AA434" s="6" t="n">
        <x:f>AF433</x:f>
        <x:v>0</x:v>
      </x:c>
      <x:c r="AB434" s="6" t="n">
        <x:f>ROUND(AA434*'Debt strategy'!$D$13/12,2)</x:f>
        <x:v>0</x:v>
      </x:c>
      <x:c r="AC434" s="6" t="n">
        <x:f>MIN(AA434+AB434,'Debt strategy'!$E$13)</x:f>
        <x:v>0</x:v>
      </x:c>
      <x:c r="AD434" s="27" t="n">
        <x:f>IF(AA434+AB434-AC434&lt;=0,99,1+SUM(IF(AND(C434+D434-E434&gt;0,OR(C434+D434-E434&lt;AA434+AB434-AC434,AND(C434+D434-E434=AA434+AB434-AC434,0&lt;4))),1,0),IF(AND(I434+J434-K434&gt;0,OR(I434+J434-K434&lt;AA434+AB434-AC434,AND(I434+J434-K434=AA434+AB434-AC434,1&lt;4))),1,0),IF(AND(O434+P434-Q434&gt;0,OR(O434+P434-Q434&lt;AA434+AB434-AC434,AND(O434+P434-Q434=AA434+AB434-AC434,2&lt;4))),1,0),IF(AND(U434+V434-W434&gt;0,OR(U434+V434-W434&lt;AA434+AB434-AC434,AND(U434+V434-W434=AA434+AB434-AC434,3&lt;4))),1,0)))</x:f>
        <x:v>99</x:v>
      </x:c>
      <x:c r="AE434" s="6" t="n">
        <x:f>IF('Debt strategy'!$C$16&gt;0,0,MIN(AA434+AB434-AC434,MAX(0,'Debt strategy'!$C$5-SUM(E434,K434,Q434,W434,AC434)-SUM(IF(F434&lt;AD434,C434+D434-E434,0),IF(L434&lt;AD434,I434+J434-K434,0),IF(R434&lt;AD434,O434+P434-Q434,0),IF(X434&lt;AD434,U434+V434-W434,0)))))</x:f>
        <x:v>0</x:v>
      </x:c>
      <x:c r="AF434" s="6" t="n">
        <x:f>ROUND(MAX(0,AA434+AB434-AC434-AE434),2)</x:f>
        <x:v>0</x:v>
      </x:c>
      <x:c r="AG434" s="6" t="n">
        <x:f>SUM(H434,N434,T434,Z434,AF434)</x:f>
        <x:v>0</x:v>
      </x:c>
      <x:c r="AH434" s="6" t="n">
        <x:f>SUM(D434,J434,P434,V434,AB434)+AH433</x:f>
        <x:v>1353.9499999999996</x:v>
      </x:c>
      <x:c r="AI434" s="2"/>
    </x:row>
    <x:row r="435" ht="23" customHeight="1">
      <x:c r="B435" s="2" t="n">
        <x:f>427</x:f>
        <x:v>427</x:v>
      </x:c>
      <x:c r="C435" s="6" t="n">
        <x:f>H434</x:f>
        <x:v>0</x:v>
      </x:c>
      <x:c r="D435" s="6" t="n">
        <x:f>ROUND(C435*'Debt strategy'!$D$9/12,2)</x:f>
        <x:v>0</x:v>
      </x:c>
      <x:c r="E435" s="6" t="n">
        <x:f>MIN(C435+D435,'Debt strategy'!$E$9)</x:f>
        <x:v>0</x:v>
      </x:c>
      <x:c r="F435" s="27" t="n">
        <x:f>IF(C435+D435-E435&lt;=0,99,1+SUM(IF(AND(I435+J435-K435&gt;0,OR(I435+J435-K435&lt;C435+D435-E435,AND(I435+J435-K435=C435+D435-E435,1&lt;0))),1,0),IF(AND(O435+P435-Q435&gt;0,OR(O435+P435-Q435&lt;C435+D435-E435,AND(O435+P435-Q435=C435+D435-E435,2&lt;0))),1,0),IF(AND(U435+V435-W435&gt;0,OR(U435+V435-W435&lt;C435+D435-E435,AND(U435+V435-W435=C435+D435-E435,3&lt;0))),1,0),IF(AND(AA435+AB435-AC435&gt;0,OR(AA435+AB435-AC435&lt;C435+D435-E435,AND(AA435+AB435-AC435=C435+D435-E435,4&lt;0))),1,0)))</x:f>
        <x:v>99</x:v>
      </x:c>
      <x:c r="G435" s="6" t="n">
        <x:f>IF('Debt strategy'!$C$16&gt;0,0,MIN(C435+D435-E435,MAX(0,'Debt strategy'!$C$5-SUM(E435,K435,Q435,W435,AC435)-SUM(IF(L435&lt;F435,I435+J435-K435,0),IF(R435&lt;F435,O435+P435-Q435,0),IF(X435&lt;F435,U435+V435-W435,0),IF(AD435&lt;F435,AA435+AB435-AC435,0)))))</x:f>
        <x:v>0</x:v>
      </x:c>
      <x:c r="H435" s="6" t="n">
        <x:f>ROUND(MAX(0,C435+D435-E435-G435),2)</x:f>
        <x:v>0</x:v>
      </x:c>
      <x:c r="I435" s="6" t="n">
        <x:f>N434</x:f>
        <x:v>0</x:v>
      </x:c>
      <x:c r="J435" s="6" t="n">
        <x:f>ROUND(I435*'Debt strategy'!$D$10/12,2)</x:f>
        <x:v>0</x:v>
      </x:c>
      <x:c r="K435" s="6" t="n">
        <x:f>MIN(I435+J435,'Debt strategy'!$E$10)</x:f>
        <x:v>0</x:v>
      </x:c>
      <x:c r="L435" s="27" t="n">
        <x:f>IF(I435+J435-K435&lt;=0,99,1+SUM(IF(AND(C435+D435-E435&gt;0,OR(C435+D435-E435&lt;I435+J435-K435,AND(C435+D435-E435=I435+J435-K435,0&lt;1))),1,0),IF(AND(O435+P435-Q435&gt;0,OR(O435+P435-Q435&lt;I435+J435-K435,AND(O435+P435-Q435=I435+J435-K435,2&lt;1))),1,0),IF(AND(U435+V435-W435&gt;0,OR(U435+V435-W435&lt;I435+J435-K435,AND(U435+V435-W435=I435+J435-K435,3&lt;1))),1,0),IF(AND(AA435+AB435-AC435&gt;0,OR(AA435+AB435-AC435&lt;I435+J435-K435,AND(AA435+AB435-AC435=I435+J435-K435,4&lt;1))),1,0)))</x:f>
        <x:v>99</x:v>
      </x:c>
      <x:c r="M435" s="6" t="n">
        <x:f>IF('Debt strategy'!$C$16&gt;0,0,MIN(I435+J435-K435,MAX(0,'Debt strategy'!$C$5-SUM(E435,K435,Q435,W435,AC435)-SUM(IF(F435&lt;L435,C435+D435-E435,0),IF(R435&lt;L435,O435+P435-Q435,0),IF(X435&lt;L435,U435+V435-W435,0),IF(AD435&lt;L435,AA435+AB435-AC435,0)))))</x:f>
        <x:v>0</x:v>
      </x:c>
      <x:c r="N435" s="6" t="n">
        <x:f>ROUND(MAX(0,I435+J435-K435-M435),2)</x:f>
        <x:v>0</x:v>
      </x:c>
      <x:c r="O435" s="6" t="n">
        <x:f>T434</x:f>
        <x:v>0</x:v>
      </x:c>
      <x:c r="P435" s="6" t="n">
        <x:f>ROUND(O435*'Debt strategy'!$D$11/12,2)</x:f>
        <x:v>0</x:v>
      </x:c>
      <x:c r="Q435" s="6" t="n">
        <x:f>MIN(O435+P435,'Debt strategy'!$E$11)</x:f>
        <x:v>0</x:v>
      </x:c>
      <x:c r="R435" s="27" t="n">
        <x:f>IF(O435+P435-Q435&lt;=0,99,1+SUM(IF(AND(C435+D435-E435&gt;0,OR(C435+D435-E435&lt;O435+P435-Q435,AND(C435+D435-E435=O435+P435-Q435,0&lt;2))),1,0),IF(AND(I435+J435-K435&gt;0,OR(I435+J435-K435&lt;O435+P435-Q435,AND(I435+J435-K435=O435+P435-Q435,1&lt;2))),1,0),IF(AND(U435+V435-W435&gt;0,OR(U435+V435-W435&lt;O435+P435-Q435,AND(U435+V435-W435=O435+P435-Q435,3&lt;2))),1,0),IF(AND(AA435+AB435-AC435&gt;0,OR(AA435+AB435-AC435&lt;O435+P435-Q435,AND(AA435+AB435-AC435=O435+P435-Q435,4&lt;2))),1,0)))</x:f>
        <x:v>99</x:v>
      </x:c>
      <x:c r="S435" s="6" t="n">
        <x:f>IF('Debt strategy'!$C$16&gt;0,0,MIN(O435+P435-Q435,MAX(0,'Debt strategy'!$C$5-SUM(E435,K435,Q435,W435,AC435)-SUM(IF(F435&lt;R435,C435+D435-E435,0),IF(L435&lt;R435,I435+J435-K435,0),IF(X435&lt;R435,U435+V435-W435,0),IF(AD435&lt;R435,AA435+AB435-AC435,0)))))</x:f>
        <x:v>0</x:v>
      </x:c>
      <x:c r="T435" s="6" t="n">
        <x:f>ROUND(MAX(0,O435+P435-Q435-S435),2)</x:f>
        <x:v>0</x:v>
      </x:c>
      <x:c r="U435" s="6" t="n">
        <x:f>Z434</x:f>
        <x:v>0</x:v>
      </x:c>
      <x:c r="V435" s="6" t="n">
        <x:f>ROUND(U435*'Debt strategy'!$D$12/12,2)</x:f>
        <x:v>0</x:v>
      </x:c>
      <x:c r="W435" s="6" t="n">
        <x:f>MIN(U435+V435,'Debt strategy'!$E$12)</x:f>
        <x:v>0</x:v>
      </x:c>
      <x:c r="X435" s="27" t="n">
        <x:f>IF(U435+V435-W435&lt;=0,99,1+SUM(IF(AND(C435+D435-E435&gt;0,OR(C435+D435-E435&lt;U435+V435-W435,AND(C435+D435-E435=U435+V435-W435,0&lt;3))),1,0),IF(AND(I435+J435-K435&gt;0,OR(I435+J435-K435&lt;U435+V435-W435,AND(I435+J435-K435=U435+V435-W435,1&lt;3))),1,0),IF(AND(O435+P435-Q435&gt;0,OR(O435+P435-Q435&lt;U435+V435-W435,AND(O435+P435-Q435=U435+V435-W435,2&lt;3))),1,0),IF(AND(AA435+AB435-AC435&gt;0,OR(AA435+AB435-AC435&lt;U435+V435-W435,AND(AA435+AB435-AC435=U435+V435-W435,4&lt;3))),1,0)))</x:f>
        <x:v>99</x:v>
      </x:c>
      <x:c r="Y435" s="6" t="n">
        <x:f>IF('Debt strategy'!$C$16&gt;0,0,MIN(U435+V435-W435,MAX(0,'Debt strategy'!$C$5-SUM(E435,K435,Q435,W435,AC435)-SUM(IF(F435&lt;X435,C435+D435-E435,0),IF(L435&lt;X435,I435+J435-K435,0),IF(R435&lt;X435,O435+P435-Q435,0),IF(AD435&lt;X435,AA435+AB435-AC435,0)))))</x:f>
        <x:v>0</x:v>
      </x:c>
      <x:c r="Z435" s="6" t="n">
        <x:f>ROUND(MAX(0,U435+V435-W435-Y435),2)</x:f>
        <x:v>0</x:v>
      </x:c>
      <x:c r="AA435" s="6" t="n">
        <x:f>AF434</x:f>
        <x:v>0</x:v>
      </x:c>
      <x:c r="AB435" s="6" t="n">
        <x:f>ROUND(AA435*'Debt strategy'!$D$13/12,2)</x:f>
        <x:v>0</x:v>
      </x:c>
      <x:c r="AC435" s="6" t="n">
        <x:f>MIN(AA435+AB435,'Debt strategy'!$E$13)</x:f>
        <x:v>0</x:v>
      </x:c>
      <x:c r="AD435" s="27" t="n">
        <x:f>IF(AA435+AB435-AC435&lt;=0,99,1+SUM(IF(AND(C435+D435-E435&gt;0,OR(C435+D435-E435&lt;AA435+AB435-AC435,AND(C435+D435-E435=AA435+AB435-AC435,0&lt;4))),1,0),IF(AND(I435+J435-K435&gt;0,OR(I435+J435-K435&lt;AA435+AB435-AC435,AND(I435+J435-K435=AA435+AB435-AC435,1&lt;4))),1,0),IF(AND(O435+P435-Q435&gt;0,OR(O435+P435-Q435&lt;AA435+AB435-AC435,AND(O435+P435-Q435=AA435+AB435-AC435,2&lt;4))),1,0),IF(AND(U435+V435-W435&gt;0,OR(U435+V435-W435&lt;AA435+AB435-AC435,AND(U435+V435-W435=AA435+AB435-AC435,3&lt;4))),1,0)))</x:f>
        <x:v>99</x:v>
      </x:c>
      <x:c r="AE435" s="6" t="n">
        <x:f>IF('Debt strategy'!$C$16&gt;0,0,MIN(AA435+AB435-AC435,MAX(0,'Debt strategy'!$C$5-SUM(E435,K435,Q435,W435,AC435)-SUM(IF(F435&lt;AD435,C435+D435-E435,0),IF(L435&lt;AD435,I435+J435-K435,0),IF(R435&lt;AD435,O435+P435-Q435,0),IF(X435&lt;AD435,U435+V435-W435,0)))))</x:f>
        <x:v>0</x:v>
      </x:c>
      <x:c r="AF435" s="6" t="n">
        <x:f>ROUND(MAX(0,AA435+AB435-AC435-AE435),2)</x:f>
        <x:v>0</x:v>
      </x:c>
      <x:c r="AG435" s="6" t="n">
        <x:f>SUM(H435,N435,T435,Z435,AF435)</x:f>
        <x:v>0</x:v>
      </x:c>
      <x:c r="AH435" s="6" t="n">
        <x:f>SUM(D435,J435,P435,V435,AB435)+AH434</x:f>
        <x:v>1353.9499999999996</x:v>
      </x:c>
      <x:c r="AI435" s="2"/>
    </x:row>
    <x:row r="436" ht="23" customHeight="1">
      <x:c r="B436" s="2" t="n">
        <x:f>428</x:f>
        <x:v>428</x:v>
      </x:c>
      <x:c r="C436" s="6" t="n">
        <x:f>H435</x:f>
        <x:v>0</x:v>
      </x:c>
      <x:c r="D436" s="6" t="n">
        <x:f>ROUND(C436*'Debt strategy'!$D$9/12,2)</x:f>
        <x:v>0</x:v>
      </x:c>
      <x:c r="E436" s="6" t="n">
        <x:f>MIN(C436+D436,'Debt strategy'!$E$9)</x:f>
        <x:v>0</x:v>
      </x:c>
      <x:c r="F436" s="27" t="n">
        <x:f>IF(C436+D436-E436&lt;=0,99,1+SUM(IF(AND(I436+J436-K436&gt;0,OR(I436+J436-K436&lt;C436+D436-E436,AND(I436+J436-K436=C436+D436-E436,1&lt;0))),1,0),IF(AND(O436+P436-Q436&gt;0,OR(O436+P436-Q436&lt;C436+D436-E436,AND(O436+P436-Q436=C436+D436-E436,2&lt;0))),1,0),IF(AND(U436+V436-W436&gt;0,OR(U436+V436-W436&lt;C436+D436-E436,AND(U436+V436-W436=C436+D436-E436,3&lt;0))),1,0),IF(AND(AA436+AB436-AC436&gt;0,OR(AA436+AB436-AC436&lt;C436+D436-E436,AND(AA436+AB436-AC436=C436+D436-E436,4&lt;0))),1,0)))</x:f>
        <x:v>99</x:v>
      </x:c>
      <x:c r="G436" s="6" t="n">
        <x:f>IF('Debt strategy'!$C$16&gt;0,0,MIN(C436+D436-E436,MAX(0,'Debt strategy'!$C$5-SUM(E436,K436,Q436,W436,AC436)-SUM(IF(L436&lt;F436,I436+J436-K436,0),IF(R436&lt;F436,O436+P436-Q436,0),IF(X436&lt;F436,U436+V436-W436,0),IF(AD436&lt;F436,AA436+AB436-AC436,0)))))</x:f>
        <x:v>0</x:v>
      </x:c>
      <x:c r="H436" s="6" t="n">
        <x:f>ROUND(MAX(0,C436+D436-E436-G436),2)</x:f>
        <x:v>0</x:v>
      </x:c>
      <x:c r="I436" s="6" t="n">
        <x:f>N435</x:f>
        <x:v>0</x:v>
      </x:c>
      <x:c r="J436" s="6" t="n">
        <x:f>ROUND(I436*'Debt strategy'!$D$10/12,2)</x:f>
        <x:v>0</x:v>
      </x:c>
      <x:c r="K436" s="6" t="n">
        <x:f>MIN(I436+J436,'Debt strategy'!$E$10)</x:f>
        <x:v>0</x:v>
      </x:c>
      <x:c r="L436" s="27" t="n">
        <x:f>IF(I436+J436-K436&lt;=0,99,1+SUM(IF(AND(C436+D436-E436&gt;0,OR(C436+D436-E436&lt;I436+J436-K436,AND(C436+D436-E436=I436+J436-K436,0&lt;1))),1,0),IF(AND(O436+P436-Q436&gt;0,OR(O436+P436-Q436&lt;I436+J436-K436,AND(O436+P436-Q436=I436+J436-K436,2&lt;1))),1,0),IF(AND(U436+V436-W436&gt;0,OR(U436+V436-W436&lt;I436+J436-K436,AND(U436+V436-W436=I436+J436-K436,3&lt;1))),1,0),IF(AND(AA436+AB436-AC436&gt;0,OR(AA436+AB436-AC436&lt;I436+J436-K436,AND(AA436+AB436-AC436=I436+J436-K436,4&lt;1))),1,0)))</x:f>
        <x:v>99</x:v>
      </x:c>
      <x:c r="M436" s="6" t="n">
        <x:f>IF('Debt strategy'!$C$16&gt;0,0,MIN(I436+J436-K436,MAX(0,'Debt strategy'!$C$5-SUM(E436,K436,Q436,W436,AC436)-SUM(IF(F436&lt;L436,C436+D436-E436,0),IF(R436&lt;L436,O436+P436-Q436,0),IF(X436&lt;L436,U436+V436-W436,0),IF(AD436&lt;L436,AA436+AB436-AC436,0)))))</x:f>
        <x:v>0</x:v>
      </x:c>
      <x:c r="N436" s="6" t="n">
        <x:f>ROUND(MAX(0,I436+J436-K436-M436),2)</x:f>
        <x:v>0</x:v>
      </x:c>
      <x:c r="O436" s="6" t="n">
        <x:f>T435</x:f>
        <x:v>0</x:v>
      </x:c>
      <x:c r="P436" s="6" t="n">
        <x:f>ROUND(O436*'Debt strategy'!$D$11/12,2)</x:f>
        <x:v>0</x:v>
      </x:c>
      <x:c r="Q436" s="6" t="n">
        <x:f>MIN(O436+P436,'Debt strategy'!$E$11)</x:f>
        <x:v>0</x:v>
      </x:c>
      <x:c r="R436" s="27" t="n">
        <x:f>IF(O436+P436-Q436&lt;=0,99,1+SUM(IF(AND(C436+D436-E436&gt;0,OR(C436+D436-E436&lt;O436+P436-Q436,AND(C436+D436-E436=O436+P436-Q436,0&lt;2))),1,0),IF(AND(I436+J436-K436&gt;0,OR(I436+J436-K436&lt;O436+P436-Q436,AND(I436+J436-K436=O436+P436-Q436,1&lt;2))),1,0),IF(AND(U436+V436-W436&gt;0,OR(U436+V436-W436&lt;O436+P436-Q436,AND(U436+V436-W436=O436+P436-Q436,3&lt;2))),1,0),IF(AND(AA436+AB436-AC436&gt;0,OR(AA436+AB436-AC436&lt;O436+P436-Q436,AND(AA436+AB436-AC436=O436+P436-Q436,4&lt;2))),1,0)))</x:f>
        <x:v>99</x:v>
      </x:c>
      <x:c r="S436" s="6" t="n">
        <x:f>IF('Debt strategy'!$C$16&gt;0,0,MIN(O436+P436-Q436,MAX(0,'Debt strategy'!$C$5-SUM(E436,K436,Q436,W436,AC436)-SUM(IF(F436&lt;R436,C436+D436-E436,0),IF(L436&lt;R436,I436+J436-K436,0),IF(X436&lt;R436,U436+V436-W436,0),IF(AD436&lt;R436,AA436+AB436-AC436,0)))))</x:f>
        <x:v>0</x:v>
      </x:c>
      <x:c r="T436" s="6" t="n">
        <x:f>ROUND(MAX(0,O436+P436-Q436-S436),2)</x:f>
        <x:v>0</x:v>
      </x:c>
      <x:c r="U436" s="6" t="n">
        <x:f>Z435</x:f>
        <x:v>0</x:v>
      </x:c>
      <x:c r="V436" s="6" t="n">
        <x:f>ROUND(U436*'Debt strategy'!$D$12/12,2)</x:f>
        <x:v>0</x:v>
      </x:c>
      <x:c r="W436" s="6" t="n">
        <x:f>MIN(U436+V436,'Debt strategy'!$E$12)</x:f>
        <x:v>0</x:v>
      </x:c>
      <x:c r="X436" s="27" t="n">
        <x:f>IF(U436+V436-W436&lt;=0,99,1+SUM(IF(AND(C436+D436-E436&gt;0,OR(C436+D436-E436&lt;U436+V436-W436,AND(C436+D436-E436=U436+V436-W436,0&lt;3))),1,0),IF(AND(I436+J436-K436&gt;0,OR(I436+J436-K436&lt;U436+V436-W436,AND(I436+J436-K436=U436+V436-W436,1&lt;3))),1,0),IF(AND(O436+P436-Q436&gt;0,OR(O436+P436-Q436&lt;U436+V436-W436,AND(O436+P436-Q436=U436+V436-W436,2&lt;3))),1,0),IF(AND(AA436+AB436-AC436&gt;0,OR(AA436+AB436-AC436&lt;U436+V436-W436,AND(AA436+AB436-AC436=U436+V436-W436,4&lt;3))),1,0)))</x:f>
        <x:v>99</x:v>
      </x:c>
      <x:c r="Y436" s="6" t="n">
        <x:f>IF('Debt strategy'!$C$16&gt;0,0,MIN(U436+V436-W436,MAX(0,'Debt strategy'!$C$5-SUM(E436,K436,Q436,W436,AC436)-SUM(IF(F436&lt;X436,C436+D436-E436,0),IF(L436&lt;X436,I436+J436-K436,0),IF(R436&lt;X436,O436+P436-Q436,0),IF(AD436&lt;X436,AA436+AB436-AC436,0)))))</x:f>
        <x:v>0</x:v>
      </x:c>
      <x:c r="Z436" s="6" t="n">
        <x:f>ROUND(MAX(0,U436+V436-W436-Y436),2)</x:f>
        <x:v>0</x:v>
      </x:c>
      <x:c r="AA436" s="6" t="n">
        <x:f>AF435</x:f>
        <x:v>0</x:v>
      </x:c>
      <x:c r="AB436" s="6" t="n">
        <x:f>ROUND(AA436*'Debt strategy'!$D$13/12,2)</x:f>
        <x:v>0</x:v>
      </x:c>
      <x:c r="AC436" s="6" t="n">
        <x:f>MIN(AA436+AB436,'Debt strategy'!$E$13)</x:f>
        <x:v>0</x:v>
      </x:c>
      <x:c r="AD436" s="27" t="n">
        <x:f>IF(AA436+AB436-AC436&lt;=0,99,1+SUM(IF(AND(C436+D436-E436&gt;0,OR(C436+D436-E436&lt;AA436+AB436-AC436,AND(C436+D436-E436=AA436+AB436-AC436,0&lt;4))),1,0),IF(AND(I436+J436-K436&gt;0,OR(I436+J436-K436&lt;AA436+AB436-AC436,AND(I436+J436-K436=AA436+AB436-AC436,1&lt;4))),1,0),IF(AND(O436+P436-Q436&gt;0,OR(O436+P436-Q436&lt;AA436+AB436-AC436,AND(O436+P436-Q436=AA436+AB436-AC436,2&lt;4))),1,0),IF(AND(U436+V436-W436&gt;0,OR(U436+V436-W436&lt;AA436+AB436-AC436,AND(U436+V436-W436=AA436+AB436-AC436,3&lt;4))),1,0)))</x:f>
        <x:v>99</x:v>
      </x:c>
      <x:c r="AE436" s="6" t="n">
        <x:f>IF('Debt strategy'!$C$16&gt;0,0,MIN(AA436+AB436-AC436,MAX(0,'Debt strategy'!$C$5-SUM(E436,K436,Q436,W436,AC436)-SUM(IF(F436&lt;AD436,C436+D436-E436,0),IF(L436&lt;AD436,I436+J436-K436,0),IF(R436&lt;AD436,O436+P436-Q436,0),IF(X436&lt;AD436,U436+V436-W436,0)))))</x:f>
        <x:v>0</x:v>
      </x:c>
      <x:c r="AF436" s="6" t="n">
        <x:f>ROUND(MAX(0,AA436+AB436-AC436-AE436),2)</x:f>
        <x:v>0</x:v>
      </x:c>
      <x:c r="AG436" s="6" t="n">
        <x:f>SUM(H436,N436,T436,Z436,AF436)</x:f>
        <x:v>0</x:v>
      </x:c>
      <x:c r="AH436" s="6" t="n">
        <x:f>SUM(D436,J436,P436,V436,AB436)+AH435</x:f>
        <x:v>1353.9499999999996</x:v>
      </x:c>
      <x:c r="AI436" s="2"/>
    </x:row>
    <x:row r="437" ht="23" customHeight="1">
      <x:c r="B437" s="2" t="n">
        <x:f>429</x:f>
        <x:v>429</x:v>
      </x:c>
      <x:c r="C437" s="6" t="n">
        <x:f>H436</x:f>
        <x:v>0</x:v>
      </x:c>
      <x:c r="D437" s="6" t="n">
        <x:f>ROUND(C437*'Debt strategy'!$D$9/12,2)</x:f>
        <x:v>0</x:v>
      </x:c>
      <x:c r="E437" s="6" t="n">
        <x:f>MIN(C437+D437,'Debt strategy'!$E$9)</x:f>
        <x:v>0</x:v>
      </x:c>
      <x:c r="F437" s="27" t="n">
        <x:f>IF(C437+D437-E437&lt;=0,99,1+SUM(IF(AND(I437+J437-K437&gt;0,OR(I437+J437-K437&lt;C437+D437-E437,AND(I437+J437-K437=C437+D437-E437,1&lt;0))),1,0),IF(AND(O437+P437-Q437&gt;0,OR(O437+P437-Q437&lt;C437+D437-E437,AND(O437+P437-Q437=C437+D437-E437,2&lt;0))),1,0),IF(AND(U437+V437-W437&gt;0,OR(U437+V437-W437&lt;C437+D437-E437,AND(U437+V437-W437=C437+D437-E437,3&lt;0))),1,0),IF(AND(AA437+AB437-AC437&gt;0,OR(AA437+AB437-AC437&lt;C437+D437-E437,AND(AA437+AB437-AC437=C437+D437-E437,4&lt;0))),1,0)))</x:f>
        <x:v>99</x:v>
      </x:c>
      <x:c r="G437" s="6" t="n">
        <x:f>IF('Debt strategy'!$C$16&gt;0,0,MIN(C437+D437-E437,MAX(0,'Debt strategy'!$C$5-SUM(E437,K437,Q437,W437,AC437)-SUM(IF(L437&lt;F437,I437+J437-K437,0),IF(R437&lt;F437,O437+P437-Q437,0),IF(X437&lt;F437,U437+V437-W437,0),IF(AD437&lt;F437,AA437+AB437-AC437,0)))))</x:f>
        <x:v>0</x:v>
      </x:c>
      <x:c r="H437" s="6" t="n">
        <x:f>ROUND(MAX(0,C437+D437-E437-G437),2)</x:f>
        <x:v>0</x:v>
      </x:c>
      <x:c r="I437" s="6" t="n">
        <x:f>N436</x:f>
        <x:v>0</x:v>
      </x:c>
      <x:c r="J437" s="6" t="n">
        <x:f>ROUND(I437*'Debt strategy'!$D$10/12,2)</x:f>
        <x:v>0</x:v>
      </x:c>
      <x:c r="K437" s="6" t="n">
        <x:f>MIN(I437+J437,'Debt strategy'!$E$10)</x:f>
        <x:v>0</x:v>
      </x:c>
      <x:c r="L437" s="27" t="n">
        <x:f>IF(I437+J437-K437&lt;=0,99,1+SUM(IF(AND(C437+D437-E437&gt;0,OR(C437+D437-E437&lt;I437+J437-K437,AND(C437+D437-E437=I437+J437-K437,0&lt;1))),1,0),IF(AND(O437+P437-Q437&gt;0,OR(O437+P437-Q437&lt;I437+J437-K437,AND(O437+P437-Q437=I437+J437-K437,2&lt;1))),1,0),IF(AND(U437+V437-W437&gt;0,OR(U437+V437-W437&lt;I437+J437-K437,AND(U437+V437-W437=I437+J437-K437,3&lt;1))),1,0),IF(AND(AA437+AB437-AC437&gt;0,OR(AA437+AB437-AC437&lt;I437+J437-K437,AND(AA437+AB437-AC437=I437+J437-K437,4&lt;1))),1,0)))</x:f>
        <x:v>99</x:v>
      </x:c>
      <x:c r="M437" s="6" t="n">
        <x:f>IF('Debt strategy'!$C$16&gt;0,0,MIN(I437+J437-K437,MAX(0,'Debt strategy'!$C$5-SUM(E437,K437,Q437,W437,AC437)-SUM(IF(F437&lt;L437,C437+D437-E437,0),IF(R437&lt;L437,O437+P437-Q437,0),IF(X437&lt;L437,U437+V437-W437,0),IF(AD437&lt;L437,AA437+AB437-AC437,0)))))</x:f>
        <x:v>0</x:v>
      </x:c>
      <x:c r="N437" s="6" t="n">
        <x:f>ROUND(MAX(0,I437+J437-K437-M437),2)</x:f>
        <x:v>0</x:v>
      </x:c>
      <x:c r="O437" s="6" t="n">
        <x:f>T436</x:f>
        <x:v>0</x:v>
      </x:c>
      <x:c r="P437" s="6" t="n">
        <x:f>ROUND(O437*'Debt strategy'!$D$11/12,2)</x:f>
        <x:v>0</x:v>
      </x:c>
      <x:c r="Q437" s="6" t="n">
        <x:f>MIN(O437+P437,'Debt strategy'!$E$11)</x:f>
        <x:v>0</x:v>
      </x:c>
      <x:c r="R437" s="27" t="n">
        <x:f>IF(O437+P437-Q437&lt;=0,99,1+SUM(IF(AND(C437+D437-E437&gt;0,OR(C437+D437-E437&lt;O437+P437-Q437,AND(C437+D437-E437=O437+P437-Q437,0&lt;2))),1,0),IF(AND(I437+J437-K437&gt;0,OR(I437+J437-K437&lt;O437+P437-Q437,AND(I437+J437-K437=O437+P437-Q437,1&lt;2))),1,0),IF(AND(U437+V437-W437&gt;0,OR(U437+V437-W437&lt;O437+P437-Q437,AND(U437+V437-W437=O437+P437-Q437,3&lt;2))),1,0),IF(AND(AA437+AB437-AC437&gt;0,OR(AA437+AB437-AC437&lt;O437+P437-Q437,AND(AA437+AB437-AC437=O437+P437-Q437,4&lt;2))),1,0)))</x:f>
        <x:v>99</x:v>
      </x:c>
      <x:c r="S437" s="6" t="n">
        <x:f>IF('Debt strategy'!$C$16&gt;0,0,MIN(O437+P437-Q437,MAX(0,'Debt strategy'!$C$5-SUM(E437,K437,Q437,W437,AC437)-SUM(IF(F437&lt;R437,C437+D437-E437,0),IF(L437&lt;R437,I437+J437-K437,0),IF(X437&lt;R437,U437+V437-W437,0),IF(AD437&lt;R437,AA437+AB437-AC437,0)))))</x:f>
        <x:v>0</x:v>
      </x:c>
      <x:c r="T437" s="6" t="n">
        <x:f>ROUND(MAX(0,O437+P437-Q437-S437),2)</x:f>
        <x:v>0</x:v>
      </x:c>
      <x:c r="U437" s="6" t="n">
        <x:f>Z436</x:f>
        <x:v>0</x:v>
      </x:c>
      <x:c r="V437" s="6" t="n">
        <x:f>ROUND(U437*'Debt strategy'!$D$12/12,2)</x:f>
        <x:v>0</x:v>
      </x:c>
      <x:c r="W437" s="6" t="n">
        <x:f>MIN(U437+V437,'Debt strategy'!$E$12)</x:f>
        <x:v>0</x:v>
      </x:c>
      <x:c r="X437" s="27" t="n">
        <x:f>IF(U437+V437-W437&lt;=0,99,1+SUM(IF(AND(C437+D437-E437&gt;0,OR(C437+D437-E437&lt;U437+V437-W437,AND(C437+D437-E437=U437+V437-W437,0&lt;3))),1,0),IF(AND(I437+J437-K437&gt;0,OR(I437+J437-K437&lt;U437+V437-W437,AND(I437+J437-K437=U437+V437-W437,1&lt;3))),1,0),IF(AND(O437+P437-Q437&gt;0,OR(O437+P437-Q437&lt;U437+V437-W437,AND(O437+P437-Q437=U437+V437-W437,2&lt;3))),1,0),IF(AND(AA437+AB437-AC437&gt;0,OR(AA437+AB437-AC437&lt;U437+V437-W437,AND(AA437+AB437-AC437=U437+V437-W437,4&lt;3))),1,0)))</x:f>
        <x:v>99</x:v>
      </x:c>
      <x:c r="Y437" s="6" t="n">
        <x:f>IF('Debt strategy'!$C$16&gt;0,0,MIN(U437+V437-W437,MAX(0,'Debt strategy'!$C$5-SUM(E437,K437,Q437,W437,AC437)-SUM(IF(F437&lt;X437,C437+D437-E437,0),IF(L437&lt;X437,I437+J437-K437,0),IF(R437&lt;X437,O437+P437-Q437,0),IF(AD437&lt;X437,AA437+AB437-AC437,0)))))</x:f>
        <x:v>0</x:v>
      </x:c>
      <x:c r="Z437" s="6" t="n">
        <x:f>ROUND(MAX(0,U437+V437-W437-Y437),2)</x:f>
        <x:v>0</x:v>
      </x:c>
      <x:c r="AA437" s="6" t="n">
        <x:f>AF436</x:f>
        <x:v>0</x:v>
      </x:c>
      <x:c r="AB437" s="6" t="n">
        <x:f>ROUND(AA437*'Debt strategy'!$D$13/12,2)</x:f>
        <x:v>0</x:v>
      </x:c>
      <x:c r="AC437" s="6" t="n">
        <x:f>MIN(AA437+AB437,'Debt strategy'!$E$13)</x:f>
        <x:v>0</x:v>
      </x:c>
      <x:c r="AD437" s="27" t="n">
        <x:f>IF(AA437+AB437-AC437&lt;=0,99,1+SUM(IF(AND(C437+D437-E437&gt;0,OR(C437+D437-E437&lt;AA437+AB437-AC437,AND(C437+D437-E437=AA437+AB437-AC437,0&lt;4))),1,0),IF(AND(I437+J437-K437&gt;0,OR(I437+J437-K437&lt;AA437+AB437-AC437,AND(I437+J437-K437=AA437+AB437-AC437,1&lt;4))),1,0),IF(AND(O437+P437-Q437&gt;0,OR(O437+P437-Q437&lt;AA437+AB437-AC437,AND(O437+P437-Q437=AA437+AB437-AC437,2&lt;4))),1,0),IF(AND(U437+V437-W437&gt;0,OR(U437+V437-W437&lt;AA437+AB437-AC437,AND(U437+V437-W437=AA437+AB437-AC437,3&lt;4))),1,0)))</x:f>
        <x:v>99</x:v>
      </x:c>
      <x:c r="AE437" s="6" t="n">
        <x:f>IF('Debt strategy'!$C$16&gt;0,0,MIN(AA437+AB437-AC437,MAX(0,'Debt strategy'!$C$5-SUM(E437,K437,Q437,W437,AC437)-SUM(IF(F437&lt;AD437,C437+D437-E437,0),IF(L437&lt;AD437,I437+J437-K437,0),IF(R437&lt;AD437,O437+P437-Q437,0),IF(X437&lt;AD437,U437+V437-W437,0)))))</x:f>
        <x:v>0</x:v>
      </x:c>
      <x:c r="AF437" s="6" t="n">
        <x:f>ROUND(MAX(0,AA437+AB437-AC437-AE437),2)</x:f>
        <x:v>0</x:v>
      </x:c>
      <x:c r="AG437" s="6" t="n">
        <x:f>SUM(H437,N437,T437,Z437,AF437)</x:f>
        <x:v>0</x:v>
      </x:c>
      <x:c r="AH437" s="6" t="n">
        <x:f>SUM(D437,J437,P437,V437,AB437)+AH436</x:f>
        <x:v>1353.9499999999996</x:v>
      </x:c>
      <x:c r="AI437" s="2"/>
    </x:row>
    <x:row r="438" ht="23" customHeight="1">
      <x:c r="B438" s="2" t="n">
        <x:f>430</x:f>
        <x:v>430</x:v>
      </x:c>
      <x:c r="C438" s="6" t="n">
        <x:f>H437</x:f>
        <x:v>0</x:v>
      </x:c>
      <x:c r="D438" s="6" t="n">
        <x:f>ROUND(C438*'Debt strategy'!$D$9/12,2)</x:f>
        <x:v>0</x:v>
      </x:c>
      <x:c r="E438" s="6" t="n">
        <x:f>MIN(C438+D438,'Debt strategy'!$E$9)</x:f>
        <x:v>0</x:v>
      </x:c>
      <x:c r="F438" s="27" t="n">
        <x:f>IF(C438+D438-E438&lt;=0,99,1+SUM(IF(AND(I438+J438-K438&gt;0,OR(I438+J438-K438&lt;C438+D438-E438,AND(I438+J438-K438=C438+D438-E438,1&lt;0))),1,0),IF(AND(O438+P438-Q438&gt;0,OR(O438+P438-Q438&lt;C438+D438-E438,AND(O438+P438-Q438=C438+D438-E438,2&lt;0))),1,0),IF(AND(U438+V438-W438&gt;0,OR(U438+V438-W438&lt;C438+D438-E438,AND(U438+V438-W438=C438+D438-E438,3&lt;0))),1,0),IF(AND(AA438+AB438-AC438&gt;0,OR(AA438+AB438-AC438&lt;C438+D438-E438,AND(AA438+AB438-AC438=C438+D438-E438,4&lt;0))),1,0)))</x:f>
        <x:v>99</x:v>
      </x:c>
      <x:c r="G438" s="6" t="n">
        <x:f>IF('Debt strategy'!$C$16&gt;0,0,MIN(C438+D438-E438,MAX(0,'Debt strategy'!$C$5-SUM(E438,K438,Q438,W438,AC438)-SUM(IF(L438&lt;F438,I438+J438-K438,0),IF(R438&lt;F438,O438+P438-Q438,0),IF(X438&lt;F438,U438+V438-W438,0),IF(AD438&lt;F438,AA438+AB438-AC438,0)))))</x:f>
        <x:v>0</x:v>
      </x:c>
      <x:c r="H438" s="6" t="n">
        <x:f>ROUND(MAX(0,C438+D438-E438-G438),2)</x:f>
        <x:v>0</x:v>
      </x:c>
      <x:c r="I438" s="6" t="n">
        <x:f>N437</x:f>
        <x:v>0</x:v>
      </x:c>
      <x:c r="J438" s="6" t="n">
        <x:f>ROUND(I438*'Debt strategy'!$D$10/12,2)</x:f>
        <x:v>0</x:v>
      </x:c>
      <x:c r="K438" s="6" t="n">
        <x:f>MIN(I438+J438,'Debt strategy'!$E$10)</x:f>
        <x:v>0</x:v>
      </x:c>
      <x:c r="L438" s="27" t="n">
        <x:f>IF(I438+J438-K438&lt;=0,99,1+SUM(IF(AND(C438+D438-E438&gt;0,OR(C438+D438-E438&lt;I438+J438-K438,AND(C438+D438-E438=I438+J438-K438,0&lt;1))),1,0),IF(AND(O438+P438-Q438&gt;0,OR(O438+P438-Q438&lt;I438+J438-K438,AND(O438+P438-Q438=I438+J438-K438,2&lt;1))),1,0),IF(AND(U438+V438-W438&gt;0,OR(U438+V438-W438&lt;I438+J438-K438,AND(U438+V438-W438=I438+J438-K438,3&lt;1))),1,0),IF(AND(AA438+AB438-AC438&gt;0,OR(AA438+AB438-AC438&lt;I438+J438-K438,AND(AA438+AB438-AC438=I438+J438-K438,4&lt;1))),1,0)))</x:f>
        <x:v>99</x:v>
      </x:c>
      <x:c r="M438" s="6" t="n">
        <x:f>IF('Debt strategy'!$C$16&gt;0,0,MIN(I438+J438-K438,MAX(0,'Debt strategy'!$C$5-SUM(E438,K438,Q438,W438,AC438)-SUM(IF(F438&lt;L438,C438+D438-E438,0),IF(R438&lt;L438,O438+P438-Q438,0),IF(X438&lt;L438,U438+V438-W438,0),IF(AD438&lt;L438,AA438+AB438-AC438,0)))))</x:f>
        <x:v>0</x:v>
      </x:c>
      <x:c r="N438" s="6" t="n">
        <x:f>ROUND(MAX(0,I438+J438-K438-M438),2)</x:f>
        <x:v>0</x:v>
      </x:c>
      <x:c r="O438" s="6" t="n">
        <x:f>T437</x:f>
        <x:v>0</x:v>
      </x:c>
      <x:c r="P438" s="6" t="n">
        <x:f>ROUND(O438*'Debt strategy'!$D$11/12,2)</x:f>
        <x:v>0</x:v>
      </x:c>
      <x:c r="Q438" s="6" t="n">
        <x:f>MIN(O438+P438,'Debt strategy'!$E$11)</x:f>
        <x:v>0</x:v>
      </x:c>
      <x:c r="R438" s="27" t="n">
        <x:f>IF(O438+P438-Q438&lt;=0,99,1+SUM(IF(AND(C438+D438-E438&gt;0,OR(C438+D438-E438&lt;O438+P438-Q438,AND(C438+D438-E438=O438+P438-Q438,0&lt;2))),1,0),IF(AND(I438+J438-K438&gt;0,OR(I438+J438-K438&lt;O438+P438-Q438,AND(I438+J438-K438=O438+P438-Q438,1&lt;2))),1,0),IF(AND(U438+V438-W438&gt;0,OR(U438+V438-W438&lt;O438+P438-Q438,AND(U438+V438-W438=O438+P438-Q438,3&lt;2))),1,0),IF(AND(AA438+AB438-AC438&gt;0,OR(AA438+AB438-AC438&lt;O438+P438-Q438,AND(AA438+AB438-AC438=O438+P438-Q438,4&lt;2))),1,0)))</x:f>
        <x:v>99</x:v>
      </x:c>
      <x:c r="S438" s="6" t="n">
        <x:f>IF('Debt strategy'!$C$16&gt;0,0,MIN(O438+P438-Q438,MAX(0,'Debt strategy'!$C$5-SUM(E438,K438,Q438,W438,AC438)-SUM(IF(F438&lt;R438,C438+D438-E438,0),IF(L438&lt;R438,I438+J438-K438,0),IF(X438&lt;R438,U438+V438-W438,0),IF(AD438&lt;R438,AA438+AB438-AC438,0)))))</x:f>
        <x:v>0</x:v>
      </x:c>
      <x:c r="T438" s="6" t="n">
        <x:f>ROUND(MAX(0,O438+P438-Q438-S438),2)</x:f>
        <x:v>0</x:v>
      </x:c>
      <x:c r="U438" s="6" t="n">
        <x:f>Z437</x:f>
        <x:v>0</x:v>
      </x:c>
      <x:c r="V438" s="6" t="n">
        <x:f>ROUND(U438*'Debt strategy'!$D$12/12,2)</x:f>
        <x:v>0</x:v>
      </x:c>
      <x:c r="W438" s="6" t="n">
        <x:f>MIN(U438+V438,'Debt strategy'!$E$12)</x:f>
        <x:v>0</x:v>
      </x:c>
      <x:c r="X438" s="27" t="n">
        <x:f>IF(U438+V438-W438&lt;=0,99,1+SUM(IF(AND(C438+D438-E438&gt;0,OR(C438+D438-E438&lt;U438+V438-W438,AND(C438+D438-E438=U438+V438-W438,0&lt;3))),1,0),IF(AND(I438+J438-K438&gt;0,OR(I438+J438-K438&lt;U438+V438-W438,AND(I438+J438-K438=U438+V438-W438,1&lt;3))),1,0),IF(AND(O438+P438-Q438&gt;0,OR(O438+P438-Q438&lt;U438+V438-W438,AND(O438+P438-Q438=U438+V438-W438,2&lt;3))),1,0),IF(AND(AA438+AB438-AC438&gt;0,OR(AA438+AB438-AC438&lt;U438+V438-W438,AND(AA438+AB438-AC438=U438+V438-W438,4&lt;3))),1,0)))</x:f>
        <x:v>99</x:v>
      </x:c>
      <x:c r="Y438" s="6" t="n">
        <x:f>IF('Debt strategy'!$C$16&gt;0,0,MIN(U438+V438-W438,MAX(0,'Debt strategy'!$C$5-SUM(E438,K438,Q438,W438,AC438)-SUM(IF(F438&lt;X438,C438+D438-E438,0),IF(L438&lt;X438,I438+J438-K438,0),IF(R438&lt;X438,O438+P438-Q438,0),IF(AD438&lt;X438,AA438+AB438-AC438,0)))))</x:f>
        <x:v>0</x:v>
      </x:c>
      <x:c r="Z438" s="6" t="n">
        <x:f>ROUND(MAX(0,U438+V438-W438-Y438),2)</x:f>
        <x:v>0</x:v>
      </x:c>
      <x:c r="AA438" s="6" t="n">
        <x:f>AF437</x:f>
        <x:v>0</x:v>
      </x:c>
      <x:c r="AB438" s="6" t="n">
        <x:f>ROUND(AA438*'Debt strategy'!$D$13/12,2)</x:f>
        <x:v>0</x:v>
      </x:c>
      <x:c r="AC438" s="6" t="n">
        <x:f>MIN(AA438+AB438,'Debt strategy'!$E$13)</x:f>
        <x:v>0</x:v>
      </x:c>
      <x:c r="AD438" s="27" t="n">
        <x:f>IF(AA438+AB438-AC438&lt;=0,99,1+SUM(IF(AND(C438+D438-E438&gt;0,OR(C438+D438-E438&lt;AA438+AB438-AC438,AND(C438+D438-E438=AA438+AB438-AC438,0&lt;4))),1,0),IF(AND(I438+J438-K438&gt;0,OR(I438+J438-K438&lt;AA438+AB438-AC438,AND(I438+J438-K438=AA438+AB438-AC438,1&lt;4))),1,0),IF(AND(O438+P438-Q438&gt;0,OR(O438+P438-Q438&lt;AA438+AB438-AC438,AND(O438+P438-Q438=AA438+AB438-AC438,2&lt;4))),1,0),IF(AND(U438+V438-W438&gt;0,OR(U438+V438-W438&lt;AA438+AB438-AC438,AND(U438+V438-W438=AA438+AB438-AC438,3&lt;4))),1,0)))</x:f>
        <x:v>99</x:v>
      </x:c>
      <x:c r="AE438" s="6" t="n">
        <x:f>IF('Debt strategy'!$C$16&gt;0,0,MIN(AA438+AB438-AC438,MAX(0,'Debt strategy'!$C$5-SUM(E438,K438,Q438,W438,AC438)-SUM(IF(F438&lt;AD438,C438+D438-E438,0),IF(L438&lt;AD438,I438+J438-K438,0),IF(R438&lt;AD438,O438+P438-Q438,0),IF(X438&lt;AD438,U438+V438-W438,0)))))</x:f>
        <x:v>0</x:v>
      </x:c>
      <x:c r="AF438" s="6" t="n">
        <x:f>ROUND(MAX(0,AA438+AB438-AC438-AE438),2)</x:f>
        <x:v>0</x:v>
      </x:c>
      <x:c r="AG438" s="6" t="n">
        <x:f>SUM(H438,N438,T438,Z438,AF438)</x:f>
        <x:v>0</x:v>
      </x:c>
      <x:c r="AH438" s="6" t="n">
        <x:f>SUM(D438,J438,P438,V438,AB438)+AH437</x:f>
        <x:v>1353.9499999999996</x:v>
      </x:c>
      <x:c r="AI438" s="2"/>
    </x:row>
    <x:row r="439" ht="23" customHeight="1">
      <x:c r="B439" s="2" t="n">
        <x:f>431</x:f>
        <x:v>431</x:v>
      </x:c>
      <x:c r="C439" s="6" t="n">
        <x:f>H438</x:f>
        <x:v>0</x:v>
      </x:c>
      <x:c r="D439" s="6" t="n">
        <x:f>ROUND(C439*'Debt strategy'!$D$9/12,2)</x:f>
        <x:v>0</x:v>
      </x:c>
      <x:c r="E439" s="6" t="n">
        <x:f>MIN(C439+D439,'Debt strategy'!$E$9)</x:f>
        <x:v>0</x:v>
      </x:c>
      <x:c r="F439" s="27" t="n">
        <x:f>IF(C439+D439-E439&lt;=0,99,1+SUM(IF(AND(I439+J439-K439&gt;0,OR(I439+J439-K439&lt;C439+D439-E439,AND(I439+J439-K439=C439+D439-E439,1&lt;0))),1,0),IF(AND(O439+P439-Q439&gt;0,OR(O439+P439-Q439&lt;C439+D439-E439,AND(O439+P439-Q439=C439+D439-E439,2&lt;0))),1,0),IF(AND(U439+V439-W439&gt;0,OR(U439+V439-W439&lt;C439+D439-E439,AND(U439+V439-W439=C439+D439-E439,3&lt;0))),1,0),IF(AND(AA439+AB439-AC439&gt;0,OR(AA439+AB439-AC439&lt;C439+D439-E439,AND(AA439+AB439-AC439=C439+D439-E439,4&lt;0))),1,0)))</x:f>
        <x:v>99</x:v>
      </x:c>
      <x:c r="G439" s="6" t="n">
        <x:f>IF('Debt strategy'!$C$16&gt;0,0,MIN(C439+D439-E439,MAX(0,'Debt strategy'!$C$5-SUM(E439,K439,Q439,W439,AC439)-SUM(IF(L439&lt;F439,I439+J439-K439,0),IF(R439&lt;F439,O439+P439-Q439,0),IF(X439&lt;F439,U439+V439-W439,0),IF(AD439&lt;F439,AA439+AB439-AC439,0)))))</x:f>
        <x:v>0</x:v>
      </x:c>
      <x:c r="H439" s="6" t="n">
        <x:f>ROUND(MAX(0,C439+D439-E439-G439),2)</x:f>
        <x:v>0</x:v>
      </x:c>
      <x:c r="I439" s="6" t="n">
        <x:f>N438</x:f>
        <x:v>0</x:v>
      </x:c>
      <x:c r="J439" s="6" t="n">
        <x:f>ROUND(I439*'Debt strategy'!$D$10/12,2)</x:f>
        <x:v>0</x:v>
      </x:c>
      <x:c r="K439" s="6" t="n">
        <x:f>MIN(I439+J439,'Debt strategy'!$E$10)</x:f>
        <x:v>0</x:v>
      </x:c>
      <x:c r="L439" s="27" t="n">
        <x:f>IF(I439+J439-K439&lt;=0,99,1+SUM(IF(AND(C439+D439-E439&gt;0,OR(C439+D439-E439&lt;I439+J439-K439,AND(C439+D439-E439=I439+J439-K439,0&lt;1))),1,0),IF(AND(O439+P439-Q439&gt;0,OR(O439+P439-Q439&lt;I439+J439-K439,AND(O439+P439-Q439=I439+J439-K439,2&lt;1))),1,0),IF(AND(U439+V439-W439&gt;0,OR(U439+V439-W439&lt;I439+J439-K439,AND(U439+V439-W439=I439+J439-K439,3&lt;1))),1,0),IF(AND(AA439+AB439-AC439&gt;0,OR(AA439+AB439-AC439&lt;I439+J439-K439,AND(AA439+AB439-AC439=I439+J439-K439,4&lt;1))),1,0)))</x:f>
        <x:v>99</x:v>
      </x:c>
      <x:c r="M439" s="6" t="n">
        <x:f>IF('Debt strategy'!$C$16&gt;0,0,MIN(I439+J439-K439,MAX(0,'Debt strategy'!$C$5-SUM(E439,K439,Q439,W439,AC439)-SUM(IF(F439&lt;L439,C439+D439-E439,0),IF(R439&lt;L439,O439+P439-Q439,0),IF(X439&lt;L439,U439+V439-W439,0),IF(AD439&lt;L439,AA439+AB439-AC439,0)))))</x:f>
        <x:v>0</x:v>
      </x:c>
      <x:c r="N439" s="6" t="n">
        <x:f>ROUND(MAX(0,I439+J439-K439-M439),2)</x:f>
        <x:v>0</x:v>
      </x:c>
      <x:c r="O439" s="6" t="n">
        <x:f>T438</x:f>
        <x:v>0</x:v>
      </x:c>
      <x:c r="P439" s="6" t="n">
        <x:f>ROUND(O439*'Debt strategy'!$D$11/12,2)</x:f>
        <x:v>0</x:v>
      </x:c>
      <x:c r="Q439" s="6" t="n">
        <x:f>MIN(O439+P439,'Debt strategy'!$E$11)</x:f>
        <x:v>0</x:v>
      </x:c>
      <x:c r="R439" s="27" t="n">
        <x:f>IF(O439+P439-Q439&lt;=0,99,1+SUM(IF(AND(C439+D439-E439&gt;0,OR(C439+D439-E439&lt;O439+P439-Q439,AND(C439+D439-E439=O439+P439-Q439,0&lt;2))),1,0),IF(AND(I439+J439-K439&gt;0,OR(I439+J439-K439&lt;O439+P439-Q439,AND(I439+J439-K439=O439+P439-Q439,1&lt;2))),1,0),IF(AND(U439+V439-W439&gt;0,OR(U439+V439-W439&lt;O439+P439-Q439,AND(U439+V439-W439=O439+P439-Q439,3&lt;2))),1,0),IF(AND(AA439+AB439-AC439&gt;0,OR(AA439+AB439-AC439&lt;O439+P439-Q439,AND(AA439+AB439-AC439=O439+P439-Q439,4&lt;2))),1,0)))</x:f>
        <x:v>99</x:v>
      </x:c>
      <x:c r="S439" s="6" t="n">
        <x:f>IF('Debt strategy'!$C$16&gt;0,0,MIN(O439+P439-Q439,MAX(0,'Debt strategy'!$C$5-SUM(E439,K439,Q439,W439,AC439)-SUM(IF(F439&lt;R439,C439+D439-E439,0),IF(L439&lt;R439,I439+J439-K439,0),IF(X439&lt;R439,U439+V439-W439,0),IF(AD439&lt;R439,AA439+AB439-AC439,0)))))</x:f>
        <x:v>0</x:v>
      </x:c>
      <x:c r="T439" s="6" t="n">
        <x:f>ROUND(MAX(0,O439+P439-Q439-S439),2)</x:f>
        <x:v>0</x:v>
      </x:c>
      <x:c r="U439" s="6" t="n">
        <x:f>Z438</x:f>
        <x:v>0</x:v>
      </x:c>
      <x:c r="V439" s="6" t="n">
        <x:f>ROUND(U439*'Debt strategy'!$D$12/12,2)</x:f>
        <x:v>0</x:v>
      </x:c>
      <x:c r="W439" s="6" t="n">
        <x:f>MIN(U439+V439,'Debt strategy'!$E$12)</x:f>
        <x:v>0</x:v>
      </x:c>
      <x:c r="X439" s="27" t="n">
        <x:f>IF(U439+V439-W439&lt;=0,99,1+SUM(IF(AND(C439+D439-E439&gt;0,OR(C439+D439-E439&lt;U439+V439-W439,AND(C439+D439-E439=U439+V439-W439,0&lt;3))),1,0),IF(AND(I439+J439-K439&gt;0,OR(I439+J439-K439&lt;U439+V439-W439,AND(I439+J439-K439=U439+V439-W439,1&lt;3))),1,0),IF(AND(O439+P439-Q439&gt;0,OR(O439+P439-Q439&lt;U439+V439-W439,AND(O439+P439-Q439=U439+V439-W439,2&lt;3))),1,0),IF(AND(AA439+AB439-AC439&gt;0,OR(AA439+AB439-AC439&lt;U439+V439-W439,AND(AA439+AB439-AC439=U439+V439-W439,4&lt;3))),1,0)))</x:f>
        <x:v>99</x:v>
      </x:c>
      <x:c r="Y439" s="6" t="n">
        <x:f>IF('Debt strategy'!$C$16&gt;0,0,MIN(U439+V439-W439,MAX(0,'Debt strategy'!$C$5-SUM(E439,K439,Q439,W439,AC439)-SUM(IF(F439&lt;X439,C439+D439-E439,0),IF(L439&lt;X439,I439+J439-K439,0),IF(R439&lt;X439,O439+P439-Q439,0),IF(AD439&lt;X439,AA439+AB439-AC439,0)))))</x:f>
        <x:v>0</x:v>
      </x:c>
      <x:c r="Z439" s="6" t="n">
        <x:f>ROUND(MAX(0,U439+V439-W439-Y439),2)</x:f>
        <x:v>0</x:v>
      </x:c>
      <x:c r="AA439" s="6" t="n">
        <x:f>AF438</x:f>
        <x:v>0</x:v>
      </x:c>
      <x:c r="AB439" s="6" t="n">
        <x:f>ROUND(AA439*'Debt strategy'!$D$13/12,2)</x:f>
        <x:v>0</x:v>
      </x:c>
      <x:c r="AC439" s="6" t="n">
        <x:f>MIN(AA439+AB439,'Debt strategy'!$E$13)</x:f>
        <x:v>0</x:v>
      </x:c>
      <x:c r="AD439" s="27" t="n">
        <x:f>IF(AA439+AB439-AC439&lt;=0,99,1+SUM(IF(AND(C439+D439-E439&gt;0,OR(C439+D439-E439&lt;AA439+AB439-AC439,AND(C439+D439-E439=AA439+AB439-AC439,0&lt;4))),1,0),IF(AND(I439+J439-K439&gt;0,OR(I439+J439-K439&lt;AA439+AB439-AC439,AND(I439+J439-K439=AA439+AB439-AC439,1&lt;4))),1,0),IF(AND(O439+P439-Q439&gt;0,OR(O439+P439-Q439&lt;AA439+AB439-AC439,AND(O439+P439-Q439=AA439+AB439-AC439,2&lt;4))),1,0),IF(AND(U439+V439-W439&gt;0,OR(U439+V439-W439&lt;AA439+AB439-AC439,AND(U439+V439-W439=AA439+AB439-AC439,3&lt;4))),1,0)))</x:f>
        <x:v>99</x:v>
      </x:c>
      <x:c r="AE439" s="6" t="n">
        <x:f>IF('Debt strategy'!$C$16&gt;0,0,MIN(AA439+AB439-AC439,MAX(0,'Debt strategy'!$C$5-SUM(E439,K439,Q439,W439,AC439)-SUM(IF(F439&lt;AD439,C439+D439-E439,0),IF(L439&lt;AD439,I439+J439-K439,0),IF(R439&lt;AD439,O439+P439-Q439,0),IF(X439&lt;AD439,U439+V439-W439,0)))))</x:f>
        <x:v>0</x:v>
      </x:c>
      <x:c r="AF439" s="6" t="n">
        <x:f>ROUND(MAX(0,AA439+AB439-AC439-AE439),2)</x:f>
        <x:v>0</x:v>
      </x:c>
      <x:c r="AG439" s="6" t="n">
        <x:f>SUM(H439,N439,T439,Z439,AF439)</x:f>
        <x:v>0</x:v>
      </x:c>
      <x:c r="AH439" s="6" t="n">
        <x:f>SUM(D439,J439,P439,V439,AB439)+AH438</x:f>
        <x:v>1353.9499999999996</x:v>
      </x:c>
      <x:c r="AI439" s="2"/>
    </x:row>
    <x:row r="440" ht="23" customHeight="1">
      <x:c r="B440" s="2" t="n">
        <x:f>432</x:f>
        <x:v>432</x:v>
      </x:c>
      <x:c r="C440" s="6" t="n">
        <x:f>H439</x:f>
        <x:v>0</x:v>
      </x:c>
      <x:c r="D440" s="6" t="n">
        <x:f>ROUND(C440*'Debt strategy'!$D$9/12,2)</x:f>
        <x:v>0</x:v>
      </x:c>
      <x:c r="E440" s="6" t="n">
        <x:f>MIN(C440+D440,'Debt strategy'!$E$9)</x:f>
        <x:v>0</x:v>
      </x:c>
      <x:c r="F440" s="27" t="n">
        <x:f>IF(C440+D440-E440&lt;=0,99,1+SUM(IF(AND(I440+J440-K440&gt;0,OR(I440+J440-K440&lt;C440+D440-E440,AND(I440+J440-K440=C440+D440-E440,1&lt;0))),1,0),IF(AND(O440+P440-Q440&gt;0,OR(O440+P440-Q440&lt;C440+D440-E440,AND(O440+P440-Q440=C440+D440-E440,2&lt;0))),1,0),IF(AND(U440+V440-W440&gt;0,OR(U440+V440-W440&lt;C440+D440-E440,AND(U440+V440-W440=C440+D440-E440,3&lt;0))),1,0),IF(AND(AA440+AB440-AC440&gt;0,OR(AA440+AB440-AC440&lt;C440+D440-E440,AND(AA440+AB440-AC440=C440+D440-E440,4&lt;0))),1,0)))</x:f>
        <x:v>99</x:v>
      </x:c>
      <x:c r="G440" s="6" t="n">
        <x:f>IF('Debt strategy'!$C$16&gt;0,0,MIN(C440+D440-E440,MAX(0,'Debt strategy'!$C$5-SUM(E440,K440,Q440,W440,AC440)-SUM(IF(L440&lt;F440,I440+J440-K440,0),IF(R440&lt;F440,O440+P440-Q440,0),IF(X440&lt;F440,U440+V440-W440,0),IF(AD440&lt;F440,AA440+AB440-AC440,0)))))</x:f>
        <x:v>0</x:v>
      </x:c>
      <x:c r="H440" s="6" t="n">
        <x:f>ROUND(MAX(0,C440+D440-E440-G440),2)</x:f>
        <x:v>0</x:v>
      </x:c>
      <x:c r="I440" s="6" t="n">
        <x:f>N439</x:f>
        <x:v>0</x:v>
      </x:c>
      <x:c r="J440" s="6" t="n">
        <x:f>ROUND(I440*'Debt strategy'!$D$10/12,2)</x:f>
        <x:v>0</x:v>
      </x:c>
      <x:c r="K440" s="6" t="n">
        <x:f>MIN(I440+J440,'Debt strategy'!$E$10)</x:f>
        <x:v>0</x:v>
      </x:c>
      <x:c r="L440" s="27" t="n">
        <x:f>IF(I440+J440-K440&lt;=0,99,1+SUM(IF(AND(C440+D440-E440&gt;0,OR(C440+D440-E440&lt;I440+J440-K440,AND(C440+D440-E440=I440+J440-K440,0&lt;1))),1,0),IF(AND(O440+P440-Q440&gt;0,OR(O440+P440-Q440&lt;I440+J440-K440,AND(O440+P440-Q440=I440+J440-K440,2&lt;1))),1,0),IF(AND(U440+V440-W440&gt;0,OR(U440+V440-W440&lt;I440+J440-K440,AND(U440+V440-W440=I440+J440-K440,3&lt;1))),1,0),IF(AND(AA440+AB440-AC440&gt;0,OR(AA440+AB440-AC440&lt;I440+J440-K440,AND(AA440+AB440-AC440=I440+J440-K440,4&lt;1))),1,0)))</x:f>
        <x:v>99</x:v>
      </x:c>
      <x:c r="M440" s="6" t="n">
        <x:f>IF('Debt strategy'!$C$16&gt;0,0,MIN(I440+J440-K440,MAX(0,'Debt strategy'!$C$5-SUM(E440,K440,Q440,W440,AC440)-SUM(IF(F440&lt;L440,C440+D440-E440,0),IF(R440&lt;L440,O440+P440-Q440,0),IF(X440&lt;L440,U440+V440-W440,0),IF(AD440&lt;L440,AA440+AB440-AC440,0)))))</x:f>
        <x:v>0</x:v>
      </x:c>
      <x:c r="N440" s="6" t="n">
        <x:f>ROUND(MAX(0,I440+J440-K440-M440),2)</x:f>
        <x:v>0</x:v>
      </x:c>
      <x:c r="O440" s="6" t="n">
        <x:f>T439</x:f>
        <x:v>0</x:v>
      </x:c>
      <x:c r="P440" s="6" t="n">
        <x:f>ROUND(O440*'Debt strategy'!$D$11/12,2)</x:f>
        <x:v>0</x:v>
      </x:c>
      <x:c r="Q440" s="6" t="n">
        <x:f>MIN(O440+P440,'Debt strategy'!$E$11)</x:f>
        <x:v>0</x:v>
      </x:c>
      <x:c r="R440" s="27" t="n">
        <x:f>IF(O440+P440-Q440&lt;=0,99,1+SUM(IF(AND(C440+D440-E440&gt;0,OR(C440+D440-E440&lt;O440+P440-Q440,AND(C440+D440-E440=O440+P440-Q440,0&lt;2))),1,0),IF(AND(I440+J440-K440&gt;0,OR(I440+J440-K440&lt;O440+P440-Q440,AND(I440+J440-K440=O440+P440-Q440,1&lt;2))),1,0),IF(AND(U440+V440-W440&gt;0,OR(U440+V440-W440&lt;O440+P440-Q440,AND(U440+V440-W440=O440+P440-Q440,3&lt;2))),1,0),IF(AND(AA440+AB440-AC440&gt;0,OR(AA440+AB440-AC440&lt;O440+P440-Q440,AND(AA440+AB440-AC440=O440+P440-Q440,4&lt;2))),1,0)))</x:f>
        <x:v>99</x:v>
      </x:c>
      <x:c r="S440" s="6" t="n">
        <x:f>IF('Debt strategy'!$C$16&gt;0,0,MIN(O440+P440-Q440,MAX(0,'Debt strategy'!$C$5-SUM(E440,K440,Q440,W440,AC440)-SUM(IF(F440&lt;R440,C440+D440-E440,0),IF(L440&lt;R440,I440+J440-K440,0),IF(X440&lt;R440,U440+V440-W440,0),IF(AD440&lt;R440,AA440+AB440-AC440,0)))))</x:f>
        <x:v>0</x:v>
      </x:c>
      <x:c r="T440" s="6" t="n">
        <x:f>ROUND(MAX(0,O440+P440-Q440-S440),2)</x:f>
        <x:v>0</x:v>
      </x:c>
      <x:c r="U440" s="6" t="n">
        <x:f>Z439</x:f>
        <x:v>0</x:v>
      </x:c>
      <x:c r="V440" s="6" t="n">
        <x:f>ROUND(U440*'Debt strategy'!$D$12/12,2)</x:f>
        <x:v>0</x:v>
      </x:c>
      <x:c r="W440" s="6" t="n">
        <x:f>MIN(U440+V440,'Debt strategy'!$E$12)</x:f>
        <x:v>0</x:v>
      </x:c>
      <x:c r="X440" s="27" t="n">
        <x:f>IF(U440+V440-W440&lt;=0,99,1+SUM(IF(AND(C440+D440-E440&gt;0,OR(C440+D440-E440&lt;U440+V440-W440,AND(C440+D440-E440=U440+V440-W440,0&lt;3))),1,0),IF(AND(I440+J440-K440&gt;0,OR(I440+J440-K440&lt;U440+V440-W440,AND(I440+J440-K440=U440+V440-W440,1&lt;3))),1,0),IF(AND(O440+P440-Q440&gt;0,OR(O440+P440-Q440&lt;U440+V440-W440,AND(O440+P440-Q440=U440+V440-W440,2&lt;3))),1,0),IF(AND(AA440+AB440-AC440&gt;0,OR(AA440+AB440-AC440&lt;U440+V440-W440,AND(AA440+AB440-AC440=U440+V440-W440,4&lt;3))),1,0)))</x:f>
        <x:v>99</x:v>
      </x:c>
      <x:c r="Y440" s="6" t="n">
        <x:f>IF('Debt strategy'!$C$16&gt;0,0,MIN(U440+V440-W440,MAX(0,'Debt strategy'!$C$5-SUM(E440,K440,Q440,W440,AC440)-SUM(IF(F440&lt;X440,C440+D440-E440,0),IF(L440&lt;X440,I440+J440-K440,0),IF(R440&lt;X440,O440+P440-Q440,0),IF(AD440&lt;X440,AA440+AB440-AC440,0)))))</x:f>
        <x:v>0</x:v>
      </x:c>
      <x:c r="Z440" s="6" t="n">
        <x:f>ROUND(MAX(0,U440+V440-W440-Y440),2)</x:f>
        <x:v>0</x:v>
      </x:c>
      <x:c r="AA440" s="6" t="n">
        <x:f>AF439</x:f>
        <x:v>0</x:v>
      </x:c>
      <x:c r="AB440" s="6" t="n">
        <x:f>ROUND(AA440*'Debt strategy'!$D$13/12,2)</x:f>
        <x:v>0</x:v>
      </x:c>
      <x:c r="AC440" s="6" t="n">
        <x:f>MIN(AA440+AB440,'Debt strategy'!$E$13)</x:f>
        <x:v>0</x:v>
      </x:c>
      <x:c r="AD440" s="27" t="n">
        <x:f>IF(AA440+AB440-AC440&lt;=0,99,1+SUM(IF(AND(C440+D440-E440&gt;0,OR(C440+D440-E440&lt;AA440+AB440-AC440,AND(C440+D440-E440=AA440+AB440-AC440,0&lt;4))),1,0),IF(AND(I440+J440-K440&gt;0,OR(I440+J440-K440&lt;AA440+AB440-AC440,AND(I440+J440-K440=AA440+AB440-AC440,1&lt;4))),1,0),IF(AND(O440+P440-Q440&gt;0,OR(O440+P440-Q440&lt;AA440+AB440-AC440,AND(O440+P440-Q440=AA440+AB440-AC440,2&lt;4))),1,0),IF(AND(U440+V440-W440&gt;0,OR(U440+V440-W440&lt;AA440+AB440-AC440,AND(U440+V440-W440=AA440+AB440-AC440,3&lt;4))),1,0)))</x:f>
        <x:v>99</x:v>
      </x:c>
      <x:c r="AE440" s="6" t="n">
        <x:f>IF('Debt strategy'!$C$16&gt;0,0,MIN(AA440+AB440-AC440,MAX(0,'Debt strategy'!$C$5-SUM(E440,K440,Q440,W440,AC440)-SUM(IF(F440&lt;AD440,C440+D440-E440,0),IF(L440&lt;AD440,I440+J440-K440,0),IF(R440&lt;AD440,O440+P440-Q440,0),IF(X440&lt;AD440,U440+V440-W440,0)))))</x:f>
        <x:v>0</x:v>
      </x:c>
      <x:c r="AF440" s="6" t="n">
        <x:f>ROUND(MAX(0,AA440+AB440-AC440-AE440),2)</x:f>
        <x:v>0</x:v>
      </x:c>
      <x:c r="AG440" s="6" t="n">
        <x:f>SUM(H440,N440,T440,Z440,AF440)</x:f>
        <x:v>0</x:v>
      </x:c>
      <x:c r="AH440" s="6" t="n">
        <x:f>SUM(D440,J440,P440,V440,AB440)+AH439</x:f>
        <x:v>1353.9499999999996</x:v>
      </x:c>
      <x:c r="AI440" s="2"/>
    </x:row>
    <x:row r="441" ht="23" customHeight="1">
      <x:c r="B441" s="2" t="n">
        <x:f>433</x:f>
        <x:v>433</x:v>
      </x:c>
      <x:c r="C441" s="6" t="n">
        <x:f>H440</x:f>
        <x:v>0</x:v>
      </x:c>
      <x:c r="D441" s="6" t="n">
        <x:f>ROUND(C441*'Debt strategy'!$D$9/12,2)</x:f>
        <x:v>0</x:v>
      </x:c>
      <x:c r="E441" s="6" t="n">
        <x:f>MIN(C441+D441,'Debt strategy'!$E$9)</x:f>
        <x:v>0</x:v>
      </x:c>
      <x:c r="F441" s="27" t="n">
        <x:f>IF(C441+D441-E441&lt;=0,99,1+SUM(IF(AND(I441+J441-K441&gt;0,OR(I441+J441-K441&lt;C441+D441-E441,AND(I441+J441-K441=C441+D441-E441,1&lt;0))),1,0),IF(AND(O441+P441-Q441&gt;0,OR(O441+P441-Q441&lt;C441+D441-E441,AND(O441+P441-Q441=C441+D441-E441,2&lt;0))),1,0),IF(AND(U441+V441-W441&gt;0,OR(U441+V441-W441&lt;C441+D441-E441,AND(U441+V441-W441=C441+D441-E441,3&lt;0))),1,0),IF(AND(AA441+AB441-AC441&gt;0,OR(AA441+AB441-AC441&lt;C441+D441-E441,AND(AA441+AB441-AC441=C441+D441-E441,4&lt;0))),1,0)))</x:f>
        <x:v>99</x:v>
      </x:c>
      <x:c r="G441" s="6" t="n">
        <x:f>IF('Debt strategy'!$C$16&gt;0,0,MIN(C441+D441-E441,MAX(0,'Debt strategy'!$C$5-SUM(E441,K441,Q441,W441,AC441)-SUM(IF(L441&lt;F441,I441+J441-K441,0),IF(R441&lt;F441,O441+P441-Q441,0),IF(X441&lt;F441,U441+V441-W441,0),IF(AD441&lt;F441,AA441+AB441-AC441,0)))))</x:f>
        <x:v>0</x:v>
      </x:c>
      <x:c r="H441" s="6" t="n">
        <x:f>ROUND(MAX(0,C441+D441-E441-G441),2)</x:f>
        <x:v>0</x:v>
      </x:c>
      <x:c r="I441" s="6" t="n">
        <x:f>N440</x:f>
        <x:v>0</x:v>
      </x:c>
      <x:c r="J441" s="6" t="n">
        <x:f>ROUND(I441*'Debt strategy'!$D$10/12,2)</x:f>
        <x:v>0</x:v>
      </x:c>
      <x:c r="K441" s="6" t="n">
        <x:f>MIN(I441+J441,'Debt strategy'!$E$10)</x:f>
        <x:v>0</x:v>
      </x:c>
      <x:c r="L441" s="27" t="n">
        <x:f>IF(I441+J441-K441&lt;=0,99,1+SUM(IF(AND(C441+D441-E441&gt;0,OR(C441+D441-E441&lt;I441+J441-K441,AND(C441+D441-E441=I441+J441-K441,0&lt;1))),1,0),IF(AND(O441+P441-Q441&gt;0,OR(O441+P441-Q441&lt;I441+J441-K441,AND(O441+P441-Q441=I441+J441-K441,2&lt;1))),1,0),IF(AND(U441+V441-W441&gt;0,OR(U441+V441-W441&lt;I441+J441-K441,AND(U441+V441-W441=I441+J441-K441,3&lt;1))),1,0),IF(AND(AA441+AB441-AC441&gt;0,OR(AA441+AB441-AC441&lt;I441+J441-K441,AND(AA441+AB441-AC441=I441+J441-K441,4&lt;1))),1,0)))</x:f>
        <x:v>99</x:v>
      </x:c>
      <x:c r="M441" s="6" t="n">
        <x:f>IF('Debt strategy'!$C$16&gt;0,0,MIN(I441+J441-K441,MAX(0,'Debt strategy'!$C$5-SUM(E441,K441,Q441,W441,AC441)-SUM(IF(F441&lt;L441,C441+D441-E441,0),IF(R441&lt;L441,O441+P441-Q441,0),IF(X441&lt;L441,U441+V441-W441,0),IF(AD441&lt;L441,AA441+AB441-AC441,0)))))</x:f>
        <x:v>0</x:v>
      </x:c>
      <x:c r="N441" s="6" t="n">
        <x:f>ROUND(MAX(0,I441+J441-K441-M441),2)</x:f>
        <x:v>0</x:v>
      </x:c>
      <x:c r="O441" s="6" t="n">
        <x:f>T440</x:f>
        <x:v>0</x:v>
      </x:c>
      <x:c r="P441" s="6" t="n">
        <x:f>ROUND(O441*'Debt strategy'!$D$11/12,2)</x:f>
        <x:v>0</x:v>
      </x:c>
      <x:c r="Q441" s="6" t="n">
        <x:f>MIN(O441+P441,'Debt strategy'!$E$11)</x:f>
        <x:v>0</x:v>
      </x:c>
      <x:c r="R441" s="27" t="n">
        <x:f>IF(O441+P441-Q441&lt;=0,99,1+SUM(IF(AND(C441+D441-E441&gt;0,OR(C441+D441-E441&lt;O441+P441-Q441,AND(C441+D441-E441=O441+P441-Q441,0&lt;2))),1,0),IF(AND(I441+J441-K441&gt;0,OR(I441+J441-K441&lt;O441+P441-Q441,AND(I441+J441-K441=O441+P441-Q441,1&lt;2))),1,0),IF(AND(U441+V441-W441&gt;0,OR(U441+V441-W441&lt;O441+P441-Q441,AND(U441+V441-W441=O441+P441-Q441,3&lt;2))),1,0),IF(AND(AA441+AB441-AC441&gt;0,OR(AA441+AB441-AC441&lt;O441+P441-Q441,AND(AA441+AB441-AC441=O441+P441-Q441,4&lt;2))),1,0)))</x:f>
        <x:v>99</x:v>
      </x:c>
      <x:c r="S441" s="6" t="n">
        <x:f>IF('Debt strategy'!$C$16&gt;0,0,MIN(O441+P441-Q441,MAX(0,'Debt strategy'!$C$5-SUM(E441,K441,Q441,W441,AC441)-SUM(IF(F441&lt;R441,C441+D441-E441,0),IF(L441&lt;R441,I441+J441-K441,0),IF(X441&lt;R441,U441+V441-W441,0),IF(AD441&lt;R441,AA441+AB441-AC441,0)))))</x:f>
        <x:v>0</x:v>
      </x:c>
      <x:c r="T441" s="6" t="n">
        <x:f>ROUND(MAX(0,O441+P441-Q441-S441),2)</x:f>
        <x:v>0</x:v>
      </x:c>
      <x:c r="U441" s="6" t="n">
        <x:f>Z440</x:f>
        <x:v>0</x:v>
      </x:c>
      <x:c r="V441" s="6" t="n">
        <x:f>ROUND(U441*'Debt strategy'!$D$12/12,2)</x:f>
        <x:v>0</x:v>
      </x:c>
      <x:c r="W441" s="6" t="n">
        <x:f>MIN(U441+V441,'Debt strategy'!$E$12)</x:f>
        <x:v>0</x:v>
      </x:c>
      <x:c r="X441" s="27" t="n">
        <x:f>IF(U441+V441-W441&lt;=0,99,1+SUM(IF(AND(C441+D441-E441&gt;0,OR(C441+D441-E441&lt;U441+V441-W441,AND(C441+D441-E441=U441+V441-W441,0&lt;3))),1,0),IF(AND(I441+J441-K441&gt;0,OR(I441+J441-K441&lt;U441+V441-W441,AND(I441+J441-K441=U441+V441-W441,1&lt;3))),1,0),IF(AND(O441+P441-Q441&gt;0,OR(O441+P441-Q441&lt;U441+V441-W441,AND(O441+P441-Q441=U441+V441-W441,2&lt;3))),1,0),IF(AND(AA441+AB441-AC441&gt;0,OR(AA441+AB441-AC441&lt;U441+V441-W441,AND(AA441+AB441-AC441=U441+V441-W441,4&lt;3))),1,0)))</x:f>
        <x:v>99</x:v>
      </x:c>
      <x:c r="Y441" s="6" t="n">
        <x:f>IF('Debt strategy'!$C$16&gt;0,0,MIN(U441+V441-W441,MAX(0,'Debt strategy'!$C$5-SUM(E441,K441,Q441,W441,AC441)-SUM(IF(F441&lt;X441,C441+D441-E441,0),IF(L441&lt;X441,I441+J441-K441,0),IF(R441&lt;X441,O441+P441-Q441,0),IF(AD441&lt;X441,AA441+AB441-AC441,0)))))</x:f>
        <x:v>0</x:v>
      </x:c>
      <x:c r="Z441" s="6" t="n">
        <x:f>ROUND(MAX(0,U441+V441-W441-Y441),2)</x:f>
        <x:v>0</x:v>
      </x:c>
      <x:c r="AA441" s="6" t="n">
        <x:f>AF440</x:f>
        <x:v>0</x:v>
      </x:c>
      <x:c r="AB441" s="6" t="n">
        <x:f>ROUND(AA441*'Debt strategy'!$D$13/12,2)</x:f>
        <x:v>0</x:v>
      </x:c>
      <x:c r="AC441" s="6" t="n">
        <x:f>MIN(AA441+AB441,'Debt strategy'!$E$13)</x:f>
        <x:v>0</x:v>
      </x:c>
      <x:c r="AD441" s="27" t="n">
        <x:f>IF(AA441+AB441-AC441&lt;=0,99,1+SUM(IF(AND(C441+D441-E441&gt;0,OR(C441+D441-E441&lt;AA441+AB441-AC441,AND(C441+D441-E441=AA441+AB441-AC441,0&lt;4))),1,0),IF(AND(I441+J441-K441&gt;0,OR(I441+J441-K441&lt;AA441+AB441-AC441,AND(I441+J441-K441=AA441+AB441-AC441,1&lt;4))),1,0),IF(AND(O441+P441-Q441&gt;0,OR(O441+P441-Q441&lt;AA441+AB441-AC441,AND(O441+P441-Q441=AA441+AB441-AC441,2&lt;4))),1,0),IF(AND(U441+V441-W441&gt;0,OR(U441+V441-W441&lt;AA441+AB441-AC441,AND(U441+V441-W441=AA441+AB441-AC441,3&lt;4))),1,0)))</x:f>
        <x:v>99</x:v>
      </x:c>
      <x:c r="AE441" s="6" t="n">
        <x:f>IF('Debt strategy'!$C$16&gt;0,0,MIN(AA441+AB441-AC441,MAX(0,'Debt strategy'!$C$5-SUM(E441,K441,Q441,W441,AC441)-SUM(IF(F441&lt;AD441,C441+D441-E441,0),IF(L441&lt;AD441,I441+J441-K441,0),IF(R441&lt;AD441,O441+P441-Q441,0),IF(X441&lt;AD441,U441+V441-W441,0)))))</x:f>
        <x:v>0</x:v>
      </x:c>
      <x:c r="AF441" s="6" t="n">
        <x:f>ROUND(MAX(0,AA441+AB441-AC441-AE441),2)</x:f>
        <x:v>0</x:v>
      </x:c>
      <x:c r="AG441" s="6" t="n">
        <x:f>SUM(H441,N441,T441,Z441,AF441)</x:f>
        <x:v>0</x:v>
      </x:c>
      <x:c r="AH441" s="6" t="n">
        <x:f>SUM(D441,J441,P441,V441,AB441)+AH440</x:f>
        <x:v>1353.9499999999996</x:v>
      </x:c>
      <x:c r="AI441" s="2"/>
    </x:row>
    <x:row r="442" ht="23" customHeight="1">
      <x:c r="B442" s="2" t="n">
        <x:f>434</x:f>
        <x:v>434</x:v>
      </x:c>
      <x:c r="C442" s="6" t="n">
        <x:f>H441</x:f>
        <x:v>0</x:v>
      </x:c>
      <x:c r="D442" s="6" t="n">
        <x:f>ROUND(C442*'Debt strategy'!$D$9/12,2)</x:f>
        <x:v>0</x:v>
      </x:c>
      <x:c r="E442" s="6" t="n">
        <x:f>MIN(C442+D442,'Debt strategy'!$E$9)</x:f>
        <x:v>0</x:v>
      </x:c>
      <x:c r="F442" s="27" t="n">
        <x:f>IF(C442+D442-E442&lt;=0,99,1+SUM(IF(AND(I442+J442-K442&gt;0,OR(I442+J442-K442&lt;C442+D442-E442,AND(I442+J442-K442=C442+D442-E442,1&lt;0))),1,0),IF(AND(O442+P442-Q442&gt;0,OR(O442+P442-Q442&lt;C442+D442-E442,AND(O442+P442-Q442=C442+D442-E442,2&lt;0))),1,0),IF(AND(U442+V442-W442&gt;0,OR(U442+V442-W442&lt;C442+D442-E442,AND(U442+V442-W442=C442+D442-E442,3&lt;0))),1,0),IF(AND(AA442+AB442-AC442&gt;0,OR(AA442+AB442-AC442&lt;C442+D442-E442,AND(AA442+AB442-AC442=C442+D442-E442,4&lt;0))),1,0)))</x:f>
        <x:v>99</x:v>
      </x:c>
      <x:c r="G442" s="6" t="n">
        <x:f>IF('Debt strategy'!$C$16&gt;0,0,MIN(C442+D442-E442,MAX(0,'Debt strategy'!$C$5-SUM(E442,K442,Q442,W442,AC442)-SUM(IF(L442&lt;F442,I442+J442-K442,0),IF(R442&lt;F442,O442+P442-Q442,0),IF(X442&lt;F442,U442+V442-W442,0),IF(AD442&lt;F442,AA442+AB442-AC442,0)))))</x:f>
        <x:v>0</x:v>
      </x:c>
      <x:c r="H442" s="6" t="n">
        <x:f>ROUND(MAX(0,C442+D442-E442-G442),2)</x:f>
        <x:v>0</x:v>
      </x:c>
      <x:c r="I442" s="6" t="n">
        <x:f>N441</x:f>
        <x:v>0</x:v>
      </x:c>
      <x:c r="J442" s="6" t="n">
        <x:f>ROUND(I442*'Debt strategy'!$D$10/12,2)</x:f>
        <x:v>0</x:v>
      </x:c>
      <x:c r="K442" s="6" t="n">
        <x:f>MIN(I442+J442,'Debt strategy'!$E$10)</x:f>
        <x:v>0</x:v>
      </x:c>
      <x:c r="L442" s="27" t="n">
        <x:f>IF(I442+J442-K442&lt;=0,99,1+SUM(IF(AND(C442+D442-E442&gt;0,OR(C442+D442-E442&lt;I442+J442-K442,AND(C442+D442-E442=I442+J442-K442,0&lt;1))),1,0),IF(AND(O442+P442-Q442&gt;0,OR(O442+P442-Q442&lt;I442+J442-K442,AND(O442+P442-Q442=I442+J442-K442,2&lt;1))),1,0),IF(AND(U442+V442-W442&gt;0,OR(U442+V442-W442&lt;I442+J442-K442,AND(U442+V442-W442=I442+J442-K442,3&lt;1))),1,0),IF(AND(AA442+AB442-AC442&gt;0,OR(AA442+AB442-AC442&lt;I442+J442-K442,AND(AA442+AB442-AC442=I442+J442-K442,4&lt;1))),1,0)))</x:f>
        <x:v>99</x:v>
      </x:c>
      <x:c r="M442" s="6" t="n">
        <x:f>IF('Debt strategy'!$C$16&gt;0,0,MIN(I442+J442-K442,MAX(0,'Debt strategy'!$C$5-SUM(E442,K442,Q442,W442,AC442)-SUM(IF(F442&lt;L442,C442+D442-E442,0),IF(R442&lt;L442,O442+P442-Q442,0),IF(X442&lt;L442,U442+V442-W442,0),IF(AD442&lt;L442,AA442+AB442-AC442,0)))))</x:f>
        <x:v>0</x:v>
      </x:c>
      <x:c r="N442" s="6" t="n">
        <x:f>ROUND(MAX(0,I442+J442-K442-M442),2)</x:f>
        <x:v>0</x:v>
      </x:c>
      <x:c r="O442" s="6" t="n">
        <x:f>T441</x:f>
        <x:v>0</x:v>
      </x:c>
      <x:c r="P442" s="6" t="n">
        <x:f>ROUND(O442*'Debt strategy'!$D$11/12,2)</x:f>
        <x:v>0</x:v>
      </x:c>
      <x:c r="Q442" s="6" t="n">
        <x:f>MIN(O442+P442,'Debt strategy'!$E$11)</x:f>
        <x:v>0</x:v>
      </x:c>
      <x:c r="R442" s="27" t="n">
        <x:f>IF(O442+P442-Q442&lt;=0,99,1+SUM(IF(AND(C442+D442-E442&gt;0,OR(C442+D442-E442&lt;O442+P442-Q442,AND(C442+D442-E442=O442+P442-Q442,0&lt;2))),1,0),IF(AND(I442+J442-K442&gt;0,OR(I442+J442-K442&lt;O442+P442-Q442,AND(I442+J442-K442=O442+P442-Q442,1&lt;2))),1,0),IF(AND(U442+V442-W442&gt;0,OR(U442+V442-W442&lt;O442+P442-Q442,AND(U442+V442-W442=O442+P442-Q442,3&lt;2))),1,0),IF(AND(AA442+AB442-AC442&gt;0,OR(AA442+AB442-AC442&lt;O442+P442-Q442,AND(AA442+AB442-AC442=O442+P442-Q442,4&lt;2))),1,0)))</x:f>
        <x:v>99</x:v>
      </x:c>
      <x:c r="S442" s="6" t="n">
        <x:f>IF('Debt strategy'!$C$16&gt;0,0,MIN(O442+P442-Q442,MAX(0,'Debt strategy'!$C$5-SUM(E442,K442,Q442,W442,AC442)-SUM(IF(F442&lt;R442,C442+D442-E442,0),IF(L442&lt;R442,I442+J442-K442,0),IF(X442&lt;R442,U442+V442-W442,0),IF(AD442&lt;R442,AA442+AB442-AC442,0)))))</x:f>
        <x:v>0</x:v>
      </x:c>
      <x:c r="T442" s="6" t="n">
        <x:f>ROUND(MAX(0,O442+P442-Q442-S442),2)</x:f>
        <x:v>0</x:v>
      </x:c>
      <x:c r="U442" s="6" t="n">
        <x:f>Z441</x:f>
        <x:v>0</x:v>
      </x:c>
      <x:c r="V442" s="6" t="n">
        <x:f>ROUND(U442*'Debt strategy'!$D$12/12,2)</x:f>
        <x:v>0</x:v>
      </x:c>
      <x:c r="W442" s="6" t="n">
        <x:f>MIN(U442+V442,'Debt strategy'!$E$12)</x:f>
        <x:v>0</x:v>
      </x:c>
      <x:c r="X442" s="27" t="n">
        <x:f>IF(U442+V442-W442&lt;=0,99,1+SUM(IF(AND(C442+D442-E442&gt;0,OR(C442+D442-E442&lt;U442+V442-W442,AND(C442+D442-E442=U442+V442-W442,0&lt;3))),1,0),IF(AND(I442+J442-K442&gt;0,OR(I442+J442-K442&lt;U442+V442-W442,AND(I442+J442-K442=U442+V442-W442,1&lt;3))),1,0),IF(AND(O442+P442-Q442&gt;0,OR(O442+P442-Q442&lt;U442+V442-W442,AND(O442+P442-Q442=U442+V442-W442,2&lt;3))),1,0),IF(AND(AA442+AB442-AC442&gt;0,OR(AA442+AB442-AC442&lt;U442+V442-W442,AND(AA442+AB442-AC442=U442+V442-W442,4&lt;3))),1,0)))</x:f>
        <x:v>99</x:v>
      </x:c>
      <x:c r="Y442" s="6" t="n">
        <x:f>IF('Debt strategy'!$C$16&gt;0,0,MIN(U442+V442-W442,MAX(0,'Debt strategy'!$C$5-SUM(E442,K442,Q442,W442,AC442)-SUM(IF(F442&lt;X442,C442+D442-E442,0),IF(L442&lt;X442,I442+J442-K442,0),IF(R442&lt;X442,O442+P442-Q442,0),IF(AD442&lt;X442,AA442+AB442-AC442,0)))))</x:f>
        <x:v>0</x:v>
      </x:c>
      <x:c r="Z442" s="6" t="n">
        <x:f>ROUND(MAX(0,U442+V442-W442-Y442),2)</x:f>
        <x:v>0</x:v>
      </x:c>
      <x:c r="AA442" s="6" t="n">
        <x:f>AF441</x:f>
        <x:v>0</x:v>
      </x:c>
      <x:c r="AB442" s="6" t="n">
        <x:f>ROUND(AA442*'Debt strategy'!$D$13/12,2)</x:f>
        <x:v>0</x:v>
      </x:c>
      <x:c r="AC442" s="6" t="n">
        <x:f>MIN(AA442+AB442,'Debt strategy'!$E$13)</x:f>
        <x:v>0</x:v>
      </x:c>
      <x:c r="AD442" s="27" t="n">
        <x:f>IF(AA442+AB442-AC442&lt;=0,99,1+SUM(IF(AND(C442+D442-E442&gt;0,OR(C442+D442-E442&lt;AA442+AB442-AC442,AND(C442+D442-E442=AA442+AB442-AC442,0&lt;4))),1,0),IF(AND(I442+J442-K442&gt;0,OR(I442+J442-K442&lt;AA442+AB442-AC442,AND(I442+J442-K442=AA442+AB442-AC442,1&lt;4))),1,0),IF(AND(O442+P442-Q442&gt;0,OR(O442+P442-Q442&lt;AA442+AB442-AC442,AND(O442+P442-Q442=AA442+AB442-AC442,2&lt;4))),1,0),IF(AND(U442+V442-W442&gt;0,OR(U442+V442-W442&lt;AA442+AB442-AC442,AND(U442+V442-W442=AA442+AB442-AC442,3&lt;4))),1,0)))</x:f>
        <x:v>99</x:v>
      </x:c>
      <x:c r="AE442" s="6" t="n">
        <x:f>IF('Debt strategy'!$C$16&gt;0,0,MIN(AA442+AB442-AC442,MAX(0,'Debt strategy'!$C$5-SUM(E442,K442,Q442,W442,AC442)-SUM(IF(F442&lt;AD442,C442+D442-E442,0),IF(L442&lt;AD442,I442+J442-K442,0),IF(R442&lt;AD442,O442+P442-Q442,0),IF(X442&lt;AD442,U442+V442-W442,0)))))</x:f>
        <x:v>0</x:v>
      </x:c>
      <x:c r="AF442" s="6" t="n">
        <x:f>ROUND(MAX(0,AA442+AB442-AC442-AE442),2)</x:f>
        <x:v>0</x:v>
      </x:c>
      <x:c r="AG442" s="6" t="n">
        <x:f>SUM(H442,N442,T442,Z442,AF442)</x:f>
        <x:v>0</x:v>
      </x:c>
      <x:c r="AH442" s="6" t="n">
        <x:f>SUM(D442,J442,P442,V442,AB442)+AH441</x:f>
        <x:v>1353.9499999999996</x:v>
      </x:c>
      <x:c r="AI442" s="2"/>
    </x:row>
    <x:row r="443" ht="23" customHeight="1">
      <x:c r="B443" s="2" t="n">
        <x:f>435</x:f>
        <x:v>435</x:v>
      </x:c>
      <x:c r="C443" s="6" t="n">
        <x:f>H442</x:f>
        <x:v>0</x:v>
      </x:c>
      <x:c r="D443" s="6" t="n">
        <x:f>ROUND(C443*'Debt strategy'!$D$9/12,2)</x:f>
        <x:v>0</x:v>
      </x:c>
      <x:c r="E443" s="6" t="n">
        <x:f>MIN(C443+D443,'Debt strategy'!$E$9)</x:f>
        <x:v>0</x:v>
      </x:c>
      <x:c r="F443" s="27" t="n">
        <x:f>IF(C443+D443-E443&lt;=0,99,1+SUM(IF(AND(I443+J443-K443&gt;0,OR(I443+J443-K443&lt;C443+D443-E443,AND(I443+J443-K443=C443+D443-E443,1&lt;0))),1,0),IF(AND(O443+P443-Q443&gt;0,OR(O443+P443-Q443&lt;C443+D443-E443,AND(O443+P443-Q443=C443+D443-E443,2&lt;0))),1,0),IF(AND(U443+V443-W443&gt;0,OR(U443+V443-W443&lt;C443+D443-E443,AND(U443+V443-W443=C443+D443-E443,3&lt;0))),1,0),IF(AND(AA443+AB443-AC443&gt;0,OR(AA443+AB443-AC443&lt;C443+D443-E443,AND(AA443+AB443-AC443=C443+D443-E443,4&lt;0))),1,0)))</x:f>
        <x:v>99</x:v>
      </x:c>
      <x:c r="G443" s="6" t="n">
        <x:f>IF('Debt strategy'!$C$16&gt;0,0,MIN(C443+D443-E443,MAX(0,'Debt strategy'!$C$5-SUM(E443,K443,Q443,W443,AC443)-SUM(IF(L443&lt;F443,I443+J443-K443,0),IF(R443&lt;F443,O443+P443-Q443,0),IF(X443&lt;F443,U443+V443-W443,0),IF(AD443&lt;F443,AA443+AB443-AC443,0)))))</x:f>
        <x:v>0</x:v>
      </x:c>
      <x:c r="H443" s="6" t="n">
        <x:f>ROUND(MAX(0,C443+D443-E443-G443),2)</x:f>
        <x:v>0</x:v>
      </x:c>
      <x:c r="I443" s="6" t="n">
        <x:f>N442</x:f>
        <x:v>0</x:v>
      </x:c>
      <x:c r="J443" s="6" t="n">
        <x:f>ROUND(I443*'Debt strategy'!$D$10/12,2)</x:f>
        <x:v>0</x:v>
      </x:c>
      <x:c r="K443" s="6" t="n">
        <x:f>MIN(I443+J443,'Debt strategy'!$E$10)</x:f>
        <x:v>0</x:v>
      </x:c>
      <x:c r="L443" s="27" t="n">
        <x:f>IF(I443+J443-K443&lt;=0,99,1+SUM(IF(AND(C443+D443-E443&gt;0,OR(C443+D443-E443&lt;I443+J443-K443,AND(C443+D443-E443=I443+J443-K443,0&lt;1))),1,0),IF(AND(O443+P443-Q443&gt;0,OR(O443+P443-Q443&lt;I443+J443-K443,AND(O443+P443-Q443=I443+J443-K443,2&lt;1))),1,0),IF(AND(U443+V443-W443&gt;0,OR(U443+V443-W443&lt;I443+J443-K443,AND(U443+V443-W443=I443+J443-K443,3&lt;1))),1,0),IF(AND(AA443+AB443-AC443&gt;0,OR(AA443+AB443-AC443&lt;I443+J443-K443,AND(AA443+AB443-AC443=I443+J443-K443,4&lt;1))),1,0)))</x:f>
        <x:v>99</x:v>
      </x:c>
      <x:c r="M443" s="6" t="n">
        <x:f>IF('Debt strategy'!$C$16&gt;0,0,MIN(I443+J443-K443,MAX(0,'Debt strategy'!$C$5-SUM(E443,K443,Q443,W443,AC443)-SUM(IF(F443&lt;L443,C443+D443-E443,0),IF(R443&lt;L443,O443+P443-Q443,0),IF(X443&lt;L443,U443+V443-W443,0),IF(AD443&lt;L443,AA443+AB443-AC443,0)))))</x:f>
        <x:v>0</x:v>
      </x:c>
      <x:c r="N443" s="6" t="n">
        <x:f>ROUND(MAX(0,I443+J443-K443-M443),2)</x:f>
        <x:v>0</x:v>
      </x:c>
      <x:c r="O443" s="6" t="n">
        <x:f>T442</x:f>
        <x:v>0</x:v>
      </x:c>
      <x:c r="P443" s="6" t="n">
        <x:f>ROUND(O443*'Debt strategy'!$D$11/12,2)</x:f>
        <x:v>0</x:v>
      </x:c>
      <x:c r="Q443" s="6" t="n">
        <x:f>MIN(O443+P443,'Debt strategy'!$E$11)</x:f>
        <x:v>0</x:v>
      </x:c>
      <x:c r="R443" s="27" t="n">
        <x:f>IF(O443+P443-Q443&lt;=0,99,1+SUM(IF(AND(C443+D443-E443&gt;0,OR(C443+D443-E443&lt;O443+P443-Q443,AND(C443+D443-E443=O443+P443-Q443,0&lt;2))),1,0),IF(AND(I443+J443-K443&gt;0,OR(I443+J443-K443&lt;O443+P443-Q443,AND(I443+J443-K443=O443+P443-Q443,1&lt;2))),1,0),IF(AND(U443+V443-W443&gt;0,OR(U443+V443-W443&lt;O443+P443-Q443,AND(U443+V443-W443=O443+P443-Q443,3&lt;2))),1,0),IF(AND(AA443+AB443-AC443&gt;0,OR(AA443+AB443-AC443&lt;O443+P443-Q443,AND(AA443+AB443-AC443=O443+P443-Q443,4&lt;2))),1,0)))</x:f>
        <x:v>99</x:v>
      </x:c>
      <x:c r="S443" s="6" t="n">
        <x:f>IF('Debt strategy'!$C$16&gt;0,0,MIN(O443+P443-Q443,MAX(0,'Debt strategy'!$C$5-SUM(E443,K443,Q443,W443,AC443)-SUM(IF(F443&lt;R443,C443+D443-E443,0),IF(L443&lt;R443,I443+J443-K443,0),IF(X443&lt;R443,U443+V443-W443,0),IF(AD443&lt;R443,AA443+AB443-AC443,0)))))</x:f>
        <x:v>0</x:v>
      </x:c>
      <x:c r="T443" s="6" t="n">
        <x:f>ROUND(MAX(0,O443+P443-Q443-S443),2)</x:f>
        <x:v>0</x:v>
      </x:c>
      <x:c r="U443" s="6" t="n">
        <x:f>Z442</x:f>
        <x:v>0</x:v>
      </x:c>
      <x:c r="V443" s="6" t="n">
        <x:f>ROUND(U443*'Debt strategy'!$D$12/12,2)</x:f>
        <x:v>0</x:v>
      </x:c>
      <x:c r="W443" s="6" t="n">
        <x:f>MIN(U443+V443,'Debt strategy'!$E$12)</x:f>
        <x:v>0</x:v>
      </x:c>
      <x:c r="X443" s="27" t="n">
        <x:f>IF(U443+V443-W443&lt;=0,99,1+SUM(IF(AND(C443+D443-E443&gt;0,OR(C443+D443-E443&lt;U443+V443-W443,AND(C443+D443-E443=U443+V443-W443,0&lt;3))),1,0),IF(AND(I443+J443-K443&gt;0,OR(I443+J443-K443&lt;U443+V443-W443,AND(I443+J443-K443=U443+V443-W443,1&lt;3))),1,0),IF(AND(O443+P443-Q443&gt;0,OR(O443+P443-Q443&lt;U443+V443-W443,AND(O443+P443-Q443=U443+V443-W443,2&lt;3))),1,0),IF(AND(AA443+AB443-AC443&gt;0,OR(AA443+AB443-AC443&lt;U443+V443-W443,AND(AA443+AB443-AC443=U443+V443-W443,4&lt;3))),1,0)))</x:f>
        <x:v>99</x:v>
      </x:c>
      <x:c r="Y443" s="6" t="n">
        <x:f>IF('Debt strategy'!$C$16&gt;0,0,MIN(U443+V443-W443,MAX(0,'Debt strategy'!$C$5-SUM(E443,K443,Q443,W443,AC443)-SUM(IF(F443&lt;X443,C443+D443-E443,0),IF(L443&lt;X443,I443+J443-K443,0),IF(R443&lt;X443,O443+P443-Q443,0),IF(AD443&lt;X443,AA443+AB443-AC443,0)))))</x:f>
        <x:v>0</x:v>
      </x:c>
      <x:c r="Z443" s="6" t="n">
        <x:f>ROUND(MAX(0,U443+V443-W443-Y443),2)</x:f>
        <x:v>0</x:v>
      </x:c>
      <x:c r="AA443" s="6" t="n">
        <x:f>AF442</x:f>
        <x:v>0</x:v>
      </x:c>
      <x:c r="AB443" s="6" t="n">
        <x:f>ROUND(AA443*'Debt strategy'!$D$13/12,2)</x:f>
        <x:v>0</x:v>
      </x:c>
      <x:c r="AC443" s="6" t="n">
        <x:f>MIN(AA443+AB443,'Debt strategy'!$E$13)</x:f>
        <x:v>0</x:v>
      </x:c>
      <x:c r="AD443" s="27" t="n">
        <x:f>IF(AA443+AB443-AC443&lt;=0,99,1+SUM(IF(AND(C443+D443-E443&gt;0,OR(C443+D443-E443&lt;AA443+AB443-AC443,AND(C443+D443-E443=AA443+AB443-AC443,0&lt;4))),1,0),IF(AND(I443+J443-K443&gt;0,OR(I443+J443-K443&lt;AA443+AB443-AC443,AND(I443+J443-K443=AA443+AB443-AC443,1&lt;4))),1,0),IF(AND(O443+P443-Q443&gt;0,OR(O443+P443-Q443&lt;AA443+AB443-AC443,AND(O443+P443-Q443=AA443+AB443-AC443,2&lt;4))),1,0),IF(AND(U443+V443-W443&gt;0,OR(U443+V443-W443&lt;AA443+AB443-AC443,AND(U443+V443-W443=AA443+AB443-AC443,3&lt;4))),1,0)))</x:f>
        <x:v>99</x:v>
      </x:c>
      <x:c r="AE443" s="6" t="n">
        <x:f>IF('Debt strategy'!$C$16&gt;0,0,MIN(AA443+AB443-AC443,MAX(0,'Debt strategy'!$C$5-SUM(E443,K443,Q443,W443,AC443)-SUM(IF(F443&lt;AD443,C443+D443-E443,0),IF(L443&lt;AD443,I443+J443-K443,0),IF(R443&lt;AD443,O443+P443-Q443,0),IF(X443&lt;AD443,U443+V443-W443,0)))))</x:f>
        <x:v>0</x:v>
      </x:c>
      <x:c r="AF443" s="6" t="n">
        <x:f>ROUND(MAX(0,AA443+AB443-AC443-AE443),2)</x:f>
        <x:v>0</x:v>
      </x:c>
      <x:c r="AG443" s="6" t="n">
        <x:f>SUM(H443,N443,T443,Z443,AF443)</x:f>
        <x:v>0</x:v>
      </x:c>
      <x:c r="AH443" s="6" t="n">
        <x:f>SUM(D443,J443,P443,V443,AB443)+AH442</x:f>
        <x:v>1353.9499999999996</x:v>
      </x:c>
      <x:c r="AI443" s="2"/>
    </x:row>
    <x:row r="444" ht="23" customHeight="1">
      <x:c r="B444" s="2" t="n">
        <x:f>436</x:f>
        <x:v>436</x:v>
      </x:c>
      <x:c r="C444" s="6" t="n">
        <x:f>H443</x:f>
        <x:v>0</x:v>
      </x:c>
      <x:c r="D444" s="6" t="n">
        <x:f>ROUND(C444*'Debt strategy'!$D$9/12,2)</x:f>
        <x:v>0</x:v>
      </x:c>
      <x:c r="E444" s="6" t="n">
        <x:f>MIN(C444+D444,'Debt strategy'!$E$9)</x:f>
        <x:v>0</x:v>
      </x:c>
      <x:c r="F444" s="27" t="n">
        <x:f>IF(C444+D444-E444&lt;=0,99,1+SUM(IF(AND(I444+J444-K444&gt;0,OR(I444+J444-K444&lt;C444+D444-E444,AND(I444+J444-K444=C444+D444-E444,1&lt;0))),1,0),IF(AND(O444+P444-Q444&gt;0,OR(O444+P444-Q444&lt;C444+D444-E444,AND(O444+P444-Q444=C444+D444-E444,2&lt;0))),1,0),IF(AND(U444+V444-W444&gt;0,OR(U444+V444-W444&lt;C444+D444-E444,AND(U444+V444-W444=C444+D444-E444,3&lt;0))),1,0),IF(AND(AA444+AB444-AC444&gt;0,OR(AA444+AB444-AC444&lt;C444+D444-E444,AND(AA444+AB444-AC444=C444+D444-E444,4&lt;0))),1,0)))</x:f>
        <x:v>99</x:v>
      </x:c>
      <x:c r="G444" s="6" t="n">
        <x:f>IF('Debt strategy'!$C$16&gt;0,0,MIN(C444+D444-E444,MAX(0,'Debt strategy'!$C$5-SUM(E444,K444,Q444,W444,AC444)-SUM(IF(L444&lt;F444,I444+J444-K444,0),IF(R444&lt;F444,O444+P444-Q444,0),IF(X444&lt;F444,U444+V444-W444,0),IF(AD444&lt;F444,AA444+AB444-AC444,0)))))</x:f>
        <x:v>0</x:v>
      </x:c>
      <x:c r="H444" s="6" t="n">
        <x:f>ROUND(MAX(0,C444+D444-E444-G444),2)</x:f>
        <x:v>0</x:v>
      </x:c>
      <x:c r="I444" s="6" t="n">
        <x:f>N443</x:f>
        <x:v>0</x:v>
      </x:c>
      <x:c r="J444" s="6" t="n">
        <x:f>ROUND(I444*'Debt strategy'!$D$10/12,2)</x:f>
        <x:v>0</x:v>
      </x:c>
      <x:c r="K444" s="6" t="n">
        <x:f>MIN(I444+J444,'Debt strategy'!$E$10)</x:f>
        <x:v>0</x:v>
      </x:c>
      <x:c r="L444" s="27" t="n">
        <x:f>IF(I444+J444-K444&lt;=0,99,1+SUM(IF(AND(C444+D444-E444&gt;0,OR(C444+D444-E444&lt;I444+J444-K444,AND(C444+D444-E444=I444+J444-K444,0&lt;1))),1,0),IF(AND(O444+P444-Q444&gt;0,OR(O444+P444-Q444&lt;I444+J444-K444,AND(O444+P444-Q444=I444+J444-K444,2&lt;1))),1,0),IF(AND(U444+V444-W444&gt;0,OR(U444+V444-W444&lt;I444+J444-K444,AND(U444+V444-W444=I444+J444-K444,3&lt;1))),1,0),IF(AND(AA444+AB444-AC444&gt;0,OR(AA444+AB444-AC444&lt;I444+J444-K444,AND(AA444+AB444-AC444=I444+J444-K444,4&lt;1))),1,0)))</x:f>
        <x:v>99</x:v>
      </x:c>
      <x:c r="M444" s="6" t="n">
        <x:f>IF('Debt strategy'!$C$16&gt;0,0,MIN(I444+J444-K444,MAX(0,'Debt strategy'!$C$5-SUM(E444,K444,Q444,W444,AC444)-SUM(IF(F444&lt;L444,C444+D444-E444,0),IF(R444&lt;L444,O444+P444-Q444,0),IF(X444&lt;L444,U444+V444-W444,0),IF(AD444&lt;L444,AA444+AB444-AC444,0)))))</x:f>
        <x:v>0</x:v>
      </x:c>
      <x:c r="N444" s="6" t="n">
        <x:f>ROUND(MAX(0,I444+J444-K444-M444),2)</x:f>
        <x:v>0</x:v>
      </x:c>
      <x:c r="O444" s="6" t="n">
        <x:f>T443</x:f>
        <x:v>0</x:v>
      </x:c>
      <x:c r="P444" s="6" t="n">
        <x:f>ROUND(O444*'Debt strategy'!$D$11/12,2)</x:f>
        <x:v>0</x:v>
      </x:c>
      <x:c r="Q444" s="6" t="n">
        <x:f>MIN(O444+P444,'Debt strategy'!$E$11)</x:f>
        <x:v>0</x:v>
      </x:c>
      <x:c r="R444" s="27" t="n">
        <x:f>IF(O444+P444-Q444&lt;=0,99,1+SUM(IF(AND(C444+D444-E444&gt;0,OR(C444+D444-E444&lt;O444+P444-Q444,AND(C444+D444-E444=O444+P444-Q444,0&lt;2))),1,0),IF(AND(I444+J444-K444&gt;0,OR(I444+J444-K444&lt;O444+P444-Q444,AND(I444+J444-K444=O444+P444-Q444,1&lt;2))),1,0),IF(AND(U444+V444-W444&gt;0,OR(U444+V444-W444&lt;O444+P444-Q444,AND(U444+V444-W444=O444+P444-Q444,3&lt;2))),1,0),IF(AND(AA444+AB444-AC444&gt;0,OR(AA444+AB444-AC444&lt;O444+P444-Q444,AND(AA444+AB444-AC444=O444+P444-Q444,4&lt;2))),1,0)))</x:f>
        <x:v>99</x:v>
      </x:c>
      <x:c r="S444" s="6" t="n">
        <x:f>IF('Debt strategy'!$C$16&gt;0,0,MIN(O444+P444-Q444,MAX(0,'Debt strategy'!$C$5-SUM(E444,K444,Q444,W444,AC444)-SUM(IF(F444&lt;R444,C444+D444-E444,0),IF(L444&lt;R444,I444+J444-K444,0),IF(X444&lt;R444,U444+V444-W444,0),IF(AD444&lt;R444,AA444+AB444-AC444,0)))))</x:f>
        <x:v>0</x:v>
      </x:c>
      <x:c r="T444" s="6" t="n">
        <x:f>ROUND(MAX(0,O444+P444-Q444-S444),2)</x:f>
        <x:v>0</x:v>
      </x:c>
      <x:c r="U444" s="6" t="n">
        <x:f>Z443</x:f>
        <x:v>0</x:v>
      </x:c>
      <x:c r="V444" s="6" t="n">
        <x:f>ROUND(U444*'Debt strategy'!$D$12/12,2)</x:f>
        <x:v>0</x:v>
      </x:c>
      <x:c r="W444" s="6" t="n">
        <x:f>MIN(U444+V444,'Debt strategy'!$E$12)</x:f>
        <x:v>0</x:v>
      </x:c>
      <x:c r="X444" s="27" t="n">
        <x:f>IF(U444+V444-W444&lt;=0,99,1+SUM(IF(AND(C444+D444-E444&gt;0,OR(C444+D444-E444&lt;U444+V444-W444,AND(C444+D444-E444=U444+V444-W444,0&lt;3))),1,0),IF(AND(I444+J444-K444&gt;0,OR(I444+J444-K444&lt;U444+V444-W444,AND(I444+J444-K444=U444+V444-W444,1&lt;3))),1,0),IF(AND(O444+P444-Q444&gt;0,OR(O444+P444-Q444&lt;U444+V444-W444,AND(O444+P444-Q444=U444+V444-W444,2&lt;3))),1,0),IF(AND(AA444+AB444-AC444&gt;0,OR(AA444+AB444-AC444&lt;U444+V444-W444,AND(AA444+AB444-AC444=U444+V444-W444,4&lt;3))),1,0)))</x:f>
        <x:v>99</x:v>
      </x:c>
      <x:c r="Y444" s="6" t="n">
        <x:f>IF('Debt strategy'!$C$16&gt;0,0,MIN(U444+V444-W444,MAX(0,'Debt strategy'!$C$5-SUM(E444,K444,Q444,W444,AC444)-SUM(IF(F444&lt;X444,C444+D444-E444,0),IF(L444&lt;X444,I444+J444-K444,0),IF(R444&lt;X444,O444+P444-Q444,0),IF(AD444&lt;X444,AA444+AB444-AC444,0)))))</x:f>
        <x:v>0</x:v>
      </x:c>
      <x:c r="Z444" s="6" t="n">
        <x:f>ROUND(MAX(0,U444+V444-W444-Y444),2)</x:f>
        <x:v>0</x:v>
      </x:c>
      <x:c r="AA444" s="6" t="n">
        <x:f>AF443</x:f>
        <x:v>0</x:v>
      </x:c>
      <x:c r="AB444" s="6" t="n">
        <x:f>ROUND(AA444*'Debt strategy'!$D$13/12,2)</x:f>
        <x:v>0</x:v>
      </x:c>
      <x:c r="AC444" s="6" t="n">
        <x:f>MIN(AA444+AB444,'Debt strategy'!$E$13)</x:f>
        <x:v>0</x:v>
      </x:c>
      <x:c r="AD444" s="27" t="n">
        <x:f>IF(AA444+AB444-AC444&lt;=0,99,1+SUM(IF(AND(C444+D444-E444&gt;0,OR(C444+D444-E444&lt;AA444+AB444-AC444,AND(C444+D444-E444=AA444+AB444-AC444,0&lt;4))),1,0),IF(AND(I444+J444-K444&gt;0,OR(I444+J444-K444&lt;AA444+AB444-AC444,AND(I444+J444-K444=AA444+AB444-AC444,1&lt;4))),1,0),IF(AND(O444+P444-Q444&gt;0,OR(O444+P444-Q444&lt;AA444+AB444-AC444,AND(O444+P444-Q444=AA444+AB444-AC444,2&lt;4))),1,0),IF(AND(U444+V444-W444&gt;0,OR(U444+V444-W444&lt;AA444+AB444-AC444,AND(U444+V444-W444=AA444+AB444-AC444,3&lt;4))),1,0)))</x:f>
        <x:v>99</x:v>
      </x:c>
      <x:c r="AE444" s="6" t="n">
        <x:f>IF('Debt strategy'!$C$16&gt;0,0,MIN(AA444+AB444-AC444,MAX(0,'Debt strategy'!$C$5-SUM(E444,K444,Q444,W444,AC444)-SUM(IF(F444&lt;AD444,C444+D444-E444,0),IF(L444&lt;AD444,I444+J444-K444,0),IF(R444&lt;AD444,O444+P444-Q444,0),IF(X444&lt;AD444,U444+V444-W444,0)))))</x:f>
        <x:v>0</x:v>
      </x:c>
      <x:c r="AF444" s="6" t="n">
        <x:f>ROUND(MAX(0,AA444+AB444-AC444-AE444),2)</x:f>
        <x:v>0</x:v>
      </x:c>
      <x:c r="AG444" s="6" t="n">
        <x:f>SUM(H444,N444,T444,Z444,AF444)</x:f>
        <x:v>0</x:v>
      </x:c>
      <x:c r="AH444" s="6" t="n">
        <x:f>SUM(D444,J444,P444,V444,AB444)+AH443</x:f>
        <x:v>1353.9499999999996</x:v>
      </x:c>
      <x:c r="AI444" s="2"/>
    </x:row>
    <x:row r="445" ht="23" customHeight="1">
      <x:c r="B445" s="2" t="n">
        <x:f>437</x:f>
        <x:v>437</x:v>
      </x:c>
      <x:c r="C445" s="6" t="n">
        <x:f>H444</x:f>
        <x:v>0</x:v>
      </x:c>
      <x:c r="D445" s="6" t="n">
        <x:f>ROUND(C445*'Debt strategy'!$D$9/12,2)</x:f>
        <x:v>0</x:v>
      </x:c>
      <x:c r="E445" s="6" t="n">
        <x:f>MIN(C445+D445,'Debt strategy'!$E$9)</x:f>
        <x:v>0</x:v>
      </x:c>
      <x:c r="F445" s="27" t="n">
        <x:f>IF(C445+D445-E445&lt;=0,99,1+SUM(IF(AND(I445+J445-K445&gt;0,OR(I445+J445-K445&lt;C445+D445-E445,AND(I445+J445-K445=C445+D445-E445,1&lt;0))),1,0),IF(AND(O445+P445-Q445&gt;0,OR(O445+P445-Q445&lt;C445+D445-E445,AND(O445+P445-Q445=C445+D445-E445,2&lt;0))),1,0),IF(AND(U445+V445-W445&gt;0,OR(U445+V445-W445&lt;C445+D445-E445,AND(U445+V445-W445=C445+D445-E445,3&lt;0))),1,0),IF(AND(AA445+AB445-AC445&gt;0,OR(AA445+AB445-AC445&lt;C445+D445-E445,AND(AA445+AB445-AC445=C445+D445-E445,4&lt;0))),1,0)))</x:f>
        <x:v>99</x:v>
      </x:c>
      <x:c r="G445" s="6" t="n">
        <x:f>IF('Debt strategy'!$C$16&gt;0,0,MIN(C445+D445-E445,MAX(0,'Debt strategy'!$C$5-SUM(E445,K445,Q445,W445,AC445)-SUM(IF(L445&lt;F445,I445+J445-K445,0),IF(R445&lt;F445,O445+P445-Q445,0),IF(X445&lt;F445,U445+V445-W445,0),IF(AD445&lt;F445,AA445+AB445-AC445,0)))))</x:f>
        <x:v>0</x:v>
      </x:c>
      <x:c r="H445" s="6" t="n">
        <x:f>ROUND(MAX(0,C445+D445-E445-G445),2)</x:f>
        <x:v>0</x:v>
      </x:c>
      <x:c r="I445" s="6" t="n">
        <x:f>N444</x:f>
        <x:v>0</x:v>
      </x:c>
      <x:c r="J445" s="6" t="n">
        <x:f>ROUND(I445*'Debt strategy'!$D$10/12,2)</x:f>
        <x:v>0</x:v>
      </x:c>
      <x:c r="K445" s="6" t="n">
        <x:f>MIN(I445+J445,'Debt strategy'!$E$10)</x:f>
        <x:v>0</x:v>
      </x:c>
      <x:c r="L445" s="27" t="n">
        <x:f>IF(I445+J445-K445&lt;=0,99,1+SUM(IF(AND(C445+D445-E445&gt;0,OR(C445+D445-E445&lt;I445+J445-K445,AND(C445+D445-E445=I445+J445-K445,0&lt;1))),1,0),IF(AND(O445+P445-Q445&gt;0,OR(O445+P445-Q445&lt;I445+J445-K445,AND(O445+P445-Q445=I445+J445-K445,2&lt;1))),1,0),IF(AND(U445+V445-W445&gt;0,OR(U445+V445-W445&lt;I445+J445-K445,AND(U445+V445-W445=I445+J445-K445,3&lt;1))),1,0),IF(AND(AA445+AB445-AC445&gt;0,OR(AA445+AB445-AC445&lt;I445+J445-K445,AND(AA445+AB445-AC445=I445+J445-K445,4&lt;1))),1,0)))</x:f>
        <x:v>99</x:v>
      </x:c>
      <x:c r="M445" s="6" t="n">
        <x:f>IF('Debt strategy'!$C$16&gt;0,0,MIN(I445+J445-K445,MAX(0,'Debt strategy'!$C$5-SUM(E445,K445,Q445,W445,AC445)-SUM(IF(F445&lt;L445,C445+D445-E445,0),IF(R445&lt;L445,O445+P445-Q445,0),IF(X445&lt;L445,U445+V445-W445,0),IF(AD445&lt;L445,AA445+AB445-AC445,0)))))</x:f>
        <x:v>0</x:v>
      </x:c>
      <x:c r="N445" s="6" t="n">
        <x:f>ROUND(MAX(0,I445+J445-K445-M445),2)</x:f>
        <x:v>0</x:v>
      </x:c>
      <x:c r="O445" s="6" t="n">
        <x:f>T444</x:f>
        <x:v>0</x:v>
      </x:c>
      <x:c r="P445" s="6" t="n">
        <x:f>ROUND(O445*'Debt strategy'!$D$11/12,2)</x:f>
        <x:v>0</x:v>
      </x:c>
      <x:c r="Q445" s="6" t="n">
        <x:f>MIN(O445+P445,'Debt strategy'!$E$11)</x:f>
        <x:v>0</x:v>
      </x:c>
      <x:c r="R445" s="27" t="n">
        <x:f>IF(O445+P445-Q445&lt;=0,99,1+SUM(IF(AND(C445+D445-E445&gt;0,OR(C445+D445-E445&lt;O445+P445-Q445,AND(C445+D445-E445=O445+P445-Q445,0&lt;2))),1,0),IF(AND(I445+J445-K445&gt;0,OR(I445+J445-K445&lt;O445+P445-Q445,AND(I445+J445-K445=O445+P445-Q445,1&lt;2))),1,0),IF(AND(U445+V445-W445&gt;0,OR(U445+V445-W445&lt;O445+P445-Q445,AND(U445+V445-W445=O445+P445-Q445,3&lt;2))),1,0),IF(AND(AA445+AB445-AC445&gt;0,OR(AA445+AB445-AC445&lt;O445+P445-Q445,AND(AA445+AB445-AC445=O445+P445-Q445,4&lt;2))),1,0)))</x:f>
        <x:v>99</x:v>
      </x:c>
      <x:c r="S445" s="6" t="n">
        <x:f>IF('Debt strategy'!$C$16&gt;0,0,MIN(O445+P445-Q445,MAX(0,'Debt strategy'!$C$5-SUM(E445,K445,Q445,W445,AC445)-SUM(IF(F445&lt;R445,C445+D445-E445,0),IF(L445&lt;R445,I445+J445-K445,0),IF(X445&lt;R445,U445+V445-W445,0),IF(AD445&lt;R445,AA445+AB445-AC445,0)))))</x:f>
        <x:v>0</x:v>
      </x:c>
      <x:c r="T445" s="6" t="n">
        <x:f>ROUND(MAX(0,O445+P445-Q445-S445),2)</x:f>
        <x:v>0</x:v>
      </x:c>
      <x:c r="U445" s="6" t="n">
        <x:f>Z444</x:f>
        <x:v>0</x:v>
      </x:c>
      <x:c r="V445" s="6" t="n">
        <x:f>ROUND(U445*'Debt strategy'!$D$12/12,2)</x:f>
        <x:v>0</x:v>
      </x:c>
      <x:c r="W445" s="6" t="n">
        <x:f>MIN(U445+V445,'Debt strategy'!$E$12)</x:f>
        <x:v>0</x:v>
      </x:c>
      <x:c r="X445" s="27" t="n">
        <x:f>IF(U445+V445-W445&lt;=0,99,1+SUM(IF(AND(C445+D445-E445&gt;0,OR(C445+D445-E445&lt;U445+V445-W445,AND(C445+D445-E445=U445+V445-W445,0&lt;3))),1,0),IF(AND(I445+J445-K445&gt;0,OR(I445+J445-K445&lt;U445+V445-W445,AND(I445+J445-K445=U445+V445-W445,1&lt;3))),1,0),IF(AND(O445+P445-Q445&gt;0,OR(O445+P445-Q445&lt;U445+V445-W445,AND(O445+P445-Q445=U445+V445-W445,2&lt;3))),1,0),IF(AND(AA445+AB445-AC445&gt;0,OR(AA445+AB445-AC445&lt;U445+V445-W445,AND(AA445+AB445-AC445=U445+V445-W445,4&lt;3))),1,0)))</x:f>
        <x:v>99</x:v>
      </x:c>
      <x:c r="Y445" s="6" t="n">
        <x:f>IF('Debt strategy'!$C$16&gt;0,0,MIN(U445+V445-W445,MAX(0,'Debt strategy'!$C$5-SUM(E445,K445,Q445,W445,AC445)-SUM(IF(F445&lt;X445,C445+D445-E445,0),IF(L445&lt;X445,I445+J445-K445,0),IF(R445&lt;X445,O445+P445-Q445,0),IF(AD445&lt;X445,AA445+AB445-AC445,0)))))</x:f>
        <x:v>0</x:v>
      </x:c>
      <x:c r="Z445" s="6" t="n">
        <x:f>ROUND(MAX(0,U445+V445-W445-Y445),2)</x:f>
        <x:v>0</x:v>
      </x:c>
      <x:c r="AA445" s="6" t="n">
        <x:f>AF444</x:f>
        <x:v>0</x:v>
      </x:c>
      <x:c r="AB445" s="6" t="n">
        <x:f>ROUND(AA445*'Debt strategy'!$D$13/12,2)</x:f>
        <x:v>0</x:v>
      </x:c>
      <x:c r="AC445" s="6" t="n">
        <x:f>MIN(AA445+AB445,'Debt strategy'!$E$13)</x:f>
        <x:v>0</x:v>
      </x:c>
      <x:c r="AD445" s="27" t="n">
        <x:f>IF(AA445+AB445-AC445&lt;=0,99,1+SUM(IF(AND(C445+D445-E445&gt;0,OR(C445+D445-E445&lt;AA445+AB445-AC445,AND(C445+D445-E445=AA445+AB445-AC445,0&lt;4))),1,0),IF(AND(I445+J445-K445&gt;0,OR(I445+J445-K445&lt;AA445+AB445-AC445,AND(I445+J445-K445=AA445+AB445-AC445,1&lt;4))),1,0),IF(AND(O445+P445-Q445&gt;0,OR(O445+P445-Q445&lt;AA445+AB445-AC445,AND(O445+P445-Q445=AA445+AB445-AC445,2&lt;4))),1,0),IF(AND(U445+V445-W445&gt;0,OR(U445+V445-W445&lt;AA445+AB445-AC445,AND(U445+V445-W445=AA445+AB445-AC445,3&lt;4))),1,0)))</x:f>
        <x:v>99</x:v>
      </x:c>
      <x:c r="AE445" s="6" t="n">
        <x:f>IF('Debt strategy'!$C$16&gt;0,0,MIN(AA445+AB445-AC445,MAX(0,'Debt strategy'!$C$5-SUM(E445,K445,Q445,W445,AC445)-SUM(IF(F445&lt;AD445,C445+D445-E445,0),IF(L445&lt;AD445,I445+J445-K445,0),IF(R445&lt;AD445,O445+P445-Q445,0),IF(X445&lt;AD445,U445+V445-W445,0)))))</x:f>
        <x:v>0</x:v>
      </x:c>
      <x:c r="AF445" s="6" t="n">
        <x:f>ROUND(MAX(0,AA445+AB445-AC445-AE445),2)</x:f>
        <x:v>0</x:v>
      </x:c>
      <x:c r="AG445" s="6" t="n">
        <x:f>SUM(H445,N445,T445,Z445,AF445)</x:f>
        <x:v>0</x:v>
      </x:c>
      <x:c r="AH445" s="6" t="n">
        <x:f>SUM(D445,J445,P445,V445,AB445)+AH444</x:f>
        <x:v>1353.9499999999996</x:v>
      </x:c>
      <x:c r="AI445" s="2"/>
    </x:row>
    <x:row r="446" ht="23" customHeight="1">
      <x:c r="B446" s="2" t="n">
        <x:f>438</x:f>
        <x:v>438</x:v>
      </x:c>
      <x:c r="C446" s="6" t="n">
        <x:f>H445</x:f>
        <x:v>0</x:v>
      </x:c>
      <x:c r="D446" s="6" t="n">
        <x:f>ROUND(C446*'Debt strategy'!$D$9/12,2)</x:f>
        <x:v>0</x:v>
      </x:c>
      <x:c r="E446" s="6" t="n">
        <x:f>MIN(C446+D446,'Debt strategy'!$E$9)</x:f>
        <x:v>0</x:v>
      </x:c>
      <x:c r="F446" s="27" t="n">
        <x:f>IF(C446+D446-E446&lt;=0,99,1+SUM(IF(AND(I446+J446-K446&gt;0,OR(I446+J446-K446&lt;C446+D446-E446,AND(I446+J446-K446=C446+D446-E446,1&lt;0))),1,0),IF(AND(O446+P446-Q446&gt;0,OR(O446+P446-Q446&lt;C446+D446-E446,AND(O446+P446-Q446=C446+D446-E446,2&lt;0))),1,0),IF(AND(U446+V446-W446&gt;0,OR(U446+V446-W446&lt;C446+D446-E446,AND(U446+V446-W446=C446+D446-E446,3&lt;0))),1,0),IF(AND(AA446+AB446-AC446&gt;0,OR(AA446+AB446-AC446&lt;C446+D446-E446,AND(AA446+AB446-AC446=C446+D446-E446,4&lt;0))),1,0)))</x:f>
        <x:v>99</x:v>
      </x:c>
      <x:c r="G446" s="6" t="n">
        <x:f>IF('Debt strategy'!$C$16&gt;0,0,MIN(C446+D446-E446,MAX(0,'Debt strategy'!$C$5-SUM(E446,K446,Q446,W446,AC446)-SUM(IF(L446&lt;F446,I446+J446-K446,0),IF(R446&lt;F446,O446+P446-Q446,0),IF(X446&lt;F446,U446+V446-W446,0),IF(AD446&lt;F446,AA446+AB446-AC446,0)))))</x:f>
        <x:v>0</x:v>
      </x:c>
      <x:c r="H446" s="6" t="n">
        <x:f>ROUND(MAX(0,C446+D446-E446-G446),2)</x:f>
        <x:v>0</x:v>
      </x:c>
      <x:c r="I446" s="6" t="n">
        <x:f>N445</x:f>
        <x:v>0</x:v>
      </x:c>
      <x:c r="J446" s="6" t="n">
        <x:f>ROUND(I446*'Debt strategy'!$D$10/12,2)</x:f>
        <x:v>0</x:v>
      </x:c>
      <x:c r="K446" s="6" t="n">
        <x:f>MIN(I446+J446,'Debt strategy'!$E$10)</x:f>
        <x:v>0</x:v>
      </x:c>
      <x:c r="L446" s="27" t="n">
        <x:f>IF(I446+J446-K446&lt;=0,99,1+SUM(IF(AND(C446+D446-E446&gt;0,OR(C446+D446-E446&lt;I446+J446-K446,AND(C446+D446-E446=I446+J446-K446,0&lt;1))),1,0),IF(AND(O446+P446-Q446&gt;0,OR(O446+P446-Q446&lt;I446+J446-K446,AND(O446+P446-Q446=I446+J446-K446,2&lt;1))),1,0),IF(AND(U446+V446-W446&gt;0,OR(U446+V446-W446&lt;I446+J446-K446,AND(U446+V446-W446=I446+J446-K446,3&lt;1))),1,0),IF(AND(AA446+AB446-AC446&gt;0,OR(AA446+AB446-AC446&lt;I446+J446-K446,AND(AA446+AB446-AC446=I446+J446-K446,4&lt;1))),1,0)))</x:f>
        <x:v>99</x:v>
      </x:c>
      <x:c r="M446" s="6" t="n">
        <x:f>IF('Debt strategy'!$C$16&gt;0,0,MIN(I446+J446-K446,MAX(0,'Debt strategy'!$C$5-SUM(E446,K446,Q446,W446,AC446)-SUM(IF(F446&lt;L446,C446+D446-E446,0),IF(R446&lt;L446,O446+P446-Q446,0),IF(X446&lt;L446,U446+V446-W446,0),IF(AD446&lt;L446,AA446+AB446-AC446,0)))))</x:f>
        <x:v>0</x:v>
      </x:c>
      <x:c r="N446" s="6" t="n">
        <x:f>ROUND(MAX(0,I446+J446-K446-M446),2)</x:f>
        <x:v>0</x:v>
      </x:c>
      <x:c r="O446" s="6" t="n">
        <x:f>T445</x:f>
        <x:v>0</x:v>
      </x:c>
      <x:c r="P446" s="6" t="n">
        <x:f>ROUND(O446*'Debt strategy'!$D$11/12,2)</x:f>
        <x:v>0</x:v>
      </x:c>
      <x:c r="Q446" s="6" t="n">
        <x:f>MIN(O446+P446,'Debt strategy'!$E$11)</x:f>
        <x:v>0</x:v>
      </x:c>
      <x:c r="R446" s="27" t="n">
        <x:f>IF(O446+P446-Q446&lt;=0,99,1+SUM(IF(AND(C446+D446-E446&gt;0,OR(C446+D446-E446&lt;O446+P446-Q446,AND(C446+D446-E446=O446+P446-Q446,0&lt;2))),1,0),IF(AND(I446+J446-K446&gt;0,OR(I446+J446-K446&lt;O446+P446-Q446,AND(I446+J446-K446=O446+P446-Q446,1&lt;2))),1,0),IF(AND(U446+V446-W446&gt;0,OR(U446+V446-W446&lt;O446+P446-Q446,AND(U446+V446-W446=O446+P446-Q446,3&lt;2))),1,0),IF(AND(AA446+AB446-AC446&gt;0,OR(AA446+AB446-AC446&lt;O446+P446-Q446,AND(AA446+AB446-AC446=O446+P446-Q446,4&lt;2))),1,0)))</x:f>
        <x:v>99</x:v>
      </x:c>
      <x:c r="S446" s="6" t="n">
        <x:f>IF('Debt strategy'!$C$16&gt;0,0,MIN(O446+P446-Q446,MAX(0,'Debt strategy'!$C$5-SUM(E446,K446,Q446,W446,AC446)-SUM(IF(F446&lt;R446,C446+D446-E446,0),IF(L446&lt;R446,I446+J446-K446,0),IF(X446&lt;R446,U446+V446-W446,0),IF(AD446&lt;R446,AA446+AB446-AC446,0)))))</x:f>
        <x:v>0</x:v>
      </x:c>
      <x:c r="T446" s="6" t="n">
        <x:f>ROUND(MAX(0,O446+P446-Q446-S446),2)</x:f>
        <x:v>0</x:v>
      </x:c>
      <x:c r="U446" s="6" t="n">
        <x:f>Z445</x:f>
        <x:v>0</x:v>
      </x:c>
      <x:c r="V446" s="6" t="n">
        <x:f>ROUND(U446*'Debt strategy'!$D$12/12,2)</x:f>
        <x:v>0</x:v>
      </x:c>
      <x:c r="W446" s="6" t="n">
        <x:f>MIN(U446+V446,'Debt strategy'!$E$12)</x:f>
        <x:v>0</x:v>
      </x:c>
      <x:c r="X446" s="27" t="n">
        <x:f>IF(U446+V446-W446&lt;=0,99,1+SUM(IF(AND(C446+D446-E446&gt;0,OR(C446+D446-E446&lt;U446+V446-W446,AND(C446+D446-E446=U446+V446-W446,0&lt;3))),1,0),IF(AND(I446+J446-K446&gt;0,OR(I446+J446-K446&lt;U446+V446-W446,AND(I446+J446-K446=U446+V446-W446,1&lt;3))),1,0),IF(AND(O446+P446-Q446&gt;0,OR(O446+P446-Q446&lt;U446+V446-W446,AND(O446+P446-Q446=U446+V446-W446,2&lt;3))),1,0),IF(AND(AA446+AB446-AC446&gt;0,OR(AA446+AB446-AC446&lt;U446+V446-W446,AND(AA446+AB446-AC446=U446+V446-W446,4&lt;3))),1,0)))</x:f>
        <x:v>99</x:v>
      </x:c>
      <x:c r="Y446" s="6" t="n">
        <x:f>IF('Debt strategy'!$C$16&gt;0,0,MIN(U446+V446-W446,MAX(0,'Debt strategy'!$C$5-SUM(E446,K446,Q446,W446,AC446)-SUM(IF(F446&lt;X446,C446+D446-E446,0),IF(L446&lt;X446,I446+J446-K446,0),IF(R446&lt;X446,O446+P446-Q446,0),IF(AD446&lt;X446,AA446+AB446-AC446,0)))))</x:f>
        <x:v>0</x:v>
      </x:c>
      <x:c r="Z446" s="6" t="n">
        <x:f>ROUND(MAX(0,U446+V446-W446-Y446),2)</x:f>
        <x:v>0</x:v>
      </x:c>
      <x:c r="AA446" s="6" t="n">
        <x:f>AF445</x:f>
        <x:v>0</x:v>
      </x:c>
      <x:c r="AB446" s="6" t="n">
        <x:f>ROUND(AA446*'Debt strategy'!$D$13/12,2)</x:f>
        <x:v>0</x:v>
      </x:c>
      <x:c r="AC446" s="6" t="n">
        <x:f>MIN(AA446+AB446,'Debt strategy'!$E$13)</x:f>
        <x:v>0</x:v>
      </x:c>
      <x:c r="AD446" s="27" t="n">
        <x:f>IF(AA446+AB446-AC446&lt;=0,99,1+SUM(IF(AND(C446+D446-E446&gt;0,OR(C446+D446-E446&lt;AA446+AB446-AC446,AND(C446+D446-E446=AA446+AB446-AC446,0&lt;4))),1,0),IF(AND(I446+J446-K446&gt;0,OR(I446+J446-K446&lt;AA446+AB446-AC446,AND(I446+J446-K446=AA446+AB446-AC446,1&lt;4))),1,0),IF(AND(O446+P446-Q446&gt;0,OR(O446+P446-Q446&lt;AA446+AB446-AC446,AND(O446+P446-Q446=AA446+AB446-AC446,2&lt;4))),1,0),IF(AND(U446+V446-W446&gt;0,OR(U446+V446-W446&lt;AA446+AB446-AC446,AND(U446+V446-W446=AA446+AB446-AC446,3&lt;4))),1,0)))</x:f>
        <x:v>99</x:v>
      </x:c>
      <x:c r="AE446" s="6" t="n">
        <x:f>IF('Debt strategy'!$C$16&gt;0,0,MIN(AA446+AB446-AC446,MAX(0,'Debt strategy'!$C$5-SUM(E446,K446,Q446,W446,AC446)-SUM(IF(F446&lt;AD446,C446+D446-E446,0),IF(L446&lt;AD446,I446+J446-K446,0),IF(R446&lt;AD446,O446+P446-Q446,0),IF(X446&lt;AD446,U446+V446-W446,0)))))</x:f>
        <x:v>0</x:v>
      </x:c>
      <x:c r="AF446" s="6" t="n">
        <x:f>ROUND(MAX(0,AA446+AB446-AC446-AE446),2)</x:f>
        <x:v>0</x:v>
      </x:c>
      <x:c r="AG446" s="6" t="n">
        <x:f>SUM(H446,N446,T446,Z446,AF446)</x:f>
        <x:v>0</x:v>
      </x:c>
      <x:c r="AH446" s="6" t="n">
        <x:f>SUM(D446,J446,P446,V446,AB446)+AH445</x:f>
        <x:v>1353.9499999999996</x:v>
      </x:c>
      <x:c r="AI446" s="2"/>
    </x:row>
    <x:row r="447" ht="23" customHeight="1">
      <x:c r="B447" s="2" t="n">
        <x:f>439</x:f>
        <x:v>439</x:v>
      </x:c>
      <x:c r="C447" s="6" t="n">
        <x:f>H446</x:f>
        <x:v>0</x:v>
      </x:c>
      <x:c r="D447" s="6" t="n">
        <x:f>ROUND(C447*'Debt strategy'!$D$9/12,2)</x:f>
        <x:v>0</x:v>
      </x:c>
      <x:c r="E447" s="6" t="n">
        <x:f>MIN(C447+D447,'Debt strategy'!$E$9)</x:f>
        <x:v>0</x:v>
      </x:c>
      <x:c r="F447" s="27" t="n">
        <x:f>IF(C447+D447-E447&lt;=0,99,1+SUM(IF(AND(I447+J447-K447&gt;0,OR(I447+J447-K447&lt;C447+D447-E447,AND(I447+J447-K447=C447+D447-E447,1&lt;0))),1,0),IF(AND(O447+P447-Q447&gt;0,OR(O447+P447-Q447&lt;C447+D447-E447,AND(O447+P447-Q447=C447+D447-E447,2&lt;0))),1,0),IF(AND(U447+V447-W447&gt;0,OR(U447+V447-W447&lt;C447+D447-E447,AND(U447+V447-W447=C447+D447-E447,3&lt;0))),1,0),IF(AND(AA447+AB447-AC447&gt;0,OR(AA447+AB447-AC447&lt;C447+D447-E447,AND(AA447+AB447-AC447=C447+D447-E447,4&lt;0))),1,0)))</x:f>
        <x:v>99</x:v>
      </x:c>
      <x:c r="G447" s="6" t="n">
        <x:f>IF('Debt strategy'!$C$16&gt;0,0,MIN(C447+D447-E447,MAX(0,'Debt strategy'!$C$5-SUM(E447,K447,Q447,W447,AC447)-SUM(IF(L447&lt;F447,I447+J447-K447,0),IF(R447&lt;F447,O447+P447-Q447,0),IF(X447&lt;F447,U447+V447-W447,0),IF(AD447&lt;F447,AA447+AB447-AC447,0)))))</x:f>
        <x:v>0</x:v>
      </x:c>
      <x:c r="H447" s="6" t="n">
        <x:f>ROUND(MAX(0,C447+D447-E447-G447),2)</x:f>
        <x:v>0</x:v>
      </x:c>
      <x:c r="I447" s="6" t="n">
        <x:f>N446</x:f>
        <x:v>0</x:v>
      </x:c>
      <x:c r="J447" s="6" t="n">
        <x:f>ROUND(I447*'Debt strategy'!$D$10/12,2)</x:f>
        <x:v>0</x:v>
      </x:c>
      <x:c r="K447" s="6" t="n">
        <x:f>MIN(I447+J447,'Debt strategy'!$E$10)</x:f>
        <x:v>0</x:v>
      </x:c>
      <x:c r="L447" s="27" t="n">
        <x:f>IF(I447+J447-K447&lt;=0,99,1+SUM(IF(AND(C447+D447-E447&gt;0,OR(C447+D447-E447&lt;I447+J447-K447,AND(C447+D447-E447=I447+J447-K447,0&lt;1))),1,0),IF(AND(O447+P447-Q447&gt;0,OR(O447+P447-Q447&lt;I447+J447-K447,AND(O447+P447-Q447=I447+J447-K447,2&lt;1))),1,0),IF(AND(U447+V447-W447&gt;0,OR(U447+V447-W447&lt;I447+J447-K447,AND(U447+V447-W447=I447+J447-K447,3&lt;1))),1,0),IF(AND(AA447+AB447-AC447&gt;0,OR(AA447+AB447-AC447&lt;I447+J447-K447,AND(AA447+AB447-AC447=I447+J447-K447,4&lt;1))),1,0)))</x:f>
        <x:v>99</x:v>
      </x:c>
      <x:c r="M447" s="6" t="n">
        <x:f>IF('Debt strategy'!$C$16&gt;0,0,MIN(I447+J447-K447,MAX(0,'Debt strategy'!$C$5-SUM(E447,K447,Q447,W447,AC447)-SUM(IF(F447&lt;L447,C447+D447-E447,0),IF(R447&lt;L447,O447+P447-Q447,0),IF(X447&lt;L447,U447+V447-W447,0),IF(AD447&lt;L447,AA447+AB447-AC447,0)))))</x:f>
        <x:v>0</x:v>
      </x:c>
      <x:c r="N447" s="6" t="n">
        <x:f>ROUND(MAX(0,I447+J447-K447-M447),2)</x:f>
        <x:v>0</x:v>
      </x:c>
      <x:c r="O447" s="6" t="n">
        <x:f>T446</x:f>
        <x:v>0</x:v>
      </x:c>
      <x:c r="P447" s="6" t="n">
        <x:f>ROUND(O447*'Debt strategy'!$D$11/12,2)</x:f>
        <x:v>0</x:v>
      </x:c>
      <x:c r="Q447" s="6" t="n">
        <x:f>MIN(O447+P447,'Debt strategy'!$E$11)</x:f>
        <x:v>0</x:v>
      </x:c>
      <x:c r="R447" s="27" t="n">
        <x:f>IF(O447+P447-Q447&lt;=0,99,1+SUM(IF(AND(C447+D447-E447&gt;0,OR(C447+D447-E447&lt;O447+P447-Q447,AND(C447+D447-E447=O447+P447-Q447,0&lt;2))),1,0),IF(AND(I447+J447-K447&gt;0,OR(I447+J447-K447&lt;O447+P447-Q447,AND(I447+J447-K447=O447+P447-Q447,1&lt;2))),1,0),IF(AND(U447+V447-W447&gt;0,OR(U447+V447-W447&lt;O447+P447-Q447,AND(U447+V447-W447=O447+P447-Q447,3&lt;2))),1,0),IF(AND(AA447+AB447-AC447&gt;0,OR(AA447+AB447-AC447&lt;O447+P447-Q447,AND(AA447+AB447-AC447=O447+P447-Q447,4&lt;2))),1,0)))</x:f>
        <x:v>99</x:v>
      </x:c>
      <x:c r="S447" s="6" t="n">
        <x:f>IF('Debt strategy'!$C$16&gt;0,0,MIN(O447+P447-Q447,MAX(0,'Debt strategy'!$C$5-SUM(E447,K447,Q447,W447,AC447)-SUM(IF(F447&lt;R447,C447+D447-E447,0),IF(L447&lt;R447,I447+J447-K447,0),IF(X447&lt;R447,U447+V447-W447,0),IF(AD447&lt;R447,AA447+AB447-AC447,0)))))</x:f>
        <x:v>0</x:v>
      </x:c>
      <x:c r="T447" s="6" t="n">
        <x:f>ROUND(MAX(0,O447+P447-Q447-S447),2)</x:f>
        <x:v>0</x:v>
      </x:c>
      <x:c r="U447" s="6" t="n">
        <x:f>Z446</x:f>
        <x:v>0</x:v>
      </x:c>
      <x:c r="V447" s="6" t="n">
        <x:f>ROUND(U447*'Debt strategy'!$D$12/12,2)</x:f>
        <x:v>0</x:v>
      </x:c>
      <x:c r="W447" s="6" t="n">
        <x:f>MIN(U447+V447,'Debt strategy'!$E$12)</x:f>
        <x:v>0</x:v>
      </x:c>
      <x:c r="X447" s="27" t="n">
        <x:f>IF(U447+V447-W447&lt;=0,99,1+SUM(IF(AND(C447+D447-E447&gt;0,OR(C447+D447-E447&lt;U447+V447-W447,AND(C447+D447-E447=U447+V447-W447,0&lt;3))),1,0),IF(AND(I447+J447-K447&gt;0,OR(I447+J447-K447&lt;U447+V447-W447,AND(I447+J447-K447=U447+V447-W447,1&lt;3))),1,0),IF(AND(O447+P447-Q447&gt;0,OR(O447+P447-Q447&lt;U447+V447-W447,AND(O447+P447-Q447=U447+V447-W447,2&lt;3))),1,0),IF(AND(AA447+AB447-AC447&gt;0,OR(AA447+AB447-AC447&lt;U447+V447-W447,AND(AA447+AB447-AC447=U447+V447-W447,4&lt;3))),1,0)))</x:f>
        <x:v>99</x:v>
      </x:c>
      <x:c r="Y447" s="6" t="n">
        <x:f>IF('Debt strategy'!$C$16&gt;0,0,MIN(U447+V447-W447,MAX(0,'Debt strategy'!$C$5-SUM(E447,K447,Q447,W447,AC447)-SUM(IF(F447&lt;X447,C447+D447-E447,0),IF(L447&lt;X447,I447+J447-K447,0),IF(R447&lt;X447,O447+P447-Q447,0),IF(AD447&lt;X447,AA447+AB447-AC447,0)))))</x:f>
        <x:v>0</x:v>
      </x:c>
      <x:c r="Z447" s="6" t="n">
        <x:f>ROUND(MAX(0,U447+V447-W447-Y447),2)</x:f>
        <x:v>0</x:v>
      </x:c>
      <x:c r="AA447" s="6" t="n">
        <x:f>AF446</x:f>
        <x:v>0</x:v>
      </x:c>
      <x:c r="AB447" s="6" t="n">
        <x:f>ROUND(AA447*'Debt strategy'!$D$13/12,2)</x:f>
        <x:v>0</x:v>
      </x:c>
      <x:c r="AC447" s="6" t="n">
        <x:f>MIN(AA447+AB447,'Debt strategy'!$E$13)</x:f>
        <x:v>0</x:v>
      </x:c>
      <x:c r="AD447" s="27" t="n">
        <x:f>IF(AA447+AB447-AC447&lt;=0,99,1+SUM(IF(AND(C447+D447-E447&gt;0,OR(C447+D447-E447&lt;AA447+AB447-AC447,AND(C447+D447-E447=AA447+AB447-AC447,0&lt;4))),1,0),IF(AND(I447+J447-K447&gt;0,OR(I447+J447-K447&lt;AA447+AB447-AC447,AND(I447+J447-K447=AA447+AB447-AC447,1&lt;4))),1,0),IF(AND(O447+P447-Q447&gt;0,OR(O447+P447-Q447&lt;AA447+AB447-AC447,AND(O447+P447-Q447=AA447+AB447-AC447,2&lt;4))),1,0),IF(AND(U447+V447-W447&gt;0,OR(U447+V447-W447&lt;AA447+AB447-AC447,AND(U447+V447-W447=AA447+AB447-AC447,3&lt;4))),1,0)))</x:f>
        <x:v>99</x:v>
      </x:c>
      <x:c r="AE447" s="6" t="n">
        <x:f>IF('Debt strategy'!$C$16&gt;0,0,MIN(AA447+AB447-AC447,MAX(0,'Debt strategy'!$C$5-SUM(E447,K447,Q447,W447,AC447)-SUM(IF(F447&lt;AD447,C447+D447-E447,0),IF(L447&lt;AD447,I447+J447-K447,0),IF(R447&lt;AD447,O447+P447-Q447,0),IF(X447&lt;AD447,U447+V447-W447,0)))))</x:f>
        <x:v>0</x:v>
      </x:c>
      <x:c r="AF447" s="6" t="n">
        <x:f>ROUND(MAX(0,AA447+AB447-AC447-AE447),2)</x:f>
        <x:v>0</x:v>
      </x:c>
      <x:c r="AG447" s="6" t="n">
        <x:f>SUM(H447,N447,T447,Z447,AF447)</x:f>
        <x:v>0</x:v>
      </x:c>
      <x:c r="AH447" s="6" t="n">
        <x:f>SUM(D447,J447,P447,V447,AB447)+AH446</x:f>
        <x:v>1353.9499999999996</x:v>
      </x:c>
      <x:c r="AI447" s="2"/>
    </x:row>
    <x:row r="448" ht="23" customHeight="1">
      <x:c r="B448" s="2" t="n">
        <x:f>440</x:f>
        <x:v>440</x:v>
      </x:c>
      <x:c r="C448" s="6" t="n">
        <x:f>H447</x:f>
        <x:v>0</x:v>
      </x:c>
      <x:c r="D448" s="6" t="n">
        <x:f>ROUND(C448*'Debt strategy'!$D$9/12,2)</x:f>
        <x:v>0</x:v>
      </x:c>
      <x:c r="E448" s="6" t="n">
        <x:f>MIN(C448+D448,'Debt strategy'!$E$9)</x:f>
        <x:v>0</x:v>
      </x:c>
      <x:c r="F448" s="27" t="n">
        <x:f>IF(C448+D448-E448&lt;=0,99,1+SUM(IF(AND(I448+J448-K448&gt;0,OR(I448+J448-K448&lt;C448+D448-E448,AND(I448+J448-K448=C448+D448-E448,1&lt;0))),1,0),IF(AND(O448+P448-Q448&gt;0,OR(O448+P448-Q448&lt;C448+D448-E448,AND(O448+P448-Q448=C448+D448-E448,2&lt;0))),1,0),IF(AND(U448+V448-W448&gt;0,OR(U448+V448-W448&lt;C448+D448-E448,AND(U448+V448-W448=C448+D448-E448,3&lt;0))),1,0),IF(AND(AA448+AB448-AC448&gt;0,OR(AA448+AB448-AC448&lt;C448+D448-E448,AND(AA448+AB448-AC448=C448+D448-E448,4&lt;0))),1,0)))</x:f>
        <x:v>99</x:v>
      </x:c>
      <x:c r="G448" s="6" t="n">
        <x:f>IF('Debt strategy'!$C$16&gt;0,0,MIN(C448+D448-E448,MAX(0,'Debt strategy'!$C$5-SUM(E448,K448,Q448,W448,AC448)-SUM(IF(L448&lt;F448,I448+J448-K448,0),IF(R448&lt;F448,O448+P448-Q448,0),IF(X448&lt;F448,U448+V448-W448,0),IF(AD448&lt;F448,AA448+AB448-AC448,0)))))</x:f>
        <x:v>0</x:v>
      </x:c>
      <x:c r="H448" s="6" t="n">
        <x:f>ROUND(MAX(0,C448+D448-E448-G448),2)</x:f>
        <x:v>0</x:v>
      </x:c>
      <x:c r="I448" s="6" t="n">
        <x:f>N447</x:f>
        <x:v>0</x:v>
      </x:c>
      <x:c r="J448" s="6" t="n">
        <x:f>ROUND(I448*'Debt strategy'!$D$10/12,2)</x:f>
        <x:v>0</x:v>
      </x:c>
      <x:c r="K448" s="6" t="n">
        <x:f>MIN(I448+J448,'Debt strategy'!$E$10)</x:f>
        <x:v>0</x:v>
      </x:c>
      <x:c r="L448" s="27" t="n">
        <x:f>IF(I448+J448-K448&lt;=0,99,1+SUM(IF(AND(C448+D448-E448&gt;0,OR(C448+D448-E448&lt;I448+J448-K448,AND(C448+D448-E448=I448+J448-K448,0&lt;1))),1,0),IF(AND(O448+P448-Q448&gt;0,OR(O448+P448-Q448&lt;I448+J448-K448,AND(O448+P448-Q448=I448+J448-K448,2&lt;1))),1,0),IF(AND(U448+V448-W448&gt;0,OR(U448+V448-W448&lt;I448+J448-K448,AND(U448+V448-W448=I448+J448-K448,3&lt;1))),1,0),IF(AND(AA448+AB448-AC448&gt;0,OR(AA448+AB448-AC448&lt;I448+J448-K448,AND(AA448+AB448-AC448=I448+J448-K448,4&lt;1))),1,0)))</x:f>
        <x:v>99</x:v>
      </x:c>
      <x:c r="M448" s="6" t="n">
        <x:f>IF('Debt strategy'!$C$16&gt;0,0,MIN(I448+J448-K448,MAX(0,'Debt strategy'!$C$5-SUM(E448,K448,Q448,W448,AC448)-SUM(IF(F448&lt;L448,C448+D448-E448,0),IF(R448&lt;L448,O448+P448-Q448,0),IF(X448&lt;L448,U448+V448-W448,0),IF(AD448&lt;L448,AA448+AB448-AC448,0)))))</x:f>
        <x:v>0</x:v>
      </x:c>
      <x:c r="N448" s="6" t="n">
        <x:f>ROUND(MAX(0,I448+J448-K448-M448),2)</x:f>
        <x:v>0</x:v>
      </x:c>
      <x:c r="O448" s="6" t="n">
        <x:f>T447</x:f>
        <x:v>0</x:v>
      </x:c>
      <x:c r="P448" s="6" t="n">
        <x:f>ROUND(O448*'Debt strategy'!$D$11/12,2)</x:f>
        <x:v>0</x:v>
      </x:c>
      <x:c r="Q448" s="6" t="n">
        <x:f>MIN(O448+P448,'Debt strategy'!$E$11)</x:f>
        <x:v>0</x:v>
      </x:c>
      <x:c r="R448" s="27" t="n">
        <x:f>IF(O448+P448-Q448&lt;=0,99,1+SUM(IF(AND(C448+D448-E448&gt;0,OR(C448+D448-E448&lt;O448+P448-Q448,AND(C448+D448-E448=O448+P448-Q448,0&lt;2))),1,0),IF(AND(I448+J448-K448&gt;0,OR(I448+J448-K448&lt;O448+P448-Q448,AND(I448+J448-K448=O448+P448-Q448,1&lt;2))),1,0),IF(AND(U448+V448-W448&gt;0,OR(U448+V448-W448&lt;O448+P448-Q448,AND(U448+V448-W448=O448+P448-Q448,3&lt;2))),1,0),IF(AND(AA448+AB448-AC448&gt;0,OR(AA448+AB448-AC448&lt;O448+P448-Q448,AND(AA448+AB448-AC448=O448+P448-Q448,4&lt;2))),1,0)))</x:f>
        <x:v>99</x:v>
      </x:c>
      <x:c r="S448" s="6" t="n">
        <x:f>IF('Debt strategy'!$C$16&gt;0,0,MIN(O448+P448-Q448,MAX(0,'Debt strategy'!$C$5-SUM(E448,K448,Q448,W448,AC448)-SUM(IF(F448&lt;R448,C448+D448-E448,0),IF(L448&lt;R448,I448+J448-K448,0),IF(X448&lt;R448,U448+V448-W448,0),IF(AD448&lt;R448,AA448+AB448-AC448,0)))))</x:f>
        <x:v>0</x:v>
      </x:c>
      <x:c r="T448" s="6" t="n">
        <x:f>ROUND(MAX(0,O448+P448-Q448-S448),2)</x:f>
        <x:v>0</x:v>
      </x:c>
      <x:c r="U448" s="6" t="n">
        <x:f>Z447</x:f>
        <x:v>0</x:v>
      </x:c>
      <x:c r="V448" s="6" t="n">
        <x:f>ROUND(U448*'Debt strategy'!$D$12/12,2)</x:f>
        <x:v>0</x:v>
      </x:c>
      <x:c r="W448" s="6" t="n">
        <x:f>MIN(U448+V448,'Debt strategy'!$E$12)</x:f>
        <x:v>0</x:v>
      </x:c>
      <x:c r="X448" s="27" t="n">
        <x:f>IF(U448+V448-W448&lt;=0,99,1+SUM(IF(AND(C448+D448-E448&gt;0,OR(C448+D448-E448&lt;U448+V448-W448,AND(C448+D448-E448=U448+V448-W448,0&lt;3))),1,0),IF(AND(I448+J448-K448&gt;0,OR(I448+J448-K448&lt;U448+V448-W448,AND(I448+J448-K448=U448+V448-W448,1&lt;3))),1,0),IF(AND(O448+P448-Q448&gt;0,OR(O448+P448-Q448&lt;U448+V448-W448,AND(O448+P448-Q448=U448+V448-W448,2&lt;3))),1,0),IF(AND(AA448+AB448-AC448&gt;0,OR(AA448+AB448-AC448&lt;U448+V448-W448,AND(AA448+AB448-AC448=U448+V448-W448,4&lt;3))),1,0)))</x:f>
        <x:v>99</x:v>
      </x:c>
      <x:c r="Y448" s="6" t="n">
        <x:f>IF('Debt strategy'!$C$16&gt;0,0,MIN(U448+V448-W448,MAX(0,'Debt strategy'!$C$5-SUM(E448,K448,Q448,W448,AC448)-SUM(IF(F448&lt;X448,C448+D448-E448,0),IF(L448&lt;X448,I448+J448-K448,0),IF(R448&lt;X448,O448+P448-Q448,0),IF(AD448&lt;X448,AA448+AB448-AC448,0)))))</x:f>
        <x:v>0</x:v>
      </x:c>
      <x:c r="Z448" s="6" t="n">
        <x:f>ROUND(MAX(0,U448+V448-W448-Y448),2)</x:f>
        <x:v>0</x:v>
      </x:c>
      <x:c r="AA448" s="6" t="n">
        <x:f>AF447</x:f>
        <x:v>0</x:v>
      </x:c>
      <x:c r="AB448" s="6" t="n">
        <x:f>ROUND(AA448*'Debt strategy'!$D$13/12,2)</x:f>
        <x:v>0</x:v>
      </x:c>
      <x:c r="AC448" s="6" t="n">
        <x:f>MIN(AA448+AB448,'Debt strategy'!$E$13)</x:f>
        <x:v>0</x:v>
      </x:c>
      <x:c r="AD448" s="27" t="n">
        <x:f>IF(AA448+AB448-AC448&lt;=0,99,1+SUM(IF(AND(C448+D448-E448&gt;0,OR(C448+D448-E448&lt;AA448+AB448-AC448,AND(C448+D448-E448=AA448+AB448-AC448,0&lt;4))),1,0),IF(AND(I448+J448-K448&gt;0,OR(I448+J448-K448&lt;AA448+AB448-AC448,AND(I448+J448-K448=AA448+AB448-AC448,1&lt;4))),1,0),IF(AND(O448+P448-Q448&gt;0,OR(O448+P448-Q448&lt;AA448+AB448-AC448,AND(O448+P448-Q448=AA448+AB448-AC448,2&lt;4))),1,0),IF(AND(U448+V448-W448&gt;0,OR(U448+V448-W448&lt;AA448+AB448-AC448,AND(U448+V448-W448=AA448+AB448-AC448,3&lt;4))),1,0)))</x:f>
        <x:v>99</x:v>
      </x:c>
      <x:c r="AE448" s="6" t="n">
        <x:f>IF('Debt strategy'!$C$16&gt;0,0,MIN(AA448+AB448-AC448,MAX(0,'Debt strategy'!$C$5-SUM(E448,K448,Q448,W448,AC448)-SUM(IF(F448&lt;AD448,C448+D448-E448,0),IF(L448&lt;AD448,I448+J448-K448,0),IF(R448&lt;AD448,O448+P448-Q448,0),IF(X448&lt;AD448,U448+V448-W448,0)))))</x:f>
        <x:v>0</x:v>
      </x:c>
      <x:c r="AF448" s="6" t="n">
        <x:f>ROUND(MAX(0,AA448+AB448-AC448-AE448),2)</x:f>
        <x:v>0</x:v>
      </x:c>
      <x:c r="AG448" s="6" t="n">
        <x:f>SUM(H448,N448,T448,Z448,AF448)</x:f>
        <x:v>0</x:v>
      </x:c>
      <x:c r="AH448" s="6" t="n">
        <x:f>SUM(D448,J448,P448,V448,AB448)+AH447</x:f>
        <x:v>1353.9499999999996</x:v>
      </x:c>
      <x:c r="AI448" s="2"/>
    </x:row>
    <x:row r="449" ht="23" customHeight="1">
      <x:c r="B449" s="2" t="n">
        <x:f>441</x:f>
        <x:v>441</x:v>
      </x:c>
      <x:c r="C449" s="6" t="n">
        <x:f>H448</x:f>
        <x:v>0</x:v>
      </x:c>
      <x:c r="D449" s="6" t="n">
        <x:f>ROUND(C449*'Debt strategy'!$D$9/12,2)</x:f>
        <x:v>0</x:v>
      </x:c>
      <x:c r="E449" s="6" t="n">
        <x:f>MIN(C449+D449,'Debt strategy'!$E$9)</x:f>
        <x:v>0</x:v>
      </x:c>
      <x:c r="F449" s="27" t="n">
        <x:f>IF(C449+D449-E449&lt;=0,99,1+SUM(IF(AND(I449+J449-K449&gt;0,OR(I449+J449-K449&lt;C449+D449-E449,AND(I449+J449-K449=C449+D449-E449,1&lt;0))),1,0),IF(AND(O449+P449-Q449&gt;0,OR(O449+P449-Q449&lt;C449+D449-E449,AND(O449+P449-Q449=C449+D449-E449,2&lt;0))),1,0),IF(AND(U449+V449-W449&gt;0,OR(U449+V449-W449&lt;C449+D449-E449,AND(U449+V449-W449=C449+D449-E449,3&lt;0))),1,0),IF(AND(AA449+AB449-AC449&gt;0,OR(AA449+AB449-AC449&lt;C449+D449-E449,AND(AA449+AB449-AC449=C449+D449-E449,4&lt;0))),1,0)))</x:f>
        <x:v>99</x:v>
      </x:c>
      <x:c r="G449" s="6" t="n">
        <x:f>IF('Debt strategy'!$C$16&gt;0,0,MIN(C449+D449-E449,MAX(0,'Debt strategy'!$C$5-SUM(E449,K449,Q449,W449,AC449)-SUM(IF(L449&lt;F449,I449+J449-K449,0),IF(R449&lt;F449,O449+P449-Q449,0),IF(X449&lt;F449,U449+V449-W449,0),IF(AD449&lt;F449,AA449+AB449-AC449,0)))))</x:f>
        <x:v>0</x:v>
      </x:c>
      <x:c r="H449" s="6" t="n">
        <x:f>ROUND(MAX(0,C449+D449-E449-G449),2)</x:f>
        <x:v>0</x:v>
      </x:c>
      <x:c r="I449" s="6" t="n">
        <x:f>N448</x:f>
        <x:v>0</x:v>
      </x:c>
      <x:c r="J449" s="6" t="n">
        <x:f>ROUND(I449*'Debt strategy'!$D$10/12,2)</x:f>
        <x:v>0</x:v>
      </x:c>
      <x:c r="K449" s="6" t="n">
        <x:f>MIN(I449+J449,'Debt strategy'!$E$10)</x:f>
        <x:v>0</x:v>
      </x:c>
      <x:c r="L449" s="27" t="n">
        <x:f>IF(I449+J449-K449&lt;=0,99,1+SUM(IF(AND(C449+D449-E449&gt;0,OR(C449+D449-E449&lt;I449+J449-K449,AND(C449+D449-E449=I449+J449-K449,0&lt;1))),1,0),IF(AND(O449+P449-Q449&gt;0,OR(O449+P449-Q449&lt;I449+J449-K449,AND(O449+P449-Q449=I449+J449-K449,2&lt;1))),1,0),IF(AND(U449+V449-W449&gt;0,OR(U449+V449-W449&lt;I449+J449-K449,AND(U449+V449-W449=I449+J449-K449,3&lt;1))),1,0),IF(AND(AA449+AB449-AC449&gt;0,OR(AA449+AB449-AC449&lt;I449+J449-K449,AND(AA449+AB449-AC449=I449+J449-K449,4&lt;1))),1,0)))</x:f>
        <x:v>99</x:v>
      </x:c>
      <x:c r="M449" s="6" t="n">
        <x:f>IF('Debt strategy'!$C$16&gt;0,0,MIN(I449+J449-K449,MAX(0,'Debt strategy'!$C$5-SUM(E449,K449,Q449,W449,AC449)-SUM(IF(F449&lt;L449,C449+D449-E449,0),IF(R449&lt;L449,O449+P449-Q449,0),IF(X449&lt;L449,U449+V449-W449,0),IF(AD449&lt;L449,AA449+AB449-AC449,0)))))</x:f>
        <x:v>0</x:v>
      </x:c>
      <x:c r="N449" s="6" t="n">
        <x:f>ROUND(MAX(0,I449+J449-K449-M449),2)</x:f>
        <x:v>0</x:v>
      </x:c>
      <x:c r="O449" s="6" t="n">
        <x:f>T448</x:f>
        <x:v>0</x:v>
      </x:c>
      <x:c r="P449" s="6" t="n">
        <x:f>ROUND(O449*'Debt strategy'!$D$11/12,2)</x:f>
        <x:v>0</x:v>
      </x:c>
      <x:c r="Q449" s="6" t="n">
        <x:f>MIN(O449+P449,'Debt strategy'!$E$11)</x:f>
        <x:v>0</x:v>
      </x:c>
      <x:c r="R449" s="27" t="n">
        <x:f>IF(O449+P449-Q449&lt;=0,99,1+SUM(IF(AND(C449+D449-E449&gt;0,OR(C449+D449-E449&lt;O449+P449-Q449,AND(C449+D449-E449=O449+P449-Q449,0&lt;2))),1,0),IF(AND(I449+J449-K449&gt;0,OR(I449+J449-K449&lt;O449+P449-Q449,AND(I449+J449-K449=O449+P449-Q449,1&lt;2))),1,0),IF(AND(U449+V449-W449&gt;0,OR(U449+V449-W449&lt;O449+P449-Q449,AND(U449+V449-W449=O449+P449-Q449,3&lt;2))),1,0),IF(AND(AA449+AB449-AC449&gt;0,OR(AA449+AB449-AC449&lt;O449+P449-Q449,AND(AA449+AB449-AC449=O449+P449-Q449,4&lt;2))),1,0)))</x:f>
        <x:v>99</x:v>
      </x:c>
      <x:c r="S449" s="6" t="n">
        <x:f>IF('Debt strategy'!$C$16&gt;0,0,MIN(O449+P449-Q449,MAX(0,'Debt strategy'!$C$5-SUM(E449,K449,Q449,W449,AC449)-SUM(IF(F449&lt;R449,C449+D449-E449,0),IF(L449&lt;R449,I449+J449-K449,0),IF(X449&lt;R449,U449+V449-W449,0),IF(AD449&lt;R449,AA449+AB449-AC449,0)))))</x:f>
        <x:v>0</x:v>
      </x:c>
      <x:c r="T449" s="6" t="n">
        <x:f>ROUND(MAX(0,O449+P449-Q449-S449),2)</x:f>
        <x:v>0</x:v>
      </x:c>
      <x:c r="U449" s="6" t="n">
        <x:f>Z448</x:f>
        <x:v>0</x:v>
      </x:c>
      <x:c r="V449" s="6" t="n">
        <x:f>ROUND(U449*'Debt strategy'!$D$12/12,2)</x:f>
        <x:v>0</x:v>
      </x:c>
      <x:c r="W449" s="6" t="n">
        <x:f>MIN(U449+V449,'Debt strategy'!$E$12)</x:f>
        <x:v>0</x:v>
      </x:c>
      <x:c r="X449" s="27" t="n">
        <x:f>IF(U449+V449-W449&lt;=0,99,1+SUM(IF(AND(C449+D449-E449&gt;0,OR(C449+D449-E449&lt;U449+V449-W449,AND(C449+D449-E449=U449+V449-W449,0&lt;3))),1,0),IF(AND(I449+J449-K449&gt;0,OR(I449+J449-K449&lt;U449+V449-W449,AND(I449+J449-K449=U449+V449-W449,1&lt;3))),1,0),IF(AND(O449+P449-Q449&gt;0,OR(O449+P449-Q449&lt;U449+V449-W449,AND(O449+P449-Q449=U449+V449-W449,2&lt;3))),1,0),IF(AND(AA449+AB449-AC449&gt;0,OR(AA449+AB449-AC449&lt;U449+V449-W449,AND(AA449+AB449-AC449=U449+V449-W449,4&lt;3))),1,0)))</x:f>
        <x:v>99</x:v>
      </x:c>
      <x:c r="Y449" s="6" t="n">
        <x:f>IF('Debt strategy'!$C$16&gt;0,0,MIN(U449+V449-W449,MAX(0,'Debt strategy'!$C$5-SUM(E449,K449,Q449,W449,AC449)-SUM(IF(F449&lt;X449,C449+D449-E449,0),IF(L449&lt;X449,I449+J449-K449,0),IF(R449&lt;X449,O449+P449-Q449,0),IF(AD449&lt;X449,AA449+AB449-AC449,0)))))</x:f>
        <x:v>0</x:v>
      </x:c>
      <x:c r="Z449" s="6" t="n">
        <x:f>ROUND(MAX(0,U449+V449-W449-Y449),2)</x:f>
        <x:v>0</x:v>
      </x:c>
      <x:c r="AA449" s="6" t="n">
        <x:f>AF448</x:f>
        <x:v>0</x:v>
      </x:c>
      <x:c r="AB449" s="6" t="n">
        <x:f>ROUND(AA449*'Debt strategy'!$D$13/12,2)</x:f>
        <x:v>0</x:v>
      </x:c>
      <x:c r="AC449" s="6" t="n">
        <x:f>MIN(AA449+AB449,'Debt strategy'!$E$13)</x:f>
        <x:v>0</x:v>
      </x:c>
      <x:c r="AD449" s="27" t="n">
        <x:f>IF(AA449+AB449-AC449&lt;=0,99,1+SUM(IF(AND(C449+D449-E449&gt;0,OR(C449+D449-E449&lt;AA449+AB449-AC449,AND(C449+D449-E449=AA449+AB449-AC449,0&lt;4))),1,0),IF(AND(I449+J449-K449&gt;0,OR(I449+J449-K449&lt;AA449+AB449-AC449,AND(I449+J449-K449=AA449+AB449-AC449,1&lt;4))),1,0),IF(AND(O449+P449-Q449&gt;0,OR(O449+P449-Q449&lt;AA449+AB449-AC449,AND(O449+P449-Q449=AA449+AB449-AC449,2&lt;4))),1,0),IF(AND(U449+V449-W449&gt;0,OR(U449+V449-W449&lt;AA449+AB449-AC449,AND(U449+V449-W449=AA449+AB449-AC449,3&lt;4))),1,0)))</x:f>
        <x:v>99</x:v>
      </x:c>
      <x:c r="AE449" s="6" t="n">
        <x:f>IF('Debt strategy'!$C$16&gt;0,0,MIN(AA449+AB449-AC449,MAX(0,'Debt strategy'!$C$5-SUM(E449,K449,Q449,W449,AC449)-SUM(IF(F449&lt;AD449,C449+D449-E449,0),IF(L449&lt;AD449,I449+J449-K449,0),IF(R449&lt;AD449,O449+P449-Q449,0),IF(X449&lt;AD449,U449+V449-W449,0)))))</x:f>
        <x:v>0</x:v>
      </x:c>
      <x:c r="AF449" s="6" t="n">
        <x:f>ROUND(MAX(0,AA449+AB449-AC449-AE449),2)</x:f>
        <x:v>0</x:v>
      </x:c>
      <x:c r="AG449" s="6" t="n">
        <x:f>SUM(H449,N449,T449,Z449,AF449)</x:f>
        <x:v>0</x:v>
      </x:c>
      <x:c r="AH449" s="6" t="n">
        <x:f>SUM(D449,J449,P449,V449,AB449)+AH448</x:f>
        <x:v>1353.9499999999996</x:v>
      </x:c>
      <x:c r="AI449" s="2"/>
    </x:row>
    <x:row r="450" ht="23" customHeight="1">
      <x:c r="B450" s="2" t="n">
        <x:f>442</x:f>
        <x:v>442</x:v>
      </x:c>
      <x:c r="C450" s="6" t="n">
        <x:f>H449</x:f>
        <x:v>0</x:v>
      </x:c>
      <x:c r="D450" s="6" t="n">
        <x:f>ROUND(C450*'Debt strategy'!$D$9/12,2)</x:f>
        <x:v>0</x:v>
      </x:c>
      <x:c r="E450" s="6" t="n">
        <x:f>MIN(C450+D450,'Debt strategy'!$E$9)</x:f>
        <x:v>0</x:v>
      </x:c>
      <x:c r="F450" s="27" t="n">
        <x:f>IF(C450+D450-E450&lt;=0,99,1+SUM(IF(AND(I450+J450-K450&gt;0,OR(I450+J450-K450&lt;C450+D450-E450,AND(I450+J450-K450=C450+D450-E450,1&lt;0))),1,0),IF(AND(O450+P450-Q450&gt;0,OR(O450+P450-Q450&lt;C450+D450-E450,AND(O450+P450-Q450=C450+D450-E450,2&lt;0))),1,0),IF(AND(U450+V450-W450&gt;0,OR(U450+V450-W450&lt;C450+D450-E450,AND(U450+V450-W450=C450+D450-E450,3&lt;0))),1,0),IF(AND(AA450+AB450-AC450&gt;0,OR(AA450+AB450-AC450&lt;C450+D450-E450,AND(AA450+AB450-AC450=C450+D450-E450,4&lt;0))),1,0)))</x:f>
        <x:v>99</x:v>
      </x:c>
      <x:c r="G450" s="6" t="n">
        <x:f>IF('Debt strategy'!$C$16&gt;0,0,MIN(C450+D450-E450,MAX(0,'Debt strategy'!$C$5-SUM(E450,K450,Q450,W450,AC450)-SUM(IF(L450&lt;F450,I450+J450-K450,0),IF(R450&lt;F450,O450+P450-Q450,0),IF(X450&lt;F450,U450+V450-W450,0),IF(AD450&lt;F450,AA450+AB450-AC450,0)))))</x:f>
        <x:v>0</x:v>
      </x:c>
      <x:c r="H450" s="6" t="n">
        <x:f>ROUND(MAX(0,C450+D450-E450-G450),2)</x:f>
        <x:v>0</x:v>
      </x:c>
      <x:c r="I450" s="6" t="n">
        <x:f>N449</x:f>
        <x:v>0</x:v>
      </x:c>
      <x:c r="J450" s="6" t="n">
        <x:f>ROUND(I450*'Debt strategy'!$D$10/12,2)</x:f>
        <x:v>0</x:v>
      </x:c>
      <x:c r="K450" s="6" t="n">
        <x:f>MIN(I450+J450,'Debt strategy'!$E$10)</x:f>
        <x:v>0</x:v>
      </x:c>
      <x:c r="L450" s="27" t="n">
        <x:f>IF(I450+J450-K450&lt;=0,99,1+SUM(IF(AND(C450+D450-E450&gt;0,OR(C450+D450-E450&lt;I450+J450-K450,AND(C450+D450-E450=I450+J450-K450,0&lt;1))),1,0),IF(AND(O450+P450-Q450&gt;0,OR(O450+P450-Q450&lt;I450+J450-K450,AND(O450+P450-Q450=I450+J450-K450,2&lt;1))),1,0),IF(AND(U450+V450-W450&gt;0,OR(U450+V450-W450&lt;I450+J450-K450,AND(U450+V450-W450=I450+J450-K450,3&lt;1))),1,0),IF(AND(AA450+AB450-AC450&gt;0,OR(AA450+AB450-AC450&lt;I450+J450-K450,AND(AA450+AB450-AC450=I450+J450-K450,4&lt;1))),1,0)))</x:f>
        <x:v>99</x:v>
      </x:c>
      <x:c r="M450" s="6" t="n">
        <x:f>IF('Debt strategy'!$C$16&gt;0,0,MIN(I450+J450-K450,MAX(0,'Debt strategy'!$C$5-SUM(E450,K450,Q450,W450,AC450)-SUM(IF(F450&lt;L450,C450+D450-E450,0),IF(R450&lt;L450,O450+P450-Q450,0),IF(X450&lt;L450,U450+V450-W450,0),IF(AD450&lt;L450,AA450+AB450-AC450,0)))))</x:f>
        <x:v>0</x:v>
      </x:c>
      <x:c r="N450" s="6" t="n">
        <x:f>ROUND(MAX(0,I450+J450-K450-M450),2)</x:f>
        <x:v>0</x:v>
      </x:c>
      <x:c r="O450" s="6" t="n">
        <x:f>T449</x:f>
        <x:v>0</x:v>
      </x:c>
      <x:c r="P450" s="6" t="n">
        <x:f>ROUND(O450*'Debt strategy'!$D$11/12,2)</x:f>
        <x:v>0</x:v>
      </x:c>
      <x:c r="Q450" s="6" t="n">
        <x:f>MIN(O450+P450,'Debt strategy'!$E$11)</x:f>
        <x:v>0</x:v>
      </x:c>
      <x:c r="R450" s="27" t="n">
        <x:f>IF(O450+P450-Q450&lt;=0,99,1+SUM(IF(AND(C450+D450-E450&gt;0,OR(C450+D450-E450&lt;O450+P450-Q450,AND(C450+D450-E450=O450+P450-Q450,0&lt;2))),1,0),IF(AND(I450+J450-K450&gt;0,OR(I450+J450-K450&lt;O450+P450-Q450,AND(I450+J450-K450=O450+P450-Q450,1&lt;2))),1,0),IF(AND(U450+V450-W450&gt;0,OR(U450+V450-W450&lt;O450+P450-Q450,AND(U450+V450-W450=O450+P450-Q450,3&lt;2))),1,0),IF(AND(AA450+AB450-AC450&gt;0,OR(AA450+AB450-AC450&lt;O450+P450-Q450,AND(AA450+AB450-AC450=O450+P450-Q450,4&lt;2))),1,0)))</x:f>
        <x:v>99</x:v>
      </x:c>
      <x:c r="S450" s="6" t="n">
        <x:f>IF('Debt strategy'!$C$16&gt;0,0,MIN(O450+P450-Q450,MAX(0,'Debt strategy'!$C$5-SUM(E450,K450,Q450,W450,AC450)-SUM(IF(F450&lt;R450,C450+D450-E450,0),IF(L450&lt;R450,I450+J450-K450,0),IF(X450&lt;R450,U450+V450-W450,0),IF(AD450&lt;R450,AA450+AB450-AC450,0)))))</x:f>
        <x:v>0</x:v>
      </x:c>
      <x:c r="T450" s="6" t="n">
        <x:f>ROUND(MAX(0,O450+P450-Q450-S450),2)</x:f>
        <x:v>0</x:v>
      </x:c>
      <x:c r="U450" s="6" t="n">
        <x:f>Z449</x:f>
        <x:v>0</x:v>
      </x:c>
      <x:c r="V450" s="6" t="n">
        <x:f>ROUND(U450*'Debt strategy'!$D$12/12,2)</x:f>
        <x:v>0</x:v>
      </x:c>
      <x:c r="W450" s="6" t="n">
        <x:f>MIN(U450+V450,'Debt strategy'!$E$12)</x:f>
        <x:v>0</x:v>
      </x:c>
      <x:c r="X450" s="27" t="n">
        <x:f>IF(U450+V450-W450&lt;=0,99,1+SUM(IF(AND(C450+D450-E450&gt;0,OR(C450+D450-E450&lt;U450+V450-W450,AND(C450+D450-E450=U450+V450-W450,0&lt;3))),1,0),IF(AND(I450+J450-K450&gt;0,OR(I450+J450-K450&lt;U450+V450-W450,AND(I450+J450-K450=U450+V450-W450,1&lt;3))),1,0),IF(AND(O450+P450-Q450&gt;0,OR(O450+P450-Q450&lt;U450+V450-W450,AND(O450+P450-Q450=U450+V450-W450,2&lt;3))),1,0),IF(AND(AA450+AB450-AC450&gt;0,OR(AA450+AB450-AC450&lt;U450+V450-W450,AND(AA450+AB450-AC450=U450+V450-W450,4&lt;3))),1,0)))</x:f>
        <x:v>99</x:v>
      </x:c>
      <x:c r="Y450" s="6" t="n">
        <x:f>IF('Debt strategy'!$C$16&gt;0,0,MIN(U450+V450-W450,MAX(0,'Debt strategy'!$C$5-SUM(E450,K450,Q450,W450,AC450)-SUM(IF(F450&lt;X450,C450+D450-E450,0),IF(L450&lt;X450,I450+J450-K450,0),IF(R450&lt;X450,O450+P450-Q450,0),IF(AD450&lt;X450,AA450+AB450-AC450,0)))))</x:f>
        <x:v>0</x:v>
      </x:c>
      <x:c r="Z450" s="6" t="n">
        <x:f>ROUND(MAX(0,U450+V450-W450-Y450),2)</x:f>
        <x:v>0</x:v>
      </x:c>
      <x:c r="AA450" s="6" t="n">
        <x:f>AF449</x:f>
        <x:v>0</x:v>
      </x:c>
      <x:c r="AB450" s="6" t="n">
        <x:f>ROUND(AA450*'Debt strategy'!$D$13/12,2)</x:f>
        <x:v>0</x:v>
      </x:c>
      <x:c r="AC450" s="6" t="n">
        <x:f>MIN(AA450+AB450,'Debt strategy'!$E$13)</x:f>
        <x:v>0</x:v>
      </x:c>
      <x:c r="AD450" s="27" t="n">
        <x:f>IF(AA450+AB450-AC450&lt;=0,99,1+SUM(IF(AND(C450+D450-E450&gt;0,OR(C450+D450-E450&lt;AA450+AB450-AC450,AND(C450+D450-E450=AA450+AB450-AC450,0&lt;4))),1,0),IF(AND(I450+J450-K450&gt;0,OR(I450+J450-K450&lt;AA450+AB450-AC450,AND(I450+J450-K450=AA450+AB450-AC450,1&lt;4))),1,0),IF(AND(O450+P450-Q450&gt;0,OR(O450+P450-Q450&lt;AA450+AB450-AC450,AND(O450+P450-Q450=AA450+AB450-AC450,2&lt;4))),1,0),IF(AND(U450+V450-W450&gt;0,OR(U450+V450-W450&lt;AA450+AB450-AC450,AND(U450+V450-W450=AA450+AB450-AC450,3&lt;4))),1,0)))</x:f>
        <x:v>99</x:v>
      </x:c>
      <x:c r="AE450" s="6" t="n">
        <x:f>IF('Debt strategy'!$C$16&gt;0,0,MIN(AA450+AB450-AC450,MAX(0,'Debt strategy'!$C$5-SUM(E450,K450,Q450,W450,AC450)-SUM(IF(F450&lt;AD450,C450+D450-E450,0),IF(L450&lt;AD450,I450+J450-K450,0),IF(R450&lt;AD450,O450+P450-Q450,0),IF(X450&lt;AD450,U450+V450-W450,0)))))</x:f>
        <x:v>0</x:v>
      </x:c>
      <x:c r="AF450" s="6" t="n">
        <x:f>ROUND(MAX(0,AA450+AB450-AC450-AE450),2)</x:f>
        <x:v>0</x:v>
      </x:c>
      <x:c r="AG450" s="6" t="n">
        <x:f>SUM(H450,N450,T450,Z450,AF450)</x:f>
        <x:v>0</x:v>
      </x:c>
      <x:c r="AH450" s="6" t="n">
        <x:f>SUM(D450,J450,P450,V450,AB450)+AH449</x:f>
        <x:v>1353.9499999999996</x:v>
      </x:c>
      <x:c r="AI450" s="2"/>
    </x:row>
    <x:row r="451" ht="23" customHeight="1">
      <x:c r="B451" s="2" t="n">
        <x:f>443</x:f>
        <x:v>443</x:v>
      </x:c>
      <x:c r="C451" s="6" t="n">
        <x:f>H450</x:f>
        <x:v>0</x:v>
      </x:c>
      <x:c r="D451" s="6" t="n">
        <x:f>ROUND(C451*'Debt strategy'!$D$9/12,2)</x:f>
        <x:v>0</x:v>
      </x:c>
      <x:c r="E451" s="6" t="n">
        <x:f>MIN(C451+D451,'Debt strategy'!$E$9)</x:f>
        <x:v>0</x:v>
      </x:c>
      <x:c r="F451" s="27" t="n">
        <x:f>IF(C451+D451-E451&lt;=0,99,1+SUM(IF(AND(I451+J451-K451&gt;0,OR(I451+J451-K451&lt;C451+D451-E451,AND(I451+J451-K451=C451+D451-E451,1&lt;0))),1,0),IF(AND(O451+P451-Q451&gt;0,OR(O451+P451-Q451&lt;C451+D451-E451,AND(O451+P451-Q451=C451+D451-E451,2&lt;0))),1,0),IF(AND(U451+V451-W451&gt;0,OR(U451+V451-W451&lt;C451+D451-E451,AND(U451+V451-W451=C451+D451-E451,3&lt;0))),1,0),IF(AND(AA451+AB451-AC451&gt;0,OR(AA451+AB451-AC451&lt;C451+D451-E451,AND(AA451+AB451-AC451=C451+D451-E451,4&lt;0))),1,0)))</x:f>
        <x:v>99</x:v>
      </x:c>
      <x:c r="G451" s="6" t="n">
        <x:f>IF('Debt strategy'!$C$16&gt;0,0,MIN(C451+D451-E451,MAX(0,'Debt strategy'!$C$5-SUM(E451,K451,Q451,W451,AC451)-SUM(IF(L451&lt;F451,I451+J451-K451,0),IF(R451&lt;F451,O451+P451-Q451,0),IF(X451&lt;F451,U451+V451-W451,0),IF(AD451&lt;F451,AA451+AB451-AC451,0)))))</x:f>
        <x:v>0</x:v>
      </x:c>
      <x:c r="H451" s="6" t="n">
        <x:f>ROUND(MAX(0,C451+D451-E451-G451),2)</x:f>
        <x:v>0</x:v>
      </x:c>
      <x:c r="I451" s="6" t="n">
        <x:f>N450</x:f>
        <x:v>0</x:v>
      </x:c>
      <x:c r="J451" s="6" t="n">
        <x:f>ROUND(I451*'Debt strategy'!$D$10/12,2)</x:f>
        <x:v>0</x:v>
      </x:c>
      <x:c r="K451" s="6" t="n">
        <x:f>MIN(I451+J451,'Debt strategy'!$E$10)</x:f>
        <x:v>0</x:v>
      </x:c>
      <x:c r="L451" s="27" t="n">
        <x:f>IF(I451+J451-K451&lt;=0,99,1+SUM(IF(AND(C451+D451-E451&gt;0,OR(C451+D451-E451&lt;I451+J451-K451,AND(C451+D451-E451=I451+J451-K451,0&lt;1))),1,0),IF(AND(O451+P451-Q451&gt;0,OR(O451+P451-Q451&lt;I451+J451-K451,AND(O451+P451-Q451=I451+J451-K451,2&lt;1))),1,0),IF(AND(U451+V451-W451&gt;0,OR(U451+V451-W451&lt;I451+J451-K451,AND(U451+V451-W451=I451+J451-K451,3&lt;1))),1,0),IF(AND(AA451+AB451-AC451&gt;0,OR(AA451+AB451-AC451&lt;I451+J451-K451,AND(AA451+AB451-AC451=I451+J451-K451,4&lt;1))),1,0)))</x:f>
        <x:v>99</x:v>
      </x:c>
      <x:c r="M451" s="6" t="n">
        <x:f>IF('Debt strategy'!$C$16&gt;0,0,MIN(I451+J451-K451,MAX(0,'Debt strategy'!$C$5-SUM(E451,K451,Q451,W451,AC451)-SUM(IF(F451&lt;L451,C451+D451-E451,0),IF(R451&lt;L451,O451+P451-Q451,0),IF(X451&lt;L451,U451+V451-W451,0),IF(AD451&lt;L451,AA451+AB451-AC451,0)))))</x:f>
        <x:v>0</x:v>
      </x:c>
      <x:c r="N451" s="6" t="n">
        <x:f>ROUND(MAX(0,I451+J451-K451-M451),2)</x:f>
        <x:v>0</x:v>
      </x:c>
      <x:c r="O451" s="6" t="n">
        <x:f>T450</x:f>
        <x:v>0</x:v>
      </x:c>
      <x:c r="P451" s="6" t="n">
        <x:f>ROUND(O451*'Debt strategy'!$D$11/12,2)</x:f>
        <x:v>0</x:v>
      </x:c>
      <x:c r="Q451" s="6" t="n">
        <x:f>MIN(O451+P451,'Debt strategy'!$E$11)</x:f>
        <x:v>0</x:v>
      </x:c>
      <x:c r="R451" s="27" t="n">
        <x:f>IF(O451+P451-Q451&lt;=0,99,1+SUM(IF(AND(C451+D451-E451&gt;0,OR(C451+D451-E451&lt;O451+P451-Q451,AND(C451+D451-E451=O451+P451-Q451,0&lt;2))),1,0),IF(AND(I451+J451-K451&gt;0,OR(I451+J451-K451&lt;O451+P451-Q451,AND(I451+J451-K451=O451+P451-Q451,1&lt;2))),1,0),IF(AND(U451+V451-W451&gt;0,OR(U451+V451-W451&lt;O451+P451-Q451,AND(U451+V451-W451=O451+P451-Q451,3&lt;2))),1,0),IF(AND(AA451+AB451-AC451&gt;0,OR(AA451+AB451-AC451&lt;O451+P451-Q451,AND(AA451+AB451-AC451=O451+P451-Q451,4&lt;2))),1,0)))</x:f>
        <x:v>99</x:v>
      </x:c>
      <x:c r="S451" s="6" t="n">
        <x:f>IF('Debt strategy'!$C$16&gt;0,0,MIN(O451+P451-Q451,MAX(0,'Debt strategy'!$C$5-SUM(E451,K451,Q451,W451,AC451)-SUM(IF(F451&lt;R451,C451+D451-E451,0),IF(L451&lt;R451,I451+J451-K451,0),IF(X451&lt;R451,U451+V451-W451,0),IF(AD451&lt;R451,AA451+AB451-AC451,0)))))</x:f>
        <x:v>0</x:v>
      </x:c>
      <x:c r="T451" s="6" t="n">
        <x:f>ROUND(MAX(0,O451+P451-Q451-S451),2)</x:f>
        <x:v>0</x:v>
      </x:c>
      <x:c r="U451" s="6" t="n">
        <x:f>Z450</x:f>
        <x:v>0</x:v>
      </x:c>
      <x:c r="V451" s="6" t="n">
        <x:f>ROUND(U451*'Debt strategy'!$D$12/12,2)</x:f>
        <x:v>0</x:v>
      </x:c>
      <x:c r="W451" s="6" t="n">
        <x:f>MIN(U451+V451,'Debt strategy'!$E$12)</x:f>
        <x:v>0</x:v>
      </x:c>
      <x:c r="X451" s="27" t="n">
        <x:f>IF(U451+V451-W451&lt;=0,99,1+SUM(IF(AND(C451+D451-E451&gt;0,OR(C451+D451-E451&lt;U451+V451-W451,AND(C451+D451-E451=U451+V451-W451,0&lt;3))),1,0),IF(AND(I451+J451-K451&gt;0,OR(I451+J451-K451&lt;U451+V451-W451,AND(I451+J451-K451=U451+V451-W451,1&lt;3))),1,0),IF(AND(O451+P451-Q451&gt;0,OR(O451+P451-Q451&lt;U451+V451-W451,AND(O451+P451-Q451=U451+V451-W451,2&lt;3))),1,0),IF(AND(AA451+AB451-AC451&gt;0,OR(AA451+AB451-AC451&lt;U451+V451-W451,AND(AA451+AB451-AC451=U451+V451-W451,4&lt;3))),1,0)))</x:f>
        <x:v>99</x:v>
      </x:c>
      <x:c r="Y451" s="6" t="n">
        <x:f>IF('Debt strategy'!$C$16&gt;0,0,MIN(U451+V451-W451,MAX(0,'Debt strategy'!$C$5-SUM(E451,K451,Q451,W451,AC451)-SUM(IF(F451&lt;X451,C451+D451-E451,0),IF(L451&lt;X451,I451+J451-K451,0),IF(R451&lt;X451,O451+P451-Q451,0),IF(AD451&lt;X451,AA451+AB451-AC451,0)))))</x:f>
        <x:v>0</x:v>
      </x:c>
      <x:c r="Z451" s="6" t="n">
        <x:f>ROUND(MAX(0,U451+V451-W451-Y451),2)</x:f>
        <x:v>0</x:v>
      </x:c>
      <x:c r="AA451" s="6" t="n">
        <x:f>AF450</x:f>
        <x:v>0</x:v>
      </x:c>
      <x:c r="AB451" s="6" t="n">
        <x:f>ROUND(AA451*'Debt strategy'!$D$13/12,2)</x:f>
        <x:v>0</x:v>
      </x:c>
      <x:c r="AC451" s="6" t="n">
        <x:f>MIN(AA451+AB451,'Debt strategy'!$E$13)</x:f>
        <x:v>0</x:v>
      </x:c>
      <x:c r="AD451" s="27" t="n">
        <x:f>IF(AA451+AB451-AC451&lt;=0,99,1+SUM(IF(AND(C451+D451-E451&gt;0,OR(C451+D451-E451&lt;AA451+AB451-AC451,AND(C451+D451-E451=AA451+AB451-AC451,0&lt;4))),1,0),IF(AND(I451+J451-K451&gt;0,OR(I451+J451-K451&lt;AA451+AB451-AC451,AND(I451+J451-K451=AA451+AB451-AC451,1&lt;4))),1,0),IF(AND(O451+P451-Q451&gt;0,OR(O451+P451-Q451&lt;AA451+AB451-AC451,AND(O451+P451-Q451=AA451+AB451-AC451,2&lt;4))),1,0),IF(AND(U451+V451-W451&gt;0,OR(U451+V451-W451&lt;AA451+AB451-AC451,AND(U451+V451-W451=AA451+AB451-AC451,3&lt;4))),1,0)))</x:f>
        <x:v>99</x:v>
      </x:c>
      <x:c r="AE451" s="6" t="n">
        <x:f>IF('Debt strategy'!$C$16&gt;0,0,MIN(AA451+AB451-AC451,MAX(0,'Debt strategy'!$C$5-SUM(E451,K451,Q451,W451,AC451)-SUM(IF(F451&lt;AD451,C451+D451-E451,0),IF(L451&lt;AD451,I451+J451-K451,0),IF(R451&lt;AD451,O451+P451-Q451,0),IF(X451&lt;AD451,U451+V451-W451,0)))))</x:f>
        <x:v>0</x:v>
      </x:c>
      <x:c r="AF451" s="6" t="n">
        <x:f>ROUND(MAX(0,AA451+AB451-AC451-AE451),2)</x:f>
        <x:v>0</x:v>
      </x:c>
      <x:c r="AG451" s="6" t="n">
        <x:f>SUM(H451,N451,T451,Z451,AF451)</x:f>
        <x:v>0</x:v>
      </x:c>
      <x:c r="AH451" s="6" t="n">
        <x:f>SUM(D451,J451,P451,V451,AB451)+AH450</x:f>
        <x:v>1353.9499999999996</x:v>
      </x:c>
      <x:c r="AI451" s="2"/>
    </x:row>
    <x:row r="452" ht="23" customHeight="1">
      <x:c r="B452" s="2" t="n">
        <x:f>444</x:f>
        <x:v>444</x:v>
      </x:c>
      <x:c r="C452" s="6" t="n">
        <x:f>H451</x:f>
        <x:v>0</x:v>
      </x:c>
      <x:c r="D452" s="6" t="n">
        <x:f>ROUND(C452*'Debt strategy'!$D$9/12,2)</x:f>
        <x:v>0</x:v>
      </x:c>
      <x:c r="E452" s="6" t="n">
        <x:f>MIN(C452+D452,'Debt strategy'!$E$9)</x:f>
        <x:v>0</x:v>
      </x:c>
      <x:c r="F452" s="27" t="n">
        <x:f>IF(C452+D452-E452&lt;=0,99,1+SUM(IF(AND(I452+J452-K452&gt;0,OR(I452+J452-K452&lt;C452+D452-E452,AND(I452+J452-K452=C452+D452-E452,1&lt;0))),1,0),IF(AND(O452+P452-Q452&gt;0,OR(O452+P452-Q452&lt;C452+D452-E452,AND(O452+P452-Q452=C452+D452-E452,2&lt;0))),1,0),IF(AND(U452+V452-W452&gt;0,OR(U452+V452-W452&lt;C452+D452-E452,AND(U452+V452-W452=C452+D452-E452,3&lt;0))),1,0),IF(AND(AA452+AB452-AC452&gt;0,OR(AA452+AB452-AC452&lt;C452+D452-E452,AND(AA452+AB452-AC452=C452+D452-E452,4&lt;0))),1,0)))</x:f>
        <x:v>99</x:v>
      </x:c>
      <x:c r="G452" s="6" t="n">
        <x:f>IF('Debt strategy'!$C$16&gt;0,0,MIN(C452+D452-E452,MAX(0,'Debt strategy'!$C$5-SUM(E452,K452,Q452,W452,AC452)-SUM(IF(L452&lt;F452,I452+J452-K452,0),IF(R452&lt;F452,O452+P452-Q452,0),IF(X452&lt;F452,U452+V452-W452,0),IF(AD452&lt;F452,AA452+AB452-AC452,0)))))</x:f>
        <x:v>0</x:v>
      </x:c>
      <x:c r="H452" s="6" t="n">
        <x:f>ROUND(MAX(0,C452+D452-E452-G452),2)</x:f>
        <x:v>0</x:v>
      </x:c>
      <x:c r="I452" s="6" t="n">
        <x:f>N451</x:f>
        <x:v>0</x:v>
      </x:c>
      <x:c r="J452" s="6" t="n">
        <x:f>ROUND(I452*'Debt strategy'!$D$10/12,2)</x:f>
        <x:v>0</x:v>
      </x:c>
      <x:c r="K452" s="6" t="n">
        <x:f>MIN(I452+J452,'Debt strategy'!$E$10)</x:f>
        <x:v>0</x:v>
      </x:c>
      <x:c r="L452" s="27" t="n">
        <x:f>IF(I452+J452-K452&lt;=0,99,1+SUM(IF(AND(C452+D452-E452&gt;0,OR(C452+D452-E452&lt;I452+J452-K452,AND(C452+D452-E452=I452+J452-K452,0&lt;1))),1,0),IF(AND(O452+P452-Q452&gt;0,OR(O452+P452-Q452&lt;I452+J452-K452,AND(O452+P452-Q452=I452+J452-K452,2&lt;1))),1,0),IF(AND(U452+V452-W452&gt;0,OR(U452+V452-W452&lt;I452+J452-K452,AND(U452+V452-W452=I452+J452-K452,3&lt;1))),1,0),IF(AND(AA452+AB452-AC452&gt;0,OR(AA452+AB452-AC452&lt;I452+J452-K452,AND(AA452+AB452-AC452=I452+J452-K452,4&lt;1))),1,0)))</x:f>
        <x:v>99</x:v>
      </x:c>
      <x:c r="M452" s="6" t="n">
        <x:f>IF('Debt strategy'!$C$16&gt;0,0,MIN(I452+J452-K452,MAX(0,'Debt strategy'!$C$5-SUM(E452,K452,Q452,W452,AC452)-SUM(IF(F452&lt;L452,C452+D452-E452,0),IF(R452&lt;L452,O452+P452-Q452,0),IF(X452&lt;L452,U452+V452-W452,0),IF(AD452&lt;L452,AA452+AB452-AC452,0)))))</x:f>
        <x:v>0</x:v>
      </x:c>
      <x:c r="N452" s="6" t="n">
        <x:f>ROUND(MAX(0,I452+J452-K452-M452),2)</x:f>
        <x:v>0</x:v>
      </x:c>
      <x:c r="O452" s="6" t="n">
        <x:f>T451</x:f>
        <x:v>0</x:v>
      </x:c>
      <x:c r="P452" s="6" t="n">
        <x:f>ROUND(O452*'Debt strategy'!$D$11/12,2)</x:f>
        <x:v>0</x:v>
      </x:c>
      <x:c r="Q452" s="6" t="n">
        <x:f>MIN(O452+P452,'Debt strategy'!$E$11)</x:f>
        <x:v>0</x:v>
      </x:c>
      <x:c r="R452" s="27" t="n">
        <x:f>IF(O452+P452-Q452&lt;=0,99,1+SUM(IF(AND(C452+D452-E452&gt;0,OR(C452+D452-E452&lt;O452+P452-Q452,AND(C452+D452-E452=O452+P452-Q452,0&lt;2))),1,0),IF(AND(I452+J452-K452&gt;0,OR(I452+J452-K452&lt;O452+P452-Q452,AND(I452+J452-K452=O452+P452-Q452,1&lt;2))),1,0),IF(AND(U452+V452-W452&gt;0,OR(U452+V452-W452&lt;O452+P452-Q452,AND(U452+V452-W452=O452+P452-Q452,3&lt;2))),1,0),IF(AND(AA452+AB452-AC452&gt;0,OR(AA452+AB452-AC452&lt;O452+P452-Q452,AND(AA452+AB452-AC452=O452+P452-Q452,4&lt;2))),1,0)))</x:f>
        <x:v>99</x:v>
      </x:c>
      <x:c r="S452" s="6" t="n">
        <x:f>IF('Debt strategy'!$C$16&gt;0,0,MIN(O452+P452-Q452,MAX(0,'Debt strategy'!$C$5-SUM(E452,K452,Q452,W452,AC452)-SUM(IF(F452&lt;R452,C452+D452-E452,0),IF(L452&lt;R452,I452+J452-K452,0),IF(X452&lt;R452,U452+V452-W452,0),IF(AD452&lt;R452,AA452+AB452-AC452,0)))))</x:f>
        <x:v>0</x:v>
      </x:c>
      <x:c r="T452" s="6" t="n">
        <x:f>ROUND(MAX(0,O452+P452-Q452-S452),2)</x:f>
        <x:v>0</x:v>
      </x:c>
      <x:c r="U452" s="6" t="n">
        <x:f>Z451</x:f>
        <x:v>0</x:v>
      </x:c>
      <x:c r="V452" s="6" t="n">
        <x:f>ROUND(U452*'Debt strategy'!$D$12/12,2)</x:f>
        <x:v>0</x:v>
      </x:c>
      <x:c r="W452" s="6" t="n">
        <x:f>MIN(U452+V452,'Debt strategy'!$E$12)</x:f>
        <x:v>0</x:v>
      </x:c>
      <x:c r="X452" s="27" t="n">
        <x:f>IF(U452+V452-W452&lt;=0,99,1+SUM(IF(AND(C452+D452-E452&gt;0,OR(C452+D452-E452&lt;U452+V452-W452,AND(C452+D452-E452=U452+V452-W452,0&lt;3))),1,0),IF(AND(I452+J452-K452&gt;0,OR(I452+J452-K452&lt;U452+V452-W452,AND(I452+J452-K452=U452+V452-W452,1&lt;3))),1,0),IF(AND(O452+P452-Q452&gt;0,OR(O452+P452-Q452&lt;U452+V452-W452,AND(O452+P452-Q452=U452+V452-W452,2&lt;3))),1,0),IF(AND(AA452+AB452-AC452&gt;0,OR(AA452+AB452-AC452&lt;U452+V452-W452,AND(AA452+AB452-AC452=U452+V452-W452,4&lt;3))),1,0)))</x:f>
        <x:v>99</x:v>
      </x:c>
      <x:c r="Y452" s="6" t="n">
        <x:f>IF('Debt strategy'!$C$16&gt;0,0,MIN(U452+V452-W452,MAX(0,'Debt strategy'!$C$5-SUM(E452,K452,Q452,W452,AC452)-SUM(IF(F452&lt;X452,C452+D452-E452,0),IF(L452&lt;X452,I452+J452-K452,0),IF(R452&lt;X452,O452+P452-Q452,0),IF(AD452&lt;X452,AA452+AB452-AC452,0)))))</x:f>
        <x:v>0</x:v>
      </x:c>
      <x:c r="Z452" s="6" t="n">
        <x:f>ROUND(MAX(0,U452+V452-W452-Y452),2)</x:f>
        <x:v>0</x:v>
      </x:c>
      <x:c r="AA452" s="6" t="n">
        <x:f>AF451</x:f>
        <x:v>0</x:v>
      </x:c>
      <x:c r="AB452" s="6" t="n">
        <x:f>ROUND(AA452*'Debt strategy'!$D$13/12,2)</x:f>
        <x:v>0</x:v>
      </x:c>
      <x:c r="AC452" s="6" t="n">
        <x:f>MIN(AA452+AB452,'Debt strategy'!$E$13)</x:f>
        <x:v>0</x:v>
      </x:c>
      <x:c r="AD452" s="27" t="n">
        <x:f>IF(AA452+AB452-AC452&lt;=0,99,1+SUM(IF(AND(C452+D452-E452&gt;0,OR(C452+D452-E452&lt;AA452+AB452-AC452,AND(C452+D452-E452=AA452+AB452-AC452,0&lt;4))),1,0),IF(AND(I452+J452-K452&gt;0,OR(I452+J452-K452&lt;AA452+AB452-AC452,AND(I452+J452-K452=AA452+AB452-AC452,1&lt;4))),1,0),IF(AND(O452+P452-Q452&gt;0,OR(O452+P452-Q452&lt;AA452+AB452-AC452,AND(O452+P452-Q452=AA452+AB452-AC452,2&lt;4))),1,0),IF(AND(U452+V452-W452&gt;0,OR(U452+V452-W452&lt;AA452+AB452-AC452,AND(U452+V452-W452=AA452+AB452-AC452,3&lt;4))),1,0)))</x:f>
        <x:v>99</x:v>
      </x:c>
      <x:c r="AE452" s="6" t="n">
        <x:f>IF('Debt strategy'!$C$16&gt;0,0,MIN(AA452+AB452-AC452,MAX(0,'Debt strategy'!$C$5-SUM(E452,K452,Q452,W452,AC452)-SUM(IF(F452&lt;AD452,C452+D452-E452,0),IF(L452&lt;AD452,I452+J452-K452,0),IF(R452&lt;AD452,O452+P452-Q452,0),IF(X452&lt;AD452,U452+V452-W452,0)))))</x:f>
        <x:v>0</x:v>
      </x:c>
      <x:c r="AF452" s="6" t="n">
        <x:f>ROUND(MAX(0,AA452+AB452-AC452-AE452),2)</x:f>
        <x:v>0</x:v>
      </x:c>
      <x:c r="AG452" s="6" t="n">
        <x:f>SUM(H452,N452,T452,Z452,AF452)</x:f>
        <x:v>0</x:v>
      </x:c>
      <x:c r="AH452" s="6" t="n">
        <x:f>SUM(D452,J452,P452,V452,AB452)+AH451</x:f>
        <x:v>1353.9499999999996</x:v>
      </x:c>
      <x:c r="AI452" s="2"/>
    </x:row>
    <x:row r="453" ht="23" customHeight="1">
      <x:c r="B453" s="2" t="n">
        <x:f>445</x:f>
        <x:v>445</x:v>
      </x:c>
      <x:c r="C453" s="6" t="n">
        <x:f>H452</x:f>
        <x:v>0</x:v>
      </x:c>
      <x:c r="D453" s="6" t="n">
        <x:f>ROUND(C453*'Debt strategy'!$D$9/12,2)</x:f>
        <x:v>0</x:v>
      </x:c>
      <x:c r="E453" s="6" t="n">
        <x:f>MIN(C453+D453,'Debt strategy'!$E$9)</x:f>
        <x:v>0</x:v>
      </x:c>
      <x:c r="F453" s="27" t="n">
        <x:f>IF(C453+D453-E453&lt;=0,99,1+SUM(IF(AND(I453+J453-K453&gt;0,OR(I453+J453-K453&lt;C453+D453-E453,AND(I453+J453-K453=C453+D453-E453,1&lt;0))),1,0),IF(AND(O453+P453-Q453&gt;0,OR(O453+P453-Q453&lt;C453+D453-E453,AND(O453+P453-Q453=C453+D453-E453,2&lt;0))),1,0),IF(AND(U453+V453-W453&gt;0,OR(U453+V453-W453&lt;C453+D453-E453,AND(U453+V453-W453=C453+D453-E453,3&lt;0))),1,0),IF(AND(AA453+AB453-AC453&gt;0,OR(AA453+AB453-AC453&lt;C453+D453-E453,AND(AA453+AB453-AC453=C453+D453-E453,4&lt;0))),1,0)))</x:f>
        <x:v>99</x:v>
      </x:c>
      <x:c r="G453" s="6" t="n">
        <x:f>IF('Debt strategy'!$C$16&gt;0,0,MIN(C453+D453-E453,MAX(0,'Debt strategy'!$C$5-SUM(E453,K453,Q453,W453,AC453)-SUM(IF(L453&lt;F453,I453+J453-K453,0),IF(R453&lt;F453,O453+P453-Q453,0),IF(X453&lt;F453,U453+V453-W453,0),IF(AD453&lt;F453,AA453+AB453-AC453,0)))))</x:f>
        <x:v>0</x:v>
      </x:c>
      <x:c r="H453" s="6" t="n">
        <x:f>ROUND(MAX(0,C453+D453-E453-G453),2)</x:f>
        <x:v>0</x:v>
      </x:c>
      <x:c r="I453" s="6" t="n">
        <x:f>N452</x:f>
        <x:v>0</x:v>
      </x:c>
      <x:c r="J453" s="6" t="n">
        <x:f>ROUND(I453*'Debt strategy'!$D$10/12,2)</x:f>
        <x:v>0</x:v>
      </x:c>
      <x:c r="K453" s="6" t="n">
        <x:f>MIN(I453+J453,'Debt strategy'!$E$10)</x:f>
        <x:v>0</x:v>
      </x:c>
      <x:c r="L453" s="27" t="n">
        <x:f>IF(I453+J453-K453&lt;=0,99,1+SUM(IF(AND(C453+D453-E453&gt;0,OR(C453+D453-E453&lt;I453+J453-K453,AND(C453+D453-E453=I453+J453-K453,0&lt;1))),1,0),IF(AND(O453+P453-Q453&gt;0,OR(O453+P453-Q453&lt;I453+J453-K453,AND(O453+P453-Q453=I453+J453-K453,2&lt;1))),1,0),IF(AND(U453+V453-W453&gt;0,OR(U453+V453-W453&lt;I453+J453-K453,AND(U453+V453-W453=I453+J453-K453,3&lt;1))),1,0),IF(AND(AA453+AB453-AC453&gt;0,OR(AA453+AB453-AC453&lt;I453+J453-K453,AND(AA453+AB453-AC453=I453+J453-K453,4&lt;1))),1,0)))</x:f>
        <x:v>99</x:v>
      </x:c>
      <x:c r="M453" s="6" t="n">
        <x:f>IF('Debt strategy'!$C$16&gt;0,0,MIN(I453+J453-K453,MAX(0,'Debt strategy'!$C$5-SUM(E453,K453,Q453,W453,AC453)-SUM(IF(F453&lt;L453,C453+D453-E453,0),IF(R453&lt;L453,O453+P453-Q453,0),IF(X453&lt;L453,U453+V453-W453,0),IF(AD453&lt;L453,AA453+AB453-AC453,0)))))</x:f>
        <x:v>0</x:v>
      </x:c>
      <x:c r="N453" s="6" t="n">
        <x:f>ROUND(MAX(0,I453+J453-K453-M453),2)</x:f>
        <x:v>0</x:v>
      </x:c>
      <x:c r="O453" s="6" t="n">
        <x:f>T452</x:f>
        <x:v>0</x:v>
      </x:c>
      <x:c r="P453" s="6" t="n">
        <x:f>ROUND(O453*'Debt strategy'!$D$11/12,2)</x:f>
        <x:v>0</x:v>
      </x:c>
      <x:c r="Q453" s="6" t="n">
        <x:f>MIN(O453+P453,'Debt strategy'!$E$11)</x:f>
        <x:v>0</x:v>
      </x:c>
      <x:c r="R453" s="27" t="n">
        <x:f>IF(O453+P453-Q453&lt;=0,99,1+SUM(IF(AND(C453+D453-E453&gt;0,OR(C453+D453-E453&lt;O453+P453-Q453,AND(C453+D453-E453=O453+P453-Q453,0&lt;2))),1,0),IF(AND(I453+J453-K453&gt;0,OR(I453+J453-K453&lt;O453+P453-Q453,AND(I453+J453-K453=O453+P453-Q453,1&lt;2))),1,0),IF(AND(U453+V453-W453&gt;0,OR(U453+V453-W453&lt;O453+P453-Q453,AND(U453+V453-W453=O453+P453-Q453,3&lt;2))),1,0),IF(AND(AA453+AB453-AC453&gt;0,OR(AA453+AB453-AC453&lt;O453+P453-Q453,AND(AA453+AB453-AC453=O453+P453-Q453,4&lt;2))),1,0)))</x:f>
        <x:v>99</x:v>
      </x:c>
      <x:c r="S453" s="6" t="n">
        <x:f>IF('Debt strategy'!$C$16&gt;0,0,MIN(O453+P453-Q453,MAX(0,'Debt strategy'!$C$5-SUM(E453,K453,Q453,W453,AC453)-SUM(IF(F453&lt;R453,C453+D453-E453,0),IF(L453&lt;R453,I453+J453-K453,0),IF(X453&lt;R453,U453+V453-W453,0),IF(AD453&lt;R453,AA453+AB453-AC453,0)))))</x:f>
        <x:v>0</x:v>
      </x:c>
      <x:c r="T453" s="6" t="n">
        <x:f>ROUND(MAX(0,O453+P453-Q453-S453),2)</x:f>
        <x:v>0</x:v>
      </x:c>
      <x:c r="U453" s="6" t="n">
        <x:f>Z452</x:f>
        <x:v>0</x:v>
      </x:c>
      <x:c r="V453" s="6" t="n">
        <x:f>ROUND(U453*'Debt strategy'!$D$12/12,2)</x:f>
        <x:v>0</x:v>
      </x:c>
      <x:c r="W453" s="6" t="n">
        <x:f>MIN(U453+V453,'Debt strategy'!$E$12)</x:f>
        <x:v>0</x:v>
      </x:c>
      <x:c r="X453" s="27" t="n">
        <x:f>IF(U453+V453-W453&lt;=0,99,1+SUM(IF(AND(C453+D453-E453&gt;0,OR(C453+D453-E453&lt;U453+V453-W453,AND(C453+D453-E453=U453+V453-W453,0&lt;3))),1,0),IF(AND(I453+J453-K453&gt;0,OR(I453+J453-K453&lt;U453+V453-W453,AND(I453+J453-K453=U453+V453-W453,1&lt;3))),1,0),IF(AND(O453+P453-Q453&gt;0,OR(O453+P453-Q453&lt;U453+V453-W453,AND(O453+P453-Q453=U453+V453-W453,2&lt;3))),1,0),IF(AND(AA453+AB453-AC453&gt;0,OR(AA453+AB453-AC453&lt;U453+V453-W453,AND(AA453+AB453-AC453=U453+V453-W453,4&lt;3))),1,0)))</x:f>
        <x:v>99</x:v>
      </x:c>
      <x:c r="Y453" s="6" t="n">
        <x:f>IF('Debt strategy'!$C$16&gt;0,0,MIN(U453+V453-W453,MAX(0,'Debt strategy'!$C$5-SUM(E453,K453,Q453,W453,AC453)-SUM(IF(F453&lt;X453,C453+D453-E453,0),IF(L453&lt;X453,I453+J453-K453,0),IF(R453&lt;X453,O453+P453-Q453,0),IF(AD453&lt;X453,AA453+AB453-AC453,0)))))</x:f>
        <x:v>0</x:v>
      </x:c>
      <x:c r="Z453" s="6" t="n">
        <x:f>ROUND(MAX(0,U453+V453-W453-Y453),2)</x:f>
        <x:v>0</x:v>
      </x:c>
      <x:c r="AA453" s="6" t="n">
        <x:f>AF452</x:f>
        <x:v>0</x:v>
      </x:c>
      <x:c r="AB453" s="6" t="n">
        <x:f>ROUND(AA453*'Debt strategy'!$D$13/12,2)</x:f>
        <x:v>0</x:v>
      </x:c>
      <x:c r="AC453" s="6" t="n">
        <x:f>MIN(AA453+AB453,'Debt strategy'!$E$13)</x:f>
        <x:v>0</x:v>
      </x:c>
      <x:c r="AD453" s="27" t="n">
        <x:f>IF(AA453+AB453-AC453&lt;=0,99,1+SUM(IF(AND(C453+D453-E453&gt;0,OR(C453+D453-E453&lt;AA453+AB453-AC453,AND(C453+D453-E453=AA453+AB453-AC453,0&lt;4))),1,0),IF(AND(I453+J453-K453&gt;0,OR(I453+J453-K453&lt;AA453+AB453-AC453,AND(I453+J453-K453=AA453+AB453-AC453,1&lt;4))),1,0),IF(AND(O453+P453-Q453&gt;0,OR(O453+P453-Q453&lt;AA453+AB453-AC453,AND(O453+P453-Q453=AA453+AB453-AC453,2&lt;4))),1,0),IF(AND(U453+V453-W453&gt;0,OR(U453+V453-W453&lt;AA453+AB453-AC453,AND(U453+V453-W453=AA453+AB453-AC453,3&lt;4))),1,0)))</x:f>
        <x:v>99</x:v>
      </x:c>
      <x:c r="AE453" s="6" t="n">
        <x:f>IF('Debt strategy'!$C$16&gt;0,0,MIN(AA453+AB453-AC453,MAX(0,'Debt strategy'!$C$5-SUM(E453,K453,Q453,W453,AC453)-SUM(IF(F453&lt;AD453,C453+D453-E453,0),IF(L453&lt;AD453,I453+J453-K453,0),IF(R453&lt;AD453,O453+P453-Q453,0),IF(X453&lt;AD453,U453+V453-W453,0)))))</x:f>
        <x:v>0</x:v>
      </x:c>
      <x:c r="AF453" s="6" t="n">
        <x:f>ROUND(MAX(0,AA453+AB453-AC453-AE453),2)</x:f>
        <x:v>0</x:v>
      </x:c>
      <x:c r="AG453" s="6" t="n">
        <x:f>SUM(H453,N453,T453,Z453,AF453)</x:f>
        <x:v>0</x:v>
      </x:c>
      <x:c r="AH453" s="6" t="n">
        <x:f>SUM(D453,J453,P453,V453,AB453)+AH452</x:f>
        <x:v>1353.9499999999996</x:v>
      </x:c>
      <x:c r="AI453" s="2"/>
    </x:row>
    <x:row r="454" ht="23" customHeight="1">
      <x:c r="B454" s="2" t="n">
        <x:f>446</x:f>
        <x:v>446</x:v>
      </x:c>
      <x:c r="C454" s="6" t="n">
        <x:f>H453</x:f>
        <x:v>0</x:v>
      </x:c>
      <x:c r="D454" s="6" t="n">
        <x:f>ROUND(C454*'Debt strategy'!$D$9/12,2)</x:f>
        <x:v>0</x:v>
      </x:c>
      <x:c r="E454" s="6" t="n">
        <x:f>MIN(C454+D454,'Debt strategy'!$E$9)</x:f>
        <x:v>0</x:v>
      </x:c>
      <x:c r="F454" s="27" t="n">
        <x:f>IF(C454+D454-E454&lt;=0,99,1+SUM(IF(AND(I454+J454-K454&gt;0,OR(I454+J454-K454&lt;C454+D454-E454,AND(I454+J454-K454=C454+D454-E454,1&lt;0))),1,0),IF(AND(O454+P454-Q454&gt;0,OR(O454+P454-Q454&lt;C454+D454-E454,AND(O454+P454-Q454=C454+D454-E454,2&lt;0))),1,0),IF(AND(U454+V454-W454&gt;0,OR(U454+V454-W454&lt;C454+D454-E454,AND(U454+V454-W454=C454+D454-E454,3&lt;0))),1,0),IF(AND(AA454+AB454-AC454&gt;0,OR(AA454+AB454-AC454&lt;C454+D454-E454,AND(AA454+AB454-AC454=C454+D454-E454,4&lt;0))),1,0)))</x:f>
        <x:v>99</x:v>
      </x:c>
      <x:c r="G454" s="6" t="n">
        <x:f>IF('Debt strategy'!$C$16&gt;0,0,MIN(C454+D454-E454,MAX(0,'Debt strategy'!$C$5-SUM(E454,K454,Q454,W454,AC454)-SUM(IF(L454&lt;F454,I454+J454-K454,0),IF(R454&lt;F454,O454+P454-Q454,0),IF(X454&lt;F454,U454+V454-W454,0),IF(AD454&lt;F454,AA454+AB454-AC454,0)))))</x:f>
        <x:v>0</x:v>
      </x:c>
      <x:c r="H454" s="6" t="n">
        <x:f>ROUND(MAX(0,C454+D454-E454-G454),2)</x:f>
        <x:v>0</x:v>
      </x:c>
      <x:c r="I454" s="6" t="n">
        <x:f>N453</x:f>
        <x:v>0</x:v>
      </x:c>
      <x:c r="J454" s="6" t="n">
        <x:f>ROUND(I454*'Debt strategy'!$D$10/12,2)</x:f>
        <x:v>0</x:v>
      </x:c>
      <x:c r="K454" s="6" t="n">
        <x:f>MIN(I454+J454,'Debt strategy'!$E$10)</x:f>
        <x:v>0</x:v>
      </x:c>
      <x:c r="L454" s="27" t="n">
        <x:f>IF(I454+J454-K454&lt;=0,99,1+SUM(IF(AND(C454+D454-E454&gt;0,OR(C454+D454-E454&lt;I454+J454-K454,AND(C454+D454-E454=I454+J454-K454,0&lt;1))),1,0),IF(AND(O454+P454-Q454&gt;0,OR(O454+P454-Q454&lt;I454+J454-K454,AND(O454+P454-Q454=I454+J454-K454,2&lt;1))),1,0),IF(AND(U454+V454-W454&gt;0,OR(U454+V454-W454&lt;I454+J454-K454,AND(U454+V454-W454=I454+J454-K454,3&lt;1))),1,0),IF(AND(AA454+AB454-AC454&gt;0,OR(AA454+AB454-AC454&lt;I454+J454-K454,AND(AA454+AB454-AC454=I454+J454-K454,4&lt;1))),1,0)))</x:f>
        <x:v>99</x:v>
      </x:c>
      <x:c r="M454" s="6" t="n">
        <x:f>IF('Debt strategy'!$C$16&gt;0,0,MIN(I454+J454-K454,MAX(0,'Debt strategy'!$C$5-SUM(E454,K454,Q454,W454,AC454)-SUM(IF(F454&lt;L454,C454+D454-E454,0),IF(R454&lt;L454,O454+P454-Q454,0),IF(X454&lt;L454,U454+V454-W454,0),IF(AD454&lt;L454,AA454+AB454-AC454,0)))))</x:f>
        <x:v>0</x:v>
      </x:c>
      <x:c r="N454" s="6" t="n">
        <x:f>ROUND(MAX(0,I454+J454-K454-M454),2)</x:f>
        <x:v>0</x:v>
      </x:c>
      <x:c r="O454" s="6" t="n">
        <x:f>T453</x:f>
        <x:v>0</x:v>
      </x:c>
      <x:c r="P454" s="6" t="n">
        <x:f>ROUND(O454*'Debt strategy'!$D$11/12,2)</x:f>
        <x:v>0</x:v>
      </x:c>
      <x:c r="Q454" s="6" t="n">
        <x:f>MIN(O454+P454,'Debt strategy'!$E$11)</x:f>
        <x:v>0</x:v>
      </x:c>
      <x:c r="R454" s="27" t="n">
        <x:f>IF(O454+P454-Q454&lt;=0,99,1+SUM(IF(AND(C454+D454-E454&gt;0,OR(C454+D454-E454&lt;O454+P454-Q454,AND(C454+D454-E454=O454+P454-Q454,0&lt;2))),1,0),IF(AND(I454+J454-K454&gt;0,OR(I454+J454-K454&lt;O454+P454-Q454,AND(I454+J454-K454=O454+P454-Q454,1&lt;2))),1,0),IF(AND(U454+V454-W454&gt;0,OR(U454+V454-W454&lt;O454+P454-Q454,AND(U454+V454-W454=O454+P454-Q454,3&lt;2))),1,0),IF(AND(AA454+AB454-AC454&gt;0,OR(AA454+AB454-AC454&lt;O454+P454-Q454,AND(AA454+AB454-AC454=O454+P454-Q454,4&lt;2))),1,0)))</x:f>
        <x:v>99</x:v>
      </x:c>
      <x:c r="S454" s="6" t="n">
        <x:f>IF('Debt strategy'!$C$16&gt;0,0,MIN(O454+P454-Q454,MAX(0,'Debt strategy'!$C$5-SUM(E454,K454,Q454,W454,AC454)-SUM(IF(F454&lt;R454,C454+D454-E454,0),IF(L454&lt;R454,I454+J454-K454,0),IF(X454&lt;R454,U454+V454-W454,0),IF(AD454&lt;R454,AA454+AB454-AC454,0)))))</x:f>
        <x:v>0</x:v>
      </x:c>
      <x:c r="T454" s="6" t="n">
        <x:f>ROUND(MAX(0,O454+P454-Q454-S454),2)</x:f>
        <x:v>0</x:v>
      </x:c>
      <x:c r="U454" s="6" t="n">
        <x:f>Z453</x:f>
        <x:v>0</x:v>
      </x:c>
      <x:c r="V454" s="6" t="n">
        <x:f>ROUND(U454*'Debt strategy'!$D$12/12,2)</x:f>
        <x:v>0</x:v>
      </x:c>
      <x:c r="W454" s="6" t="n">
        <x:f>MIN(U454+V454,'Debt strategy'!$E$12)</x:f>
        <x:v>0</x:v>
      </x:c>
      <x:c r="X454" s="27" t="n">
        <x:f>IF(U454+V454-W454&lt;=0,99,1+SUM(IF(AND(C454+D454-E454&gt;0,OR(C454+D454-E454&lt;U454+V454-W454,AND(C454+D454-E454=U454+V454-W454,0&lt;3))),1,0),IF(AND(I454+J454-K454&gt;0,OR(I454+J454-K454&lt;U454+V454-W454,AND(I454+J454-K454=U454+V454-W454,1&lt;3))),1,0),IF(AND(O454+P454-Q454&gt;0,OR(O454+P454-Q454&lt;U454+V454-W454,AND(O454+P454-Q454=U454+V454-W454,2&lt;3))),1,0),IF(AND(AA454+AB454-AC454&gt;0,OR(AA454+AB454-AC454&lt;U454+V454-W454,AND(AA454+AB454-AC454=U454+V454-W454,4&lt;3))),1,0)))</x:f>
        <x:v>99</x:v>
      </x:c>
      <x:c r="Y454" s="6" t="n">
        <x:f>IF('Debt strategy'!$C$16&gt;0,0,MIN(U454+V454-W454,MAX(0,'Debt strategy'!$C$5-SUM(E454,K454,Q454,W454,AC454)-SUM(IF(F454&lt;X454,C454+D454-E454,0),IF(L454&lt;X454,I454+J454-K454,0),IF(R454&lt;X454,O454+P454-Q454,0),IF(AD454&lt;X454,AA454+AB454-AC454,0)))))</x:f>
        <x:v>0</x:v>
      </x:c>
      <x:c r="Z454" s="6" t="n">
        <x:f>ROUND(MAX(0,U454+V454-W454-Y454),2)</x:f>
        <x:v>0</x:v>
      </x:c>
      <x:c r="AA454" s="6" t="n">
        <x:f>AF453</x:f>
        <x:v>0</x:v>
      </x:c>
      <x:c r="AB454" s="6" t="n">
        <x:f>ROUND(AA454*'Debt strategy'!$D$13/12,2)</x:f>
        <x:v>0</x:v>
      </x:c>
      <x:c r="AC454" s="6" t="n">
        <x:f>MIN(AA454+AB454,'Debt strategy'!$E$13)</x:f>
        <x:v>0</x:v>
      </x:c>
      <x:c r="AD454" s="27" t="n">
        <x:f>IF(AA454+AB454-AC454&lt;=0,99,1+SUM(IF(AND(C454+D454-E454&gt;0,OR(C454+D454-E454&lt;AA454+AB454-AC454,AND(C454+D454-E454=AA454+AB454-AC454,0&lt;4))),1,0),IF(AND(I454+J454-K454&gt;0,OR(I454+J454-K454&lt;AA454+AB454-AC454,AND(I454+J454-K454=AA454+AB454-AC454,1&lt;4))),1,0),IF(AND(O454+P454-Q454&gt;0,OR(O454+P454-Q454&lt;AA454+AB454-AC454,AND(O454+P454-Q454=AA454+AB454-AC454,2&lt;4))),1,0),IF(AND(U454+V454-W454&gt;0,OR(U454+V454-W454&lt;AA454+AB454-AC454,AND(U454+V454-W454=AA454+AB454-AC454,3&lt;4))),1,0)))</x:f>
        <x:v>99</x:v>
      </x:c>
      <x:c r="AE454" s="6" t="n">
        <x:f>IF('Debt strategy'!$C$16&gt;0,0,MIN(AA454+AB454-AC454,MAX(0,'Debt strategy'!$C$5-SUM(E454,K454,Q454,W454,AC454)-SUM(IF(F454&lt;AD454,C454+D454-E454,0),IF(L454&lt;AD454,I454+J454-K454,0),IF(R454&lt;AD454,O454+P454-Q454,0),IF(X454&lt;AD454,U454+V454-W454,0)))))</x:f>
        <x:v>0</x:v>
      </x:c>
      <x:c r="AF454" s="6" t="n">
        <x:f>ROUND(MAX(0,AA454+AB454-AC454-AE454),2)</x:f>
        <x:v>0</x:v>
      </x:c>
      <x:c r="AG454" s="6" t="n">
        <x:f>SUM(H454,N454,T454,Z454,AF454)</x:f>
        <x:v>0</x:v>
      </x:c>
      <x:c r="AH454" s="6" t="n">
        <x:f>SUM(D454,J454,P454,V454,AB454)+AH453</x:f>
        <x:v>1353.9499999999996</x:v>
      </x:c>
      <x:c r="AI454" s="2"/>
    </x:row>
    <x:row r="455" ht="23" customHeight="1">
      <x:c r="B455" s="2" t="n">
        <x:f>447</x:f>
        <x:v>447</x:v>
      </x:c>
      <x:c r="C455" s="6" t="n">
        <x:f>H454</x:f>
        <x:v>0</x:v>
      </x:c>
      <x:c r="D455" s="6" t="n">
        <x:f>ROUND(C455*'Debt strategy'!$D$9/12,2)</x:f>
        <x:v>0</x:v>
      </x:c>
      <x:c r="E455" s="6" t="n">
        <x:f>MIN(C455+D455,'Debt strategy'!$E$9)</x:f>
        <x:v>0</x:v>
      </x:c>
      <x:c r="F455" s="27" t="n">
        <x:f>IF(C455+D455-E455&lt;=0,99,1+SUM(IF(AND(I455+J455-K455&gt;0,OR(I455+J455-K455&lt;C455+D455-E455,AND(I455+J455-K455=C455+D455-E455,1&lt;0))),1,0),IF(AND(O455+P455-Q455&gt;0,OR(O455+P455-Q455&lt;C455+D455-E455,AND(O455+P455-Q455=C455+D455-E455,2&lt;0))),1,0),IF(AND(U455+V455-W455&gt;0,OR(U455+V455-W455&lt;C455+D455-E455,AND(U455+V455-W455=C455+D455-E455,3&lt;0))),1,0),IF(AND(AA455+AB455-AC455&gt;0,OR(AA455+AB455-AC455&lt;C455+D455-E455,AND(AA455+AB455-AC455=C455+D455-E455,4&lt;0))),1,0)))</x:f>
        <x:v>99</x:v>
      </x:c>
      <x:c r="G455" s="6" t="n">
        <x:f>IF('Debt strategy'!$C$16&gt;0,0,MIN(C455+D455-E455,MAX(0,'Debt strategy'!$C$5-SUM(E455,K455,Q455,W455,AC455)-SUM(IF(L455&lt;F455,I455+J455-K455,0),IF(R455&lt;F455,O455+P455-Q455,0),IF(X455&lt;F455,U455+V455-W455,0),IF(AD455&lt;F455,AA455+AB455-AC455,0)))))</x:f>
        <x:v>0</x:v>
      </x:c>
      <x:c r="H455" s="6" t="n">
        <x:f>ROUND(MAX(0,C455+D455-E455-G455),2)</x:f>
        <x:v>0</x:v>
      </x:c>
      <x:c r="I455" s="6" t="n">
        <x:f>N454</x:f>
        <x:v>0</x:v>
      </x:c>
      <x:c r="J455" s="6" t="n">
        <x:f>ROUND(I455*'Debt strategy'!$D$10/12,2)</x:f>
        <x:v>0</x:v>
      </x:c>
      <x:c r="K455" s="6" t="n">
        <x:f>MIN(I455+J455,'Debt strategy'!$E$10)</x:f>
        <x:v>0</x:v>
      </x:c>
      <x:c r="L455" s="27" t="n">
        <x:f>IF(I455+J455-K455&lt;=0,99,1+SUM(IF(AND(C455+D455-E455&gt;0,OR(C455+D455-E455&lt;I455+J455-K455,AND(C455+D455-E455=I455+J455-K455,0&lt;1))),1,0),IF(AND(O455+P455-Q455&gt;0,OR(O455+P455-Q455&lt;I455+J455-K455,AND(O455+P455-Q455=I455+J455-K455,2&lt;1))),1,0),IF(AND(U455+V455-W455&gt;0,OR(U455+V455-W455&lt;I455+J455-K455,AND(U455+V455-W455=I455+J455-K455,3&lt;1))),1,0),IF(AND(AA455+AB455-AC455&gt;0,OR(AA455+AB455-AC455&lt;I455+J455-K455,AND(AA455+AB455-AC455=I455+J455-K455,4&lt;1))),1,0)))</x:f>
        <x:v>99</x:v>
      </x:c>
      <x:c r="M455" s="6" t="n">
        <x:f>IF('Debt strategy'!$C$16&gt;0,0,MIN(I455+J455-K455,MAX(0,'Debt strategy'!$C$5-SUM(E455,K455,Q455,W455,AC455)-SUM(IF(F455&lt;L455,C455+D455-E455,0),IF(R455&lt;L455,O455+P455-Q455,0),IF(X455&lt;L455,U455+V455-W455,0),IF(AD455&lt;L455,AA455+AB455-AC455,0)))))</x:f>
        <x:v>0</x:v>
      </x:c>
      <x:c r="N455" s="6" t="n">
        <x:f>ROUND(MAX(0,I455+J455-K455-M455),2)</x:f>
        <x:v>0</x:v>
      </x:c>
      <x:c r="O455" s="6" t="n">
        <x:f>T454</x:f>
        <x:v>0</x:v>
      </x:c>
      <x:c r="P455" s="6" t="n">
        <x:f>ROUND(O455*'Debt strategy'!$D$11/12,2)</x:f>
        <x:v>0</x:v>
      </x:c>
      <x:c r="Q455" s="6" t="n">
        <x:f>MIN(O455+P455,'Debt strategy'!$E$11)</x:f>
        <x:v>0</x:v>
      </x:c>
      <x:c r="R455" s="27" t="n">
        <x:f>IF(O455+P455-Q455&lt;=0,99,1+SUM(IF(AND(C455+D455-E455&gt;0,OR(C455+D455-E455&lt;O455+P455-Q455,AND(C455+D455-E455=O455+P455-Q455,0&lt;2))),1,0),IF(AND(I455+J455-K455&gt;0,OR(I455+J455-K455&lt;O455+P455-Q455,AND(I455+J455-K455=O455+P455-Q455,1&lt;2))),1,0),IF(AND(U455+V455-W455&gt;0,OR(U455+V455-W455&lt;O455+P455-Q455,AND(U455+V455-W455=O455+P455-Q455,3&lt;2))),1,0),IF(AND(AA455+AB455-AC455&gt;0,OR(AA455+AB455-AC455&lt;O455+P455-Q455,AND(AA455+AB455-AC455=O455+P455-Q455,4&lt;2))),1,0)))</x:f>
        <x:v>99</x:v>
      </x:c>
      <x:c r="S455" s="6" t="n">
        <x:f>IF('Debt strategy'!$C$16&gt;0,0,MIN(O455+P455-Q455,MAX(0,'Debt strategy'!$C$5-SUM(E455,K455,Q455,W455,AC455)-SUM(IF(F455&lt;R455,C455+D455-E455,0),IF(L455&lt;R455,I455+J455-K455,0),IF(X455&lt;R455,U455+V455-W455,0),IF(AD455&lt;R455,AA455+AB455-AC455,0)))))</x:f>
        <x:v>0</x:v>
      </x:c>
      <x:c r="T455" s="6" t="n">
        <x:f>ROUND(MAX(0,O455+P455-Q455-S455),2)</x:f>
        <x:v>0</x:v>
      </x:c>
      <x:c r="U455" s="6" t="n">
        <x:f>Z454</x:f>
        <x:v>0</x:v>
      </x:c>
      <x:c r="V455" s="6" t="n">
        <x:f>ROUND(U455*'Debt strategy'!$D$12/12,2)</x:f>
        <x:v>0</x:v>
      </x:c>
      <x:c r="W455" s="6" t="n">
        <x:f>MIN(U455+V455,'Debt strategy'!$E$12)</x:f>
        <x:v>0</x:v>
      </x:c>
      <x:c r="X455" s="27" t="n">
        <x:f>IF(U455+V455-W455&lt;=0,99,1+SUM(IF(AND(C455+D455-E455&gt;0,OR(C455+D455-E455&lt;U455+V455-W455,AND(C455+D455-E455=U455+V455-W455,0&lt;3))),1,0),IF(AND(I455+J455-K455&gt;0,OR(I455+J455-K455&lt;U455+V455-W455,AND(I455+J455-K455=U455+V455-W455,1&lt;3))),1,0),IF(AND(O455+P455-Q455&gt;0,OR(O455+P455-Q455&lt;U455+V455-W455,AND(O455+P455-Q455=U455+V455-W455,2&lt;3))),1,0),IF(AND(AA455+AB455-AC455&gt;0,OR(AA455+AB455-AC455&lt;U455+V455-W455,AND(AA455+AB455-AC455=U455+V455-W455,4&lt;3))),1,0)))</x:f>
        <x:v>99</x:v>
      </x:c>
      <x:c r="Y455" s="6" t="n">
        <x:f>IF('Debt strategy'!$C$16&gt;0,0,MIN(U455+V455-W455,MAX(0,'Debt strategy'!$C$5-SUM(E455,K455,Q455,W455,AC455)-SUM(IF(F455&lt;X455,C455+D455-E455,0),IF(L455&lt;X455,I455+J455-K455,0),IF(R455&lt;X455,O455+P455-Q455,0),IF(AD455&lt;X455,AA455+AB455-AC455,0)))))</x:f>
        <x:v>0</x:v>
      </x:c>
      <x:c r="Z455" s="6" t="n">
        <x:f>ROUND(MAX(0,U455+V455-W455-Y455),2)</x:f>
        <x:v>0</x:v>
      </x:c>
      <x:c r="AA455" s="6" t="n">
        <x:f>AF454</x:f>
        <x:v>0</x:v>
      </x:c>
      <x:c r="AB455" s="6" t="n">
        <x:f>ROUND(AA455*'Debt strategy'!$D$13/12,2)</x:f>
        <x:v>0</x:v>
      </x:c>
      <x:c r="AC455" s="6" t="n">
        <x:f>MIN(AA455+AB455,'Debt strategy'!$E$13)</x:f>
        <x:v>0</x:v>
      </x:c>
      <x:c r="AD455" s="27" t="n">
        <x:f>IF(AA455+AB455-AC455&lt;=0,99,1+SUM(IF(AND(C455+D455-E455&gt;0,OR(C455+D455-E455&lt;AA455+AB455-AC455,AND(C455+D455-E455=AA455+AB455-AC455,0&lt;4))),1,0),IF(AND(I455+J455-K455&gt;0,OR(I455+J455-K455&lt;AA455+AB455-AC455,AND(I455+J455-K455=AA455+AB455-AC455,1&lt;4))),1,0),IF(AND(O455+P455-Q455&gt;0,OR(O455+P455-Q455&lt;AA455+AB455-AC455,AND(O455+P455-Q455=AA455+AB455-AC455,2&lt;4))),1,0),IF(AND(U455+V455-W455&gt;0,OR(U455+V455-W455&lt;AA455+AB455-AC455,AND(U455+V455-W455=AA455+AB455-AC455,3&lt;4))),1,0)))</x:f>
        <x:v>99</x:v>
      </x:c>
      <x:c r="AE455" s="6" t="n">
        <x:f>IF('Debt strategy'!$C$16&gt;0,0,MIN(AA455+AB455-AC455,MAX(0,'Debt strategy'!$C$5-SUM(E455,K455,Q455,W455,AC455)-SUM(IF(F455&lt;AD455,C455+D455-E455,0),IF(L455&lt;AD455,I455+J455-K455,0),IF(R455&lt;AD455,O455+P455-Q455,0),IF(X455&lt;AD455,U455+V455-W455,0)))))</x:f>
        <x:v>0</x:v>
      </x:c>
      <x:c r="AF455" s="6" t="n">
        <x:f>ROUND(MAX(0,AA455+AB455-AC455-AE455),2)</x:f>
        <x:v>0</x:v>
      </x:c>
      <x:c r="AG455" s="6" t="n">
        <x:f>SUM(H455,N455,T455,Z455,AF455)</x:f>
        <x:v>0</x:v>
      </x:c>
      <x:c r="AH455" s="6" t="n">
        <x:f>SUM(D455,J455,P455,V455,AB455)+AH454</x:f>
        <x:v>1353.9499999999996</x:v>
      </x:c>
      <x:c r="AI455" s="2"/>
    </x:row>
    <x:row r="456" ht="23" customHeight="1">
      <x:c r="B456" s="2" t="n">
        <x:f>448</x:f>
        <x:v>448</x:v>
      </x:c>
      <x:c r="C456" s="6" t="n">
        <x:f>H455</x:f>
        <x:v>0</x:v>
      </x:c>
      <x:c r="D456" s="6" t="n">
        <x:f>ROUND(C456*'Debt strategy'!$D$9/12,2)</x:f>
        <x:v>0</x:v>
      </x:c>
      <x:c r="E456" s="6" t="n">
        <x:f>MIN(C456+D456,'Debt strategy'!$E$9)</x:f>
        <x:v>0</x:v>
      </x:c>
      <x:c r="F456" s="27" t="n">
        <x:f>IF(C456+D456-E456&lt;=0,99,1+SUM(IF(AND(I456+J456-K456&gt;0,OR(I456+J456-K456&lt;C456+D456-E456,AND(I456+J456-K456=C456+D456-E456,1&lt;0))),1,0),IF(AND(O456+P456-Q456&gt;0,OR(O456+P456-Q456&lt;C456+D456-E456,AND(O456+P456-Q456=C456+D456-E456,2&lt;0))),1,0),IF(AND(U456+V456-W456&gt;0,OR(U456+V456-W456&lt;C456+D456-E456,AND(U456+V456-W456=C456+D456-E456,3&lt;0))),1,0),IF(AND(AA456+AB456-AC456&gt;0,OR(AA456+AB456-AC456&lt;C456+D456-E456,AND(AA456+AB456-AC456=C456+D456-E456,4&lt;0))),1,0)))</x:f>
        <x:v>99</x:v>
      </x:c>
      <x:c r="G456" s="6" t="n">
        <x:f>IF('Debt strategy'!$C$16&gt;0,0,MIN(C456+D456-E456,MAX(0,'Debt strategy'!$C$5-SUM(E456,K456,Q456,W456,AC456)-SUM(IF(L456&lt;F456,I456+J456-K456,0),IF(R456&lt;F456,O456+P456-Q456,0),IF(X456&lt;F456,U456+V456-W456,0),IF(AD456&lt;F456,AA456+AB456-AC456,0)))))</x:f>
        <x:v>0</x:v>
      </x:c>
      <x:c r="H456" s="6" t="n">
        <x:f>ROUND(MAX(0,C456+D456-E456-G456),2)</x:f>
        <x:v>0</x:v>
      </x:c>
      <x:c r="I456" s="6" t="n">
        <x:f>N455</x:f>
        <x:v>0</x:v>
      </x:c>
      <x:c r="J456" s="6" t="n">
        <x:f>ROUND(I456*'Debt strategy'!$D$10/12,2)</x:f>
        <x:v>0</x:v>
      </x:c>
      <x:c r="K456" s="6" t="n">
        <x:f>MIN(I456+J456,'Debt strategy'!$E$10)</x:f>
        <x:v>0</x:v>
      </x:c>
      <x:c r="L456" s="27" t="n">
        <x:f>IF(I456+J456-K456&lt;=0,99,1+SUM(IF(AND(C456+D456-E456&gt;0,OR(C456+D456-E456&lt;I456+J456-K456,AND(C456+D456-E456=I456+J456-K456,0&lt;1))),1,0),IF(AND(O456+P456-Q456&gt;0,OR(O456+P456-Q456&lt;I456+J456-K456,AND(O456+P456-Q456=I456+J456-K456,2&lt;1))),1,0),IF(AND(U456+V456-W456&gt;0,OR(U456+V456-W456&lt;I456+J456-K456,AND(U456+V456-W456=I456+J456-K456,3&lt;1))),1,0),IF(AND(AA456+AB456-AC456&gt;0,OR(AA456+AB456-AC456&lt;I456+J456-K456,AND(AA456+AB456-AC456=I456+J456-K456,4&lt;1))),1,0)))</x:f>
        <x:v>99</x:v>
      </x:c>
      <x:c r="M456" s="6" t="n">
        <x:f>IF('Debt strategy'!$C$16&gt;0,0,MIN(I456+J456-K456,MAX(0,'Debt strategy'!$C$5-SUM(E456,K456,Q456,W456,AC456)-SUM(IF(F456&lt;L456,C456+D456-E456,0),IF(R456&lt;L456,O456+P456-Q456,0),IF(X456&lt;L456,U456+V456-W456,0),IF(AD456&lt;L456,AA456+AB456-AC456,0)))))</x:f>
        <x:v>0</x:v>
      </x:c>
      <x:c r="N456" s="6" t="n">
        <x:f>ROUND(MAX(0,I456+J456-K456-M456),2)</x:f>
        <x:v>0</x:v>
      </x:c>
      <x:c r="O456" s="6" t="n">
        <x:f>T455</x:f>
        <x:v>0</x:v>
      </x:c>
      <x:c r="P456" s="6" t="n">
        <x:f>ROUND(O456*'Debt strategy'!$D$11/12,2)</x:f>
        <x:v>0</x:v>
      </x:c>
      <x:c r="Q456" s="6" t="n">
        <x:f>MIN(O456+P456,'Debt strategy'!$E$11)</x:f>
        <x:v>0</x:v>
      </x:c>
      <x:c r="R456" s="27" t="n">
        <x:f>IF(O456+P456-Q456&lt;=0,99,1+SUM(IF(AND(C456+D456-E456&gt;0,OR(C456+D456-E456&lt;O456+P456-Q456,AND(C456+D456-E456=O456+P456-Q456,0&lt;2))),1,0),IF(AND(I456+J456-K456&gt;0,OR(I456+J456-K456&lt;O456+P456-Q456,AND(I456+J456-K456=O456+P456-Q456,1&lt;2))),1,0),IF(AND(U456+V456-W456&gt;0,OR(U456+V456-W456&lt;O456+P456-Q456,AND(U456+V456-W456=O456+P456-Q456,3&lt;2))),1,0),IF(AND(AA456+AB456-AC456&gt;0,OR(AA456+AB456-AC456&lt;O456+P456-Q456,AND(AA456+AB456-AC456=O456+P456-Q456,4&lt;2))),1,0)))</x:f>
        <x:v>99</x:v>
      </x:c>
      <x:c r="S456" s="6" t="n">
        <x:f>IF('Debt strategy'!$C$16&gt;0,0,MIN(O456+P456-Q456,MAX(0,'Debt strategy'!$C$5-SUM(E456,K456,Q456,W456,AC456)-SUM(IF(F456&lt;R456,C456+D456-E456,0),IF(L456&lt;R456,I456+J456-K456,0),IF(X456&lt;R456,U456+V456-W456,0),IF(AD456&lt;R456,AA456+AB456-AC456,0)))))</x:f>
        <x:v>0</x:v>
      </x:c>
      <x:c r="T456" s="6" t="n">
        <x:f>ROUND(MAX(0,O456+P456-Q456-S456),2)</x:f>
        <x:v>0</x:v>
      </x:c>
      <x:c r="U456" s="6" t="n">
        <x:f>Z455</x:f>
        <x:v>0</x:v>
      </x:c>
      <x:c r="V456" s="6" t="n">
        <x:f>ROUND(U456*'Debt strategy'!$D$12/12,2)</x:f>
        <x:v>0</x:v>
      </x:c>
      <x:c r="W456" s="6" t="n">
        <x:f>MIN(U456+V456,'Debt strategy'!$E$12)</x:f>
        <x:v>0</x:v>
      </x:c>
      <x:c r="X456" s="27" t="n">
        <x:f>IF(U456+V456-W456&lt;=0,99,1+SUM(IF(AND(C456+D456-E456&gt;0,OR(C456+D456-E456&lt;U456+V456-W456,AND(C456+D456-E456=U456+V456-W456,0&lt;3))),1,0),IF(AND(I456+J456-K456&gt;0,OR(I456+J456-K456&lt;U456+V456-W456,AND(I456+J456-K456=U456+V456-W456,1&lt;3))),1,0),IF(AND(O456+P456-Q456&gt;0,OR(O456+P456-Q456&lt;U456+V456-W456,AND(O456+P456-Q456=U456+V456-W456,2&lt;3))),1,0),IF(AND(AA456+AB456-AC456&gt;0,OR(AA456+AB456-AC456&lt;U456+V456-W456,AND(AA456+AB456-AC456=U456+V456-W456,4&lt;3))),1,0)))</x:f>
        <x:v>99</x:v>
      </x:c>
      <x:c r="Y456" s="6" t="n">
        <x:f>IF('Debt strategy'!$C$16&gt;0,0,MIN(U456+V456-W456,MAX(0,'Debt strategy'!$C$5-SUM(E456,K456,Q456,W456,AC456)-SUM(IF(F456&lt;X456,C456+D456-E456,0),IF(L456&lt;X456,I456+J456-K456,0),IF(R456&lt;X456,O456+P456-Q456,0),IF(AD456&lt;X456,AA456+AB456-AC456,0)))))</x:f>
        <x:v>0</x:v>
      </x:c>
      <x:c r="Z456" s="6" t="n">
        <x:f>ROUND(MAX(0,U456+V456-W456-Y456),2)</x:f>
        <x:v>0</x:v>
      </x:c>
      <x:c r="AA456" s="6" t="n">
        <x:f>AF455</x:f>
        <x:v>0</x:v>
      </x:c>
      <x:c r="AB456" s="6" t="n">
        <x:f>ROUND(AA456*'Debt strategy'!$D$13/12,2)</x:f>
        <x:v>0</x:v>
      </x:c>
      <x:c r="AC456" s="6" t="n">
        <x:f>MIN(AA456+AB456,'Debt strategy'!$E$13)</x:f>
        <x:v>0</x:v>
      </x:c>
      <x:c r="AD456" s="27" t="n">
        <x:f>IF(AA456+AB456-AC456&lt;=0,99,1+SUM(IF(AND(C456+D456-E456&gt;0,OR(C456+D456-E456&lt;AA456+AB456-AC456,AND(C456+D456-E456=AA456+AB456-AC456,0&lt;4))),1,0),IF(AND(I456+J456-K456&gt;0,OR(I456+J456-K456&lt;AA456+AB456-AC456,AND(I456+J456-K456=AA456+AB456-AC456,1&lt;4))),1,0),IF(AND(O456+P456-Q456&gt;0,OR(O456+P456-Q456&lt;AA456+AB456-AC456,AND(O456+P456-Q456=AA456+AB456-AC456,2&lt;4))),1,0),IF(AND(U456+V456-W456&gt;0,OR(U456+V456-W456&lt;AA456+AB456-AC456,AND(U456+V456-W456=AA456+AB456-AC456,3&lt;4))),1,0)))</x:f>
        <x:v>99</x:v>
      </x:c>
      <x:c r="AE456" s="6" t="n">
        <x:f>IF('Debt strategy'!$C$16&gt;0,0,MIN(AA456+AB456-AC456,MAX(0,'Debt strategy'!$C$5-SUM(E456,K456,Q456,W456,AC456)-SUM(IF(F456&lt;AD456,C456+D456-E456,0),IF(L456&lt;AD456,I456+J456-K456,0),IF(R456&lt;AD456,O456+P456-Q456,0),IF(X456&lt;AD456,U456+V456-W456,0)))))</x:f>
        <x:v>0</x:v>
      </x:c>
      <x:c r="AF456" s="6" t="n">
        <x:f>ROUND(MAX(0,AA456+AB456-AC456-AE456),2)</x:f>
        <x:v>0</x:v>
      </x:c>
      <x:c r="AG456" s="6" t="n">
        <x:f>SUM(H456,N456,T456,Z456,AF456)</x:f>
        <x:v>0</x:v>
      </x:c>
      <x:c r="AH456" s="6" t="n">
        <x:f>SUM(D456,J456,P456,V456,AB456)+AH455</x:f>
        <x:v>1353.9499999999996</x:v>
      </x:c>
      <x:c r="AI456" s="2"/>
    </x:row>
    <x:row r="457" ht="23" customHeight="1">
      <x:c r="B457" s="2" t="n">
        <x:f>449</x:f>
        <x:v>449</x:v>
      </x:c>
      <x:c r="C457" s="6" t="n">
        <x:f>H456</x:f>
        <x:v>0</x:v>
      </x:c>
      <x:c r="D457" s="6" t="n">
        <x:f>ROUND(C457*'Debt strategy'!$D$9/12,2)</x:f>
        <x:v>0</x:v>
      </x:c>
      <x:c r="E457" s="6" t="n">
        <x:f>MIN(C457+D457,'Debt strategy'!$E$9)</x:f>
        <x:v>0</x:v>
      </x:c>
      <x:c r="F457" s="27" t="n">
        <x:f>IF(C457+D457-E457&lt;=0,99,1+SUM(IF(AND(I457+J457-K457&gt;0,OR(I457+J457-K457&lt;C457+D457-E457,AND(I457+J457-K457=C457+D457-E457,1&lt;0))),1,0),IF(AND(O457+P457-Q457&gt;0,OR(O457+P457-Q457&lt;C457+D457-E457,AND(O457+P457-Q457=C457+D457-E457,2&lt;0))),1,0),IF(AND(U457+V457-W457&gt;0,OR(U457+V457-W457&lt;C457+D457-E457,AND(U457+V457-W457=C457+D457-E457,3&lt;0))),1,0),IF(AND(AA457+AB457-AC457&gt;0,OR(AA457+AB457-AC457&lt;C457+D457-E457,AND(AA457+AB457-AC457=C457+D457-E457,4&lt;0))),1,0)))</x:f>
        <x:v>99</x:v>
      </x:c>
      <x:c r="G457" s="6" t="n">
        <x:f>IF('Debt strategy'!$C$16&gt;0,0,MIN(C457+D457-E457,MAX(0,'Debt strategy'!$C$5-SUM(E457,K457,Q457,W457,AC457)-SUM(IF(L457&lt;F457,I457+J457-K457,0),IF(R457&lt;F457,O457+P457-Q457,0),IF(X457&lt;F457,U457+V457-W457,0),IF(AD457&lt;F457,AA457+AB457-AC457,0)))))</x:f>
        <x:v>0</x:v>
      </x:c>
      <x:c r="H457" s="6" t="n">
        <x:f>ROUND(MAX(0,C457+D457-E457-G457),2)</x:f>
        <x:v>0</x:v>
      </x:c>
      <x:c r="I457" s="6" t="n">
        <x:f>N456</x:f>
        <x:v>0</x:v>
      </x:c>
      <x:c r="J457" s="6" t="n">
        <x:f>ROUND(I457*'Debt strategy'!$D$10/12,2)</x:f>
        <x:v>0</x:v>
      </x:c>
      <x:c r="K457" s="6" t="n">
        <x:f>MIN(I457+J457,'Debt strategy'!$E$10)</x:f>
        <x:v>0</x:v>
      </x:c>
      <x:c r="L457" s="27" t="n">
        <x:f>IF(I457+J457-K457&lt;=0,99,1+SUM(IF(AND(C457+D457-E457&gt;0,OR(C457+D457-E457&lt;I457+J457-K457,AND(C457+D457-E457=I457+J457-K457,0&lt;1))),1,0),IF(AND(O457+P457-Q457&gt;0,OR(O457+P457-Q457&lt;I457+J457-K457,AND(O457+P457-Q457=I457+J457-K457,2&lt;1))),1,0),IF(AND(U457+V457-W457&gt;0,OR(U457+V457-W457&lt;I457+J457-K457,AND(U457+V457-W457=I457+J457-K457,3&lt;1))),1,0),IF(AND(AA457+AB457-AC457&gt;0,OR(AA457+AB457-AC457&lt;I457+J457-K457,AND(AA457+AB457-AC457=I457+J457-K457,4&lt;1))),1,0)))</x:f>
        <x:v>99</x:v>
      </x:c>
      <x:c r="M457" s="6" t="n">
        <x:f>IF('Debt strategy'!$C$16&gt;0,0,MIN(I457+J457-K457,MAX(0,'Debt strategy'!$C$5-SUM(E457,K457,Q457,W457,AC457)-SUM(IF(F457&lt;L457,C457+D457-E457,0),IF(R457&lt;L457,O457+P457-Q457,0),IF(X457&lt;L457,U457+V457-W457,0),IF(AD457&lt;L457,AA457+AB457-AC457,0)))))</x:f>
        <x:v>0</x:v>
      </x:c>
      <x:c r="N457" s="6" t="n">
        <x:f>ROUND(MAX(0,I457+J457-K457-M457),2)</x:f>
        <x:v>0</x:v>
      </x:c>
      <x:c r="O457" s="6" t="n">
        <x:f>T456</x:f>
        <x:v>0</x:v>
      </x:c>
      <x:c r="P457" s="6" t="n">
        <x:f>ROUND(O457*'Debt strategy'!$D$11/12,2)</x:f>
        <x:v>0</x:v>
      </x:c>
      <x:c r="Q457" s="6" t="n">
        <x:f>MIN(O457+P457,'Debt strategy'!$E$11)</x:f>
        <x:v>0</x:v>
      </x:c>
      <x:c r="R457" s="27" t="n">
        <x:f>IF(O457+P457-Q457&lt;=0,99,1+SUM(IF(AND(C457+D457-E457&gt;0,OR(C457+D457-E457&lt;O457+P457-Q457,AND(C457+D457-E457=O457+P457-Q457,0&lt;2))),1,0),IF(AND(I457+J457-K457&gt;0,OR(I457+J457-K457&lt;O457+P457-Q457,AND(I457+J457-K457=O457+P457-Q457,1&lt;2))),1,0),IF(AND(U457+V457-W457&gt;0,OR(U457+V457-W457&lt;O457+P457-Q457,AND(U457+V457-W457=O457+P457-Q457,3&lt;2))),1,0),IF(AND(AA457+AB457-AC457&gt;0,OR(AA457+AB457-AC457&lt;O457+P457-Q457,AND(AA457+AB457-AC457=O457+P457-Q457,4&lt;2))),1,0)))</x:f>
        <x:v>99</x:v>
      </x:c>
      <x:c r="S457" s="6" t="n">
        <x:f>IF('Debt strategy'!$C$16&gt;0,0,MIN(O457+P457-Q457,MAX(0,'Debt strategy'!$C$5-SUM(E457,K457,Q457,W457,AC457)-SUM(IF(F457&lt;R457,C457+D457-E457,0),IF(L457&lt;R457,I457+J457-K457,0),IF(X457&lt;R457,U457+V457-W457,0),IF(AD457&lt;R457,AA457+AB457-AC457,0)))))</x:f>
        <x:v>0</x:v>
      </x:c>
      <x:c r="T457" s="6" t="n">
        <x:f>ROUND(MAX(0,O457+P457-Q457-S457),2)</x:f>
        <x:v>0</x:v>
      </x:c>
      <x:c r="U457" s="6" t="n">
        <x:f>Z456</x:f>
        <x:v>0</x:v>
      </x:c>
      <x:c r="V457" s="6" t="n">
        <x:f>ROUND(U457*'Debt strategy'!$D$12/12,2)</x:f>
        <x:v>0</x:v>
      </x:c>
      <x:c r="W457" s="6" t="n">
        <x:f>MIN(U457+V457,'Debt strategy'!$E$12)</x:f>
        <x:v>0</x:v>
      </x:c>
      <x:c r="X457" s="27" t="n">
        <x:f>IF(U457+V457-W457&lt;=0,99,1+SUM(IF(AND(C457+D457-E457&gt;0,OR(C457+D457-E457&lt;U457+V457-W457,AND(C457+D457-E457=U457+V457-W457,0&lt;3))),1,0),IF(AND(I457+J457-K457&gt;0,OR(I457+J457-K457&lt;U457+V457-W457,AND(I457+J457-K457=U457+V457-W457,1&lt;3))),1,0),IF(AND(O457+P457-Q457&gt;0,OR(O457+P457-Q457&lt;U457+V457-W457,AND(O457+P457-Q457=U457+V457-W457,2&lt;3))),1,0),IF(AND(AA457+AB457-AC457&gt;0,OR(AA457+AB457-AC457&lt;U457+V457-W457,AND(AA457+AB457-AC457=U457+V457-W457,4&lt;3))),1,0)))</x:f>
        <x:v>99</x:v>
      </x:c>
      <x:c r="Y457" s="6" t="n">
        <x:f>IF('Debt strategy'!$C$16&gt;0,0,MIN(U457+V457-W457,MAX(0,'Debt strategy'!$C$5-SUM(E457,K457,Q457,W457,AC457)-SUM(IF(F457&lt;X457,C457+D457-E457,0),IF(L457&lt;X457,I457+J457-K457,0),IF(R457&lt;X457,O457+P457-Q457,0),IF(AD457&lt;X457,AA457+AB457-AC457,0)))))</x:f>
        <x:v>0</x:v>
      </x:c>
      <x:c r="Z457" s="6" t="n">
        <x:f>ROUND(MAX(0,U457+V457-W457-Y457),2)</x:f>
        <x:v>0</x:v>
      </x:c>
      <x:c r="AA457" s="6" t="n">
        <x:f>AF456</x:f>
        <x:v>0</x:v>
      </x:c>
      <x:c r="AB457" s="6" t="n">
        <x:f>ROUND(AA457*'Debt strategy'!$D$13/12,2)</x:f>
        <x:v>0</x:v>
      </x:c>
      <x:c r="AC457" s="6" t="n">
        <x:f>MIN(AA457+AB457,'Debt strategy'!$E$13)</x:f>
        <x:v>0</x:v>
      </x:c>
      <x:c r="AD457" s="27" t="n">
        <x:f>IF(AA457+AB457-AC457&lt;=0,99,1+SUM(IF(AND(C457+D457-E457&gt;0,OR(C457+D457-E457&lt;AA457+AB457-AC457,AND(C457+D457-E457=AA457+AB457-AC457,0&lt;4))),1,0),IF(AND(I457+J457-K457&gt;0,OR(I457+J457-K457&lt;AA457+AB457-AC457,AND(I457+J457-K457=AA457+AB457-AC457,1&lt;4))),1,0),IF(AND(O457+P457-Q457&gt;0,OR(O457+P457-Q457&lt;AA457+AB457-AC457,AND(O457+P457-Q457=AA457+AB457-AC457,2&lt;4))),1,0),IF(AND(U457+V457-W457&gt;0,OR(U457+V457-W457&lt;AA457+AB457-AC457,AND(U457+V457-W457=AA457+AB457-AC457,3&lt;4))),1,0)))</x:f>
        <x:v>99</x:v>
      </x:c>
      <x:c r="AE457" s="6" t="n">
        <x:f>IF('Debt strategy'!$C$16&gt;0,0,MIN(AA457+AB457-AC457,MAX(0,'Debt strategy'!$C$5-SUM(E457,K457,Q457,W457,AC457)-SUM(IF(F457&lt;AD457,C457+D457-E457,0),IF(L457&lt;AD457,I457+J457-K457,0),IF(R457&lt;AD457,O457+P457-Q457,0),IF(X457&lt;AD457,U457+V457-W457,0)))))</x:f>
        <x:v>0</x:v>
      </x:c>
      <x:c r="AF457" s="6" t="n">
        <x:f>ROUND(MAX(0,AA457+AB457-AC457-AE457),2)</x:f>
        <x:v>0</x:v>
      </x:c>
      <x:c r="AG457" s="6" t="n">
        <x:f>SUM(H457,N457,T457,Z457,AF457)</x:f>
        <x:v>0</x:v>
      </x:c>
      <x:c r="AH457" s="6" t="n">
        <x:f>SUM(D457,J457,P457,V457,AB457)+AH456</x:f>
        <x:v>1353.9499999999996</x:v>
      </x:c>
      <x:c r="AI457" s="2"/>
    </x:row>
    <x:row r="458" ht="23" customHeight="1">
      <x:c r="B458" s="2" t="n">
        <x:f>450</x:f>
        <x:v>450</x:v>
      </x:c>
      <x:c r="C458" s="6" t="n">
        <x:f>H457</x:f>
        <x:v>0</x:v>
      </x:c>
      <x:c r="D458" s="6" t="n">
        <x:f>ROUND(C458*'Debt strategy'!$D$9/12,2)</x:f>
        <x:v>0</x:v>
      </x:c>
      <x:c r="E458" s="6" t="n">
        <x:f>MIN(C458+D458,'Debt strategy'!$E$9)</x:f>
        <x:v>0</x:v>
      </x:c>
      <x:c r="F458" s="27" t="n">
        <x:f>IF(C458+D458-E458&lt;=0,99,1+SUM(IF(AND(I458+J458-K458&gt;0,OR(I458+J458-K458&lt;C458+D458-E458,AND(I458+J458-K458=C458+D458-E458,1&lt;0))),1,0),IF(AND(O458+P458-Q458&gt;0,OR(O458+P458-Q458&lt;C458+D458-E458,AND(O458+P458-Q458=C458+D458-E458,2&lt;0))),1,0),IF(AND(U458+V458-W458&gt;0,OR(U458+V458-W458&lt;C458+D458-E458,AND(U458+V458-W458=C458+D458-E458,3&lt;0))),1,0),IF(AND(AA458+AB458-AC458&gt;0,OR(AA458+AB458-AC458&lt;C458+D458-E458,AND(AA458+AB458-AC458=C458+D458-E458,4&lt;0))),1,0)))</x:f>
        <x:v>99</x:v>
      </x:c>
      <x:c r="G458" s="6" t="n">
        <x:f>IF('Debt strategy'!$C$16&gt;0,0,MIN(C458+D458-E458,MAX(0,'Debt strategy'!$C$5-SUM(E458,K458,Q458,W458,AC458)-SUM(IF(L458&lt;F458,I458+J458-K458,0),IF(R458&lt;F458,O458+P458-Q458,0),IF(X458&lt;F458,U458+V458-W458,0),IF(AD458&lt;F458,AA458+AB458-AC458,0)))))</x:f>
        <x:v>0</x:v>
      </x:c>
      <x:c r="H458" s="6" t="n">
        <x:f>ROUND(MAX(0,C458+D458-E458-G458),2)</x:f>
        <x:v>0</x:v>
      </x:c>
      <x:c r="I458" s="6" t="n">
        <x:f>N457</x:f>
        <x:v>0</x:v>
      </x:c>
      <x:c r="J458" s="6" t="n">
        <x:f>ROUND(I458*'Debt strategy'!$D$10/12,2)</x:f>
        <x:v>0</x:v>
      </x:c>
      <x:c r="K458" s="6" t="n">
        <x:f>MIN(I458+J458,'Debt strategy'!$E$10)</x:f>
        <x:v>0</x:v>
      </x:c>
      <x:c r="L458" s="27" t="n">
        <x:f>IF(I458+J458-K458&lt;=0,99,1+SUM(IF(AND(C458+D458-E458&gt;0,OR(C458+D458-E458&lt;I458+J458-K458,AND(C458+D458-E458=I458+J458-K458,0&lt;1))),1,0),IF(AND(O458+P458-Q458&gt;0,OR(O458+P458-Q458&lt;I458+J458-K458,AND(O458+P458-Q458=I458+J458-K458,2&lt;1))),1,0),IF(AND(U458+V458-W458&gt;0,OR(U458+V458-W458&lt;I458+J458-K458,AND(U458+V458-W458=I458+J458-K458,3&lt;1))),1,0),IF(AND(AA458+AB458-AC458&gt;0,OR(AA458+AB458-AC458&lt;I458+J458-K458,AND(AA458+AB458-AC458=I458+J458-K458,4&lt;1))),1,0)))</x:f>
        <x:v>99</x:v>
      </x:c>
      <x:c r="M458" s="6" t="n">
        <x:f>IF('Debt strategy'!$C$16&gt;0,0,MIN(I458+J458-K458,MAX(0,'Debt strategy'!$C$5-SUM(E458,K458,Q458,W458,AC458)-SUM(IF(F458&lt;L458,C458+D458-E458,0),IF(R458&lt;L458,O458+P458-Q458,0),IF(X458&lt;L458,U458+V458-W458,0),IF(AD458&lt;L458,AA458+AB458-AC458,0)))))</x:f>
        <x:v>0</x:v>
      </x:c>
      <x:c r="N458" s="6" t="n">
        <x:f>ROUND(MAX(0,I458+J458-K458-M458),2)</x:f>
        <x:v>0</x:v>
      </x:c>
      <x:c r="O458" s="6" t="n">
        <x:f>T457</x:f>
        <x:v>0</x:v>
      </x:c>
      <x:c r="P458" s="6" t="n">
        <x:f>ROUND(O458*'Debt strategy'!$D$11/12,2)</x:f>
        <x:v>0</x:v>
      </x:c>
      <x:c r="Q458" s="6" t="n">
        <x:f>MIN(O458+P458,'Debt strategy'!$E$11)</x:f>
        <x:v>0</x:v>
      </x:c>
      <x:c r="R458" s="27" t="n">
        <x:f>IF(O458+P458-Q458&lt;=0,99,1+SUM(IF(AND(C458+D458-E458&gt;0,OR(C458+D458-E458&lt;O458+P458-Q458,AND(C458+D458-E458=O458+P458-Q458,0&lt;2))),1,0),IF(AND(I458+J458-K458&gt;0,OR(I458+J458-K458&lt;O458+P458-Q458,AND(I458+J458-K458=O458+P458-Q458,1&lt;2))),1,0),IF(AND(U458+V458-W458&gt;0,OR(U458+V458-W458&lt;O458+P458-Q458,AND(U458+V458-W458=O458+P458-Q458,3&lt;2))),1,0),IF(AND(AA458+AB458-AC458&gt;0,OR(AA458+AB458-AC458&lt;O458+P458-Q458,AND(AA458+AB458-AC458=O458+P458-Q458,4&lt;2))),1,0)))</x:f>
        <x:v>99</x:v>
      </x:c>
      <x:c r="S458" s="6" t="n">
        <x:f>IF('Debt strategy'!$C$16&gt;0,0,MIN(O458+P458-Q458,MAX(0,'Debt strategy'!$C$5-SUM(E458,K458,Q458,W458,AC458)-SUM(IF(F458&lt;R458,C458+D458-E458,0),IF(L458&lt;R458,I458+J458-K458,0),IF(X458&lt;R458,U458+V458-W458,0),IF(AD458&lt;R458,AA458+AB458-AC458,0)))))</x:f>
        <x:v>0</x:v>
      </x:c>
      <x:c r="T458" s="6" t="n">
        <x:f>ROUND(MAX(0,O458+P458-Q458-S458),2)</x:f>
        <x:v>0</x:v>
      </x:c>
      <x:c r="U458" s="6" t="n">
        <x:f>Z457</x:f>
        <x:v>0</x:v>
      </x:c>
      <x:c r="V458" s="6" t="n">
        <x:f>ROUND(U458*'Debt strategy'!$D$12/12,2)</x:f>
        <x:v>0</x:v>
      </x:c>
      <x:c r="W458" s="6" t="n">
        <x:f>MIN(U458+V458,'Debt strategy'!$E$12)</x:f>
        <x:v>0</x:v>
      </x:c>
      <x:c r="X458" s="27" t="n">
        <x:f>IF(U458+V458-W458&lt;=0,99,1+SUM(IF(AND(C458+D458-E458&gt;0,OR(C458+D458-E458&lt;U458+V458-W458,AND(C458+D458-E458=U458+V458-W458,0&lt;3))),1,0),IF(AND(I458+J458-K458&gt;0,OR(I458+J458-K458&lt;U458+V458-W458,AND(I458+J458-K458=U458+V458-W458,1&lt;3))),1,0),IF(AND(O458+P458-Q458&gt;0,OR(O458+P458-Q458&lt;U458+V458-W458,AND(O458+P458-Q458=U458+V458-W458,2&lt;3))),1,0),IF(AND(AA458+AB458-AC458&gt;0,OR(AA458+AB458-AC458&lt;U458+V458-W458,AND(AA458+AB458-AC458=U458+V458-W458,4&lt;3))),1,0)))</x:f>
        <x:v>99</x:v>
      </x:c>
      <x:c r="Y458" s="6" t="n">
        <x:f>IF('Debt strategy'!$C$16&gt;0,0,MIN(U458+V458-W458,MAX(0,'Debt strategy'!$C$5-SUM(E458,K458,Q458,W458,AC458)-SUM(IF(F458&lt;X458,C458+D458-E458,0),IF(L458&lt;X458,I458+J458-K458,0),IF(R458&lt;X458,O458+P458-Q458,0),IF(AD458&lt;X458,AA458+AB458-AC458,0)))))</x:f>
        <x:v>0</x:v>
      </x:c>
      <x:c r="Z458" s="6" t="n">
        <x:f>ROUND(MAX(0,U458+V458-W458-Y458),2)</x:f>
        <x:v>0</x:v>
      </x:c>
      <x:c r="AA458" s="6" t="n">
        <x:f>AF457</x:f>
        <x:v>0</x:v>
      </x:c>
      <x:c r="AB458" s="6" t="n">
        <x:f>ROUND(AA458*'Debt strategy'!$D$13/12,2)</x:f>
        <x:v>0</x:v>
      </x:c>
      <x:c r="AC458" s="6" t="n">
        <x:f>MIN(AA458+AB458,'Debt strategy'!$E$13)</x:f>
        <x:v>0</x:v>
      </x:c>
      <x:c r="AD458" s="27" t="n">
        <x:f>IF(AA458+AB458-AC458&lt;=0,99,1+SUM(IF(AND(C458+D458-E458&gt;0,OR(C458+D458-E458&lt;AA458+AB458-AC458,AND(C458+D458-E458=AA458+AB458-AC458,0&lt;4))),1,0),IF(AND(I458+J458-K458&gt;0,OR(I458+J458-K458&lt;AA458+AB458-AC458,AND(I458+J458-K458=AA458+AB458-AC458,1&lt;4))),1,0),IF(AND(O458+P458-Q458&gt;0,OR(O458+P458-Q458&lt;AA458+AB458-AC458,AND(O458+P458-Q458=AA458+AB458-AC458,2&lt;4))),1,0),IF(AND(U458+V458-W458&gt;0,OR(U458+V458-W458&lt;AA458+AB458-AC458,AND(U458+V458-W458=AA458+AB458-AC458,3&lt;4))),1,0)))</x:f>
        <x:v>99</x:v>
      </x:c>
      <x:c r="AE458" s="6" t="n">
        <x:f>IF('Debt strategy'!$C$16&gt;0,0,MIN(AA458+AB458-AC458,MAX(0,'Debt strategy'!$C$5-SUM(E458,K458,Q458,W458,AC458)-SUM(IF(F458&lt;AD458,C458+D458-E458,0),IF(L458&lt;AD458,I458+J458-K458,0),IF(R458&lt;AD458,O458+P458-Q458,0),IF(X458&lt;AD458,U458+V458-W458,0)))))</x:f>
        <x:v>0</x:v>
      </x:c>
      <x:c r="AF458" s="6" t="n">
        <x:f>ROUND(MAX(0,AA458+AB458-AC458-AE458),2)</x:f>
        <x:v>0</x:v>
      </x:c>
      <x:c r="AG458" s="6" t="n">
        <x:f>SUM(H458,N458,T458,Z458,AF458)</x:f>
        <x:v>0</x:v>
      </x:c>
      <x:c r="AH458" s="6" t="n">
        <x:f>SUM(D458,J458,P458,V458,AB458)+AH457</x:f>
        <x:v>1353.9499999999996</x:v>
      </x:c>
      <x:c r="AI458" s="2"/>
    </x:row>
    <x:row r="459" ht="23" customHeight="1">
      <x:c r="B459" s="2" t="n">
        <x:f>451</x:f>
        <x:v>451</x:v>
      </x:c>
      <x:c r="C459" s="6" t="n">
        <x:f>H458</x:f>
        <x:v>0</x:v>
      </x:c>
      <x:c r="D459" s="6" t="n">
        <x:f>ROUND(C459*'Debt strategy'!$D$9/12,2)</x:f>
        <x:v>0</x:v>
      </x:c>
      <x:c r="E459" s="6" t="n">
        <x:f>MIN(C459+D459,'Debt strategy'!$E$9)</x:f>
        <x:v>0</x:v>
      </x:c>
      <x:c r="F459" s="27" t="n">
        <x:f>IF(C459+D459-E459&lt;=0,99,1+SUM(IF(AND(I459+J459-K459&gt;0,OR(I459+J459-K459&lt;C459+D459-E459,AND(I459+J459-K459=C459+D459-E459,1&lt;0))),1,0),IF(AND(O459+P459-Q459&gt;0,OR(O459+P459-Q459&lt;C459+D459-E459,AND(O459+P459-Q459=C459+D459-E459,2&lt;0))),1,0),IF(AND(U459+V459-W459&gt;0,OR(U459+V459-W459&lt;C459+D459-E459,AND(U459+V459-W459=C459+D459-E459,3&lt;0))),1,0),IF(AND(AA459+AB459-AC459&gt;0,OR(AA459+AB459-AC459&lt;C459+D459-E459,AND(AA459+AB459-AC459=C459+D459-E459,4&lt;0))),1,0)))</x:f>
        <x:v>99</x:v>
      </x:c>
      <x:c r="G459" s="6" t="n">
        <x:f>IF('Debt strategy'!$C$16&gt;0,0,MIN(C459+D459-E459,MAX(0,'Debt strategy'!$C$5-SUM(E459,K459,Q459,W459,AC459)-SUM(IF(L459&lt;F459,I459+J459-K459,0),IF(R459&lt;F459,O459+P459-Q459,0),IF(X459&lt;F459,U459+V459-W459,0),IF(AD459&lt;F459,AA459+AB459-AC459,0)))))</x:f>
        <x:v>0</x:v>
      </x:c>
      <x:c r="H459" s="6" t="n">
        <x:f>ROUND(MAX(0,C459+D459-E459-G459),2)</x:f>
        <x:v>0</x:v>
      </x:c>
      <x:c r="I459" s="6" t="n">
        <x:f>N458</x:f>
        <x:v>0</x:v>
      </x:c>
      <x:c r="J459" s="6" t="n">
        <x:f>ROUND(I459*'Debt strategy'!$D$10/12,2)</x:f>
        <x:v>0</x:v>
      </x:c>
      <x:c r="K459" s="6" t="n">
        <x:f>MIN(I459+J459,'Debt strategy'!$E$10)</x:f>
        <x:v>0</x:v>
      </x:c>
      <x:c r="L459" s="27" t="n">
        <x:f>IF(I459+J459-K459&lt;=0,99,1+SUM(IF(AND(C459+D459-E459&gt;0,OR(C459+D459-E459&lt;I459+J459-K459,AND(C459+D459-E459=I459+J459-K459,0&lt;1))),1,0),IF(AND(O459+P459-Q459&gt;0,OR(O459+P459-Q459&lt;I459+J459-K459,AND(O459+P459-Q459=I459+J459-K459,2&lt;1))),1,0),IF(AND(U459+V459-W459&gt;0,OR(U459+V459-W459&lt;I459+J459-K459,AND(U459+V459-W459=I459+J459-K459,3&lt;1))),1,0),IF(AND(AA459+AB459-AC459&gt;0,OR(AA459+AB459-AC459&lt;I459+J459-K459,AND(AA459+AB459-AC459=I459+J459-K459,4&lt;1))),1,0)))</x:f>
        <x:v>99</x:v>
      </x:c>
      <x:c r="M459" s="6" t="n">
        <x:f>IF('Debt strategy'!$C$16&gt;0,0,MIN(I459+J459-K459,MAX(0,'Debt strategy'!$C$5-SUM(E459,K459,Q459,W459,AC459)-SUM(IF(F459&lt;L459,C459+D459-E459,0),IF(R459&lt;L459,O459+P459-Q459,0),IF(X459&lt;L459,U459+V459-W459,0),IF(AD459&lt;L459,AA459+AB459-AC459,0)))))</x:f>
        <x:v>0</x:v>
      </x:c>
      <x:c r="N459" s="6" t="n">
        <x:f>ROUND(MAX(0,I459+J459-K459-M459),2)</x:f>
        <x:v>0</x:v>
      </x:c>
      <x:c r="O459" s="6" t="n">
        <x:f>T458</x:f>
        <x:v>0</x:v>
      </x:c>
      <x:c r="P459" s="6" t="n">
        <x:f>ROUND(O459*'Debt strategy'!$D$11/12,2)</x:f>
        <x:v>0</x:v>
      </x:c>
      <x:c r="Q459" s="6" t="n">
        <x:f>MIN(O459+P459,'Debt strategy'!$E$11)</x:f>
        <x:v>0</x:v>
      </x:c>
      <x:c r="R459" s="27" t="n">
        <x:f>IF(O459+P459-Q459&lt;=0,99,1+SUM(IF(AND(C459+D459-E459&gt;0,OR(C459+D459-E459&lt;O459+P459-Q459,AND(C459+D459-E459=O459+P459-Q459,0&lt;2))),1,0),IF(AND(I459+J459-K459&gt;0,OR(I459+J459-K459&lt;O459+P459-Q459,AND(I459+J459-K459=O459+P459-Q459,1&lt;2))),1,0),IF(AND(U459+V459-W459&gt;0,OR(U459+V459-W459&lt;O459+P459-Q459,AND(U459+V459-W459=O459+P459-Q459,3&lt;2))),1,0),IF(AND(AA459+AB459-AC459&gt;0,OR(AA459+AB459-AC459&lt;O459+P459-Q459,AND(AA459+AB459-AC459=O459+P459-Q459,4&lt;2))),1,0)))</x:f>
        <x:v>99</x:v>
      </x:c>
      <x:c r="S459" s="6" t="n">
        <x:f>IF('Debt strategy'!$C$16&gt;0,0,MIN(O459+P459-Q459,MAX(0,'Debt strategy'!$C$5-SUM(E459,K459,Q459,W459,AC459)-SUM(IF(F459&lt;R459,C459+D459-E459,0),IF(L459&lt;R459,I459+J459-K459,0),IF(X459&lt;R459,U459+V459-W459,0),IF(AD459&lt;R459,AA459+AB459-AC459,0)))))</x:f>
        <x:v>0</x:v>
      </x:c>
      <x:c r="T459" s="6" t="n">
        <x:f>ROUND(MAX(0,O459+P459-Q459-S459),2)</x:f>
        <x:v>0</x:v>
      </x:c>
      <x:c r="U459" s="6" t="n">
        <x:f>Z458</x:f>
        <x:v>0</x:v>
      </x:c>
      <x:c r="V459" s="6" t="n">
        <x:f>ROUND(U459*'Debt strategy'!$D$12/12,2)</x:f>
        <x:v>0</x:v>
      </x:c>
      <x:c r="W459" s="6" t="n">
        <x:f>MIN(U459+V459,'Debt strategy'!$E$12)</x:f>
        <x:v>0</x:v>
      </x:c>
      <x:c r="X459" s="27" t="n">
        <x:f>IF(U459+V459-W459&lt;=0,99,1+SUM(IF(AND(C459+D459-E459&gt;0,OR(C459+D459-E459&lt;U459+V459-W459,AND(C459+D459-E459=U459+V459-W459,0&lt;3))),1,0),IF(AND(I459+J459-K459&gt;0,OR(I459+J459-K459&lt;U459+V459-W459,AND(I459+J459-K459=U459+V459-W459,1&lt;3))),1,0),IF(AND(O459+P459-Q459&gt;0,OR(O459+P459-Q459&lt;U459+V459-W459,AND(O459+P459-Q459=U459+V459-W459,2&lt;3))),1,0),IF(AND(AA459+AB459-AC459&gt;0,OR(AA459+AB459-AC459&lt;U459+V459-W459,AND(AA459+AB459-AC459=U459+V459-W459,4&lt;3))),1,0)))</x:f>
        <x:v>99</x:v>
      </x:c>
      <x:c r="Y459" s="6" t="n">
        <x:f>IF('Debt strategy'!$C$16&gt;0,0,MIN(U459+V459-W459,MAX(0,'Debt strategy'!$C$5-SUM(E459,K459,Q459,W459,AC459)-SUM(IF(F459&lt;X459,C459+D459-E459,0),IF(L459&lt;X459,I459+J459-K459,0),IF(R459&lt;X459,O459+P459-Q459,0),IF(AD459&lt;X459,AA459+AB459-AC459,0)))))</x:f>
        <x:v>0</x:v>
      </x:c>
      <x:c r="Z459" s="6" t="n">
        <x:f>ROUND(MAX(0,U459+V459-W459-Y459),2)</x:f>
        <x:v>0</x:v>
      </x:c>
      <x:c r="AA459" s="6" t="n">
        <x:f>AF458</x:f>
        <x:v>0</x:v>
      </x:c>
      <x:c r="AB459" s="6" t="n">
        <x:f>ROUND(AA459*'Debt strategy'!$D$13/12,2)</x:f>
        <x:v>0</x:v>
      </x:c>
      <x:c r="AC459" s="6" t="n">
        <x:f>MIN(AA459+AB459,'Debt strategy'!$E$13)</x:f>
        <x:v>0</x:v>
      </x:c>
      <x:c r="AD459" s="27" t="n">
        <x:f>IF(AA459+AB459-AC459&lt;=0,99,1+SUM(IF(AND(C459+D459-E459&gt;0,OR(C459+D459-E459&lt;AA459+AB459-AC459,AND(C459+D459-E459=AA459+AB459-AC459,0&lt;4))),1,0),IF(AND(I459+J459-K459&gt;0,OR(I459+J459-K459&lt;AA459+AB459-AC459,AND(I459+J459-K459=AA459+AB459-AC459,1&lt;4))),1,0),IF(AND(O459+P459-Q459&gt;0,OR(O459+P459-Q459&lt;AA459+AB459-AC459,AND(O459+P459-Q459=AA459+AB459-AC459,2&lt;4))),1,0),IF(AND(U459+V459-W459&gt;0,OR(U459+V459-W459&lt;AA459+AB459-AC459,AND(U459+V459-W459=AA459+AB459-AC459,3&lt;4))),1,0)))</x:f>
        <x:v>99</x:v>
      </x:c>
      <x:c r="AE459" s="6" t="n">
        <x:f>IF('Debt strategy'!$C$16&gt;0,0,MIN(AA459+AB459-AC459,MAX(0,'Debt strategy'!$C$5-SUM(E459,K459,Q459,W459,AC459)-SUM(IF(F459&lt;AD459,C459+D459-E459,0),IF(L459&lt;AD459,I459+J459-K459,0),IF(R459&lt;AD459,O459+P459-Q459,0),IF(X459&lt;AD459,U459+V459-W459,0)))))</x:f>
        <x:v>0</x:v>
      </x:c>
      <x:c r="AF459" s="6" t="n">
        <x:f>ROUND(MAX(0,AA459+AB459-AC459-AE459),2)</x:f>
        <x:v>0</x:v>
      </x:c>
      <x:c r="AG459" s="6" t="n">
        <x:f>SUM(H459,N459,T459,Z459,AF459)</x:f>
        <x:v>0</x:v>
      </x:c>
      <x:c r="AH459" s="6" t="n">
        <x:f>SUM(D459,J459,P459,V459,AB459)+AH458</x:f>
        <x:v>1353.9499999999996</x:v>
      </x:c>
      <x:c r="AI459" s="2"/>
    </x:row>
    <x:row r="460" ht="23" customHeight="1">
      <x:c r="B460" s="2" t="n">
        <x:f>452</x:f>
        <x:v>452</x:v>
      </x:c>
      <x:c r="C460" s="6" t="n">
        <x:f>H459</x:f>
        <x:v>0</x:v>
      </x:c>
      <x:c r="D460" s="6" t="n">
        <x:f>ROUND(C460*'Debt strategy'!$D$9/12,2)</x:f>
        <x:v>0</x:v>
      </x:c>
      <x:c r="E460" s="6" t="n">
        <x:f>MIN(C460+D460,'Debt strategy'!$E$9)</x:f>
        <x:v>0</x:v>
      </x:c>
      <x:c r="F460" s="27" t="n">
        <x:f>IF(C460+D460-E460&lt;=0,99,1+SUM(IF(AND(I460+J460-K460&gt;0,OR(I460+J460-K460&lt;C460+D460-E460,AND(I460+J460-K460=C460+D460-E460,1&lt;0))),1,0),IF(AND(O460+P460-Q460&gt;0,OR(O460+P460-Q460&lt;C460+D460-E460,AND(O460+P460-Q460=C460+D460-E460,2&lt;0))),1,0),IF(AND(U460+V460-W460&gt;0,OR(U460+V460-W460&lt;C460+D460-E460,AND(U460+V460-W460=C460+D460-E460,3&lt;0))),1,0),IF(AND(AA460+AB460-AC460&gt;0,OR(AA460+AB460-AC460&lt;C460+D460-E460,AND(AA460+AB460-AC460=C460+D460-E460,4&lt;0))),1,0)))</x:f>
        <x:v>99</x:v>
      </x:c>
      <x:c r="G460" s="6" t="n">
        <x:f>IF('Debt strategy'!$C$16&gt;0,0,MIN(C460+D460-E460,MAX(0,'Debt strategy'!$C$5-SUM(E460,K460,Q460,W460,AC460)-SUM(IF(L460&lt;F460,I460+J460-K460,0),IF(R460&lt;F460,O460+P460-Q460,0),IF(X460&lt;F460,U460+V460-W460,0),IF(AD460&lt;F460,AA460+AB460-AC460,0)))))</x:f>
        <x:v>0</x:v>
      </x:c>
      <x:c r="H460" s="6" t="n">
        <x:f>ROUND(MAX(0,C460+D460-E460-G460),2)</x:f>
        <x:v>0</x:v>
      </x:c>
      <x:c r="I460" s="6" t="n">
        <x:f>N459</x:f>
        <x:v>0</x:v>
      </x:c>
      <x:c r="J460" s="6" t="n">
        <x:f>ROUND(I460*'Debt strategy'!$D$10/12,2)</x:f>
        <x:v>0</x:v>
      </x:c>
      <x:c r="K460" s="6" t="n">
        <x:f>MIN(I460+J460,'Debt strategy'!$E$10)</x:f>
        <x:v>0</x:v>
      </x:c>
      <x:c r="L460" s="27" t="n">
        <x:f>IF(I460+J460-K460&lt;=0,99,1+SUM(IF(AND(C460+D460-E460&gt;0,OR(C460+D460-E460&lt;I460+J460-K460,AND(C460+D460-E460=I460+J460-K460,0&lt;1))),1,0),IF(AND(O460+P460-Q460&gt;0,OR(O460+P460-Q460&lt;I460+J460-K460,AND(O460+P460-Q460=I460+J460-K460,2&lt;1))),1,0),IF(AND(U460+V460-W460&gt;0,OR(U460+V460-W460&lt;I460+J460-K460,AND(U460+V460-W460=I460+J460-K460,3&lt;1))),1,0),IF(AND(AA460+AB460-AC460&gt;0,OR(AA460+AB460-AC460&lt;I460+J460-K460,AND(AA460+AB460-AC460=I460+J460-K460,4&lt;1))),1,0)))</x:f>
        <x:v>99</x:v>
      </x:c>
      <x:c r="M460" s="6" t="n">
        <x:f>IF('Debt strategy'!$C$16&gt;0,0,MIN(I460+J460-K460,MAX(0,'Debt strategy'!$C$5-SUM(E460,K460,Q460,W460,AC460)-SUM(IF(F460&lt;L460,C460+D460-E460,0),IF(R460&lt;L460,O460+P460-Q460,0),IF(X460&lt;L460,U460+V460-W460,0),IF(AD460&lt;L460,AA460+AB460-AC460,0)))))</x:f>
        <x:v>0</x:v>
      </x:c>
      <x:c r="N460" s="6" t="n">
        <x:f>ROUND(MAX(0,I460+J460-K460-M460),2)</x:f>
        <x:v>0</x:v>
      </x:c>
      <x:c r="O460" s="6" t="n">
        <x:f>T459</x:f>
        <x:v>0</x:v>
      </x:c>
      <x:c r="P460" s="6" t="n">
        <x:f>ROUND(O460*'Debt strategy'!$D$11/12,2)</x:f>
        <x:v>0</x:v>
      </x:c>
      <x:c r="Q460" s="6" t="n">
        <x:f>MIN(O460+P460,'Debt strategy'!$E$11)</x:f>
        <x:v>0</x:v>
      </x:c>
      <x:c r="R460" s="27" t="n">
        <x:f>IF(O460+P460-Q460&lt;=0,99,1+SUM(IF(AND(C460+D460-E460&gt;0,OR(C460+D460-E460&lt;O460+P460-Q460,AND(C460+D460-E460=O460+P460-Q460,0&lt;2))),1,0),IF(AND(I460+J460-K460&gt;0,OR(I460+J460-K460&lt;O460+P460-Q460,AND(I460+J460-K460=O460+P460-Q460,1&lt;2))),1,0),IF(AND(U460+V460-W460&gt;0,OR(U460+V460-W460&lt;O460+P460-Q460,AND(U460+V460-W460=O460+P460-Q460,3&lt;2))),1,0),IF(AND(AA460+AB460-AC460&gt;0,OR(AA460+AB460-AC460&lt;O460+P460-Q460,AND(AA460+AB460-AC460=O460+P460-Q460,4&lt;2))),1,0)))</x:f>
        <x:v>99</x:v>
      </x:c>
      <x:c r="S460" s="6" t="n">
        <x:f>IF('Debt strategy'!$C$16&gt;0,0,MIN(O460+P460-Q460,MAX(0,'Debt strategy'!$C$5-SUM(E460,K460,Q460,W460,AC460)-SUM(IF(F460&lt;R460,C460+D460-E460,0),IF(L460&lt;R460,I460+J460-K460,0),IF(X460&lt;R460,U460+V460-W460,0),IF(AD460&lt;R460,AA460+AB460-AC460,0)))))</x:f>
        <x:v>0</x:v>
      </x:c>
      <x:c r="T460" s="6" t="n">
        <x:f>ROUND(MAX(0,O460+P460-Q460-S460),2)</x:f>
        <x:v>0</x:v>
      </x:c>
      <x:c r="U460" s="6" t="n">
        <x:f>Z459</x:f>
        <x:v>0</x:v>
      </x:c>
      <x:c r="V460" s="6" t="n">
        <x:f>ROUND(U460*'Debt strategy'!$D$12/12,2)</x:f>
        <x:v>0</x:v>
      </x:c>
      <x:c r="W460" s="6" t="n">
        <x:f>MIN(U460+V460,'Debt strategy'!$E$12)</x:f>
        <x:v>0</x:v>
      </x:c>
      <x:c r="X460" s="27" t="n">
        <x:f>IF(U460+V460-W460&lt;=0,99,1+SUM(IF(AND(C460+D460-E460&gt;0,OR(C460+D460-E460&lt;U460+V460-W460,AND(C460+D460-E460=U460+V460-W460,0&lt;3))),1,0),IF(AND(I460+J460-K460&gt;0,OR(I460+J460-K460&lt;U460+V460-W460,AND(I460+J460-K460=U460+V460-W460,1&lt;3))),1,0),IF(AND(O460+P460-Q460&gt;0,OR(O460+P460-Q460&lt;U460+V460-W460,AND(O460+P460-Q460=U460+V460-W460,2&lt;3))),1,0),IF(AND(AA460+AB460-AC460&gt;0,OR(AA460+AB460-AC460&lt;U460+V460-W460,AND(AA460+AB460-AC460=U460+V460-W460,4&lt;3))),1,0)))</x:f>
        <x:v>99</x:v>
      </x:c>
      <x:c r="Y460" s="6" t="n">
        <x:f>IF('Debt strategy'!$C$16&gt;0,0,MIN(U460+V460-W460,MAX(0,'Debt strategy'!$C$5-SUM(E460,K460,Q460,W460,AC460)-SUM(IF(F460&lt;X460,C460+D460-E460,0),IF(L460&lt;X460,I460+J460-K460,0),IF(R460&lt;X460,O460+P460-Q460,0),IF(AD460&lt;X460,AA460+AB460-AC460,0)))))</x:f>
        <x:v>0</x:v>
      </x:c>
      <x:c r="Z460" s="6" t="n">
        <x:f>ROUND(MAX(0,U460+V460-W460-Y460),2)</x:f>
        <x:v>0</x:v>
      </x:c>
      <x:c r="AA460" s="6" t="n">
        <x:f>AF459</x:f>
        <x:v>0</x:v>
      </x:c>
      <x:c r="AB460" s="6" t="n">
        <x:f>ROUND(AA460*'Debt strategy'!$D$13/12,2)</x:f>
        <x:v>0</x:v>
      </x:c>
      <x:c r="AC460" s="6" t="n">
        <x:f>MIN(AA460+AB460,'Debt strategy'!$E$13)</x:f>
        <x:v>0</x:v>
      </x:c>
      <x:c r="AD460" s="27" t="n">
        <x:f>IF(AA460+AB460-AC460&lt;=0,99,1+SUM(IF(AND(C460+D460-E460&gt;0,OR(C460+D460-E460&lt;AA460+AB460-AC460,AND(C460+D460-E460=AA460+AB460-AC460,0&lt;4))),1,0),IF(AND(I460+J460-K460&gt;0,OR(I460+J460-K460&lt;AA460+AB460-AC460,AND(I460+J460-K460=AA460+AB460-AC460,1&lt;4))),1,0),IF(AND(O460+P460-Q460&gt;0,OR(O460+P460-Q460&lt;AA460+AB460-AC460,AND(O460+P460-Q460=AA460+AB460-AC460,2&lt;4))),1,0),IF(AND(U460+V460-W460&gt;0,OR(U460+V460-W460&lt;AA460+AB460-AC460,AND(U460+V460-W460=AA460+AB460-AC460,3&lt;4))),1,0)))</x:f>
        <x:v>99</x:v>
      </x:c>
      <x:c r="AE460" s="6" t="n">
        <x:f>IF('Debt strategy'!$C$16&gt;0,0,MIN(AA460+AB460-AC460,MAX(0,'Debt strategy'!$C$5-SUM(E460,K460,Q460,W460,AC460)-SUM(IF(F460&lt;AD460,C460+D460-E460,0),IF(L460&lt;AD460,I460+J460-K460,0),IF(R460&lt;AD460,O460+P460-Q460,0),IF(X460&lt;AD460,U460+V460-W460,0)))))</x:f>
        <x:v>0</x:v>
      </x:c>
      <x:c r="AF460" s="6" t="n">
        <x:f>ROUND(MAX(0,AA460+AB460-AC460-AE460),2)</x:f>
        <x:v>0</x:v>
      </x:c>
      <x:c r="AG460" s="6" t="n">
        <x:f>SUM(H460,N460,T460,Z460,AF460)</x:f>
        <x:v>0</x:v>
      </x:c>
      <x:c r="AH460" s="6" t="n">
        <x:f>SUM(D460,J460,P460,V460,AB460)+AH459</x:f>
        <x:v>1353.9499999999996</x:v>
      </x:c>
      <x:c r="AI460" s="2"/>
    </x:row>
    <x:row r="461" ht="23" customHeight="1">
      <x:c r="B461" s="2" t="n">
        <x:f>453</x:f>
        <x:v>453</x:v>
      </x:c>
      <x:c r="C461" s="6" t="n">
        <x:f>H460</x:f>
        <x:v>0</x:v>
      </x:c>
      <x:c r="D461" s="6" t="n">
        <x:f>ROUND(C461*'Debt strategy'!$D$9/12,2)</x:f>
        <x:v>0</x:v>
      </x:c>
      <x:c r="E461" s="6" t="n">
        <x:f>MIN(C461+D461,'Debt strategy'!$E$9)</x:f>
        <x:v>0</x:v>
      </x:c>
      <x:c r="F461" s="27" t="n">
        <x:f>IF(C461+D461-E461&lt;=0,99,1+SUM(IF(AND(I461+J461-K461&gt;0,OR(I461+J461-K461&lt;C461+D461-E461,AND(I461+J461-K461=C461+D461-E461,1&lt;0))),1,0),IF(AND(O461+P461-Q461&gt;0,OR(O461+P461-Q461&lt;C461+D461-E461,AND(O461+P461-Q461=C461+D461-E461,2&lt;0))),1,0),IF(AND(U461+V461-W461&gt;0,OR(U461+V461-W461&lt;C461+D461-E461,AND(U461+V461-W461=C461+D461-E461,3&lt;0))),1,0),IF(AND(AA461+AB461-AC461&gt;0,OR(AA461+AB461-AC461&lt;C461+D461-E461,AND(AA461+AB461-AC461=C461+D461-E461,4&lt;0))),1,0)))</x:f>
        <x:v>99</x:v>
      </x:c>
      <x:c r="G461" s="6" t="n">
        <x:f>IF('Debt strategy'!$C$16&gt;0,0,MIN(C461+D461-E461,MAX(0,'Debt strategy'!$C$5-SUM(E461,K461,Q461,W461,AC461)-SUM(IF(L461&lt;F461,I461+J461-K461,0),IF(R461&lt;F461,O461+P461-Q461,0),IF(X461&lt;F461,U461+V461-W461,0),IF(AD461&lt;F461,AA461+AB461-AC461,0)))))</x:f>
        <x:v>0</x:v>
      </x:c>
      <x:c r="H461" s="6" t="n">
        <x:f>ROUND(MAX(0,C461+D461-E461-G461),2)</x:f>
        <x:v>0</x:v>
      </x:c>
      <x:c r="I461" s="6" t="n">
        <x:f>N460</x:f>
        <x:v>0</x:v>
      </x:c>
      <x:c r="J461" s="6" t="n">
        <x:f>ROUND(I461*'Debt strategy'!$D$10/12,2)</x:f>
        <x:v>0</x:v>
      </x:c>
      <x:c r="K461" s="6" t="n">
        <x:f>MIN(I461+J461,'Debt strategy'!$E$10)</x:f>
        <x:v>0</x:v>
      </x:c>
      <x:c r="L461" s="27" t="n">
        <x:f>IF(I461+J461-K461&lt;=0,99,1+SUM(IF(AND(C461+D461-E461&gt;0,OR(C461+D461-E461&lt;I461+J461-K461,AND(C461+D461-E461=I461+J461-K461,0&lt;1))),1,0),IF(AND(O461+P461-Q461&gt;0,OR(O461+P461-Q461&lt;I461+J461-K461,AND(O461+P461-Q461=I461+J461-K461,2&lt;1))),1,0),IF(AND(U461+V461-W461&gt;0,OR(U461+V461-W461&lt;I461+J461-K461,AND(U461+V461-W461=I461+J461-K461,3&lt;1))),1,0),IF(AND(AA461+AB461-AC461&gt;0,OR(AA461+AB461-AC461&lt;I461+J461-K461,AND(AA461+AB461-AC461=I461+J461-K461,4&lt;1))),1,0)))</x:f>
        <x:v>99</x:v>
      </x:c>
      <x:c r="M461" s="6" t="n">
        <x:f>IF('Debt strategy'!$C$16&gt;0,0,MIN(I461+J461-K461,MAX(0,'Debt strategy'!$C$5-SUM(E461,K461,Q461,W461,AC461)-SUM(IF(F461&lt;L461,C461+D461-E461,0),IF(R461&lt;L461,O461+P461-Q461,0),IF(X461&lt;L461,U461+V461-W461,0),IF(AD461&lt;L461,AA461+AB461-AC461,0)))))</x:f>
        <x:v>0</x:v>
      </x:c>
      <x:c r="N461" s="6" t="n">
        <x:f>ROUND(MAX(0,I461+J461-K461-M461),2)</x:f>
        <x:v>0</x:v>
      </x:c>
      <x:c r="O461" s="6" t="n">
        <x:f>T460</x:f>
        <x:v>0</x:v>
      </x:c>
      <x:c r="P461" s="6" t="n">
        <x:f>ROUND(O461*'Debt strategy'!$D$11/12,2)</x:f>
        <x:v>0</x:v>
      </x:c>
      <x:c r="Q461" s="6" t="n">
        <x:f>MIN(O461+P461,'Debt strategy'!$E$11)</x:f>
        <x:v>0</x:v>
      </x:c>
      <x:c r="R461" s="27" t="n">
        <x:f>IF(O461+P461-Q461&lt;=0,99,1+SUM(IF(AND(C461+D461-E461&gt;0,OR(C461+D461-E461&lt;O461+P461-Q461,AND(C461+D461-E461=O461+P461-Q461,0&lt;2))),1,0),IF(AND(I461+J461-K461&gt;0,OR(I461+J461-K461&lt;O461+P461-Q461,AND(I461+J461-K461=O461+P461-Q461,1&lt;2))),1,0),IF(AND(U461+V461-W461&gt;0,OR(U461+V461-W461&lt;O461+P461-Q461,AND(U461+V461-W461=O461+P461-Q461,3&lt;2))),1,0),IF(AND(AA461+AB461-AC461&gt;0,OR(AA461+AB461-AC461&lt;O461+P461-Q461,AND(AA461+AB461-AC461=O461+P461-Q461,4&lt;2))),1,0)))</x:f>
        <x:v>99</x:v>
      </x:c>
      <x:c r="S461" s="6" t="n">
        <x:f>IF('Debt strategy'!$C$16&gt;0,0,MIN(O461+P461-Q461,MAX(0,'Debt strategy'!$C$5-SUM(E461,K461,Q461,W461,AC461)-SUM(IF(F461&lt;R461,C461+D461-E461,0),IF(L461&lt;R461,I461+J461-K461,0),IF(X461&lt;R461,U461+V461-W461,0),IF(AD461&lt;R461,AA461+AB461-AC461,0)))))</x:f>
        <x:v>0</x:v>
      </x:c>
      <x:c r="T461" s="6" t="n">
        <x:f>ROUND(MAX(0,O461+P461-Q461-S461),2)</x:f>
        <x:v>0</x:v>
      </x:c>
      <x:c r="U461" s="6" t="n">
        <x:f>Z460</x:f>
        <x:v>0</x:v>
      </x:c>
      <x:c r="V461" s="6" t="n">
        <x:f>ROUND(U461*'Debt strategy'!$D$12/12,2)</x:f>
        <x:v>0</x:v>
      </x:c>
      <x:c r="W461" s="6" t="n">
        <x:f>MIN(U461+V461,'Debt strategy'!$E$12)</x:f>
        <x:v>0</x:v>
      </x:c>
      <x:c r="X461" s="27" t="n">
        <x:f>IF(U461+V461-W461&lt;=0,99,1+SUM(IF(AND(C461+D461-E461&gt;0,OR(C461+D461-E461&lt;U461+V461-W461,AND(C461+D461-E461=U461+V461-W461,0&lt;3))),1,0),IF(AND(I461+J461-K461&gt;0,OR(I461+J461-K461&lt;U461+V461-W461,AND(I461+J461-K461=U461+V461-W461,1&lt;3))),1,0),IF(AND(O461+P461-Q461&gt;0,OR(O461+P461-Q461&lt;U461+V461-W461,AND(O461+P461-Q461=U461+V461-W461,2&lt;3))),1,0),IF(AND(AA461+AB461-AC461&gt;0,OR(AA461+AB461-AC461&lt;U461+V461-W461,AND(AA461+AB461-AC461=U461+V461-W461,4&lt;3))),1,0)))</x:f>
        <x:v>99</x:v>
      </x:c>
      <x:c r="Y461" s="6" t="n">
        <x:f>IF('Debt strategy'!$C$16&gt;0,0,MIN(U461+V461-W461,MAX(0,'Debt strategy'!$C$5-SUM(E461,K461,Q461,W461,AC461)-SUM(IF(F461&lt;X461,C461+D461-E461,0),IF(L461&lt;X461,I461+J461-K461,0),IF(R461&lt;X461,O461+P461-Q461,0),IF(AD461&lt;X461,AA461+AB461-AC461,0)))))</x:f>
        <x:v>0</x:v>
      </x:c>
      <x:c r="Z461" s="6" t="n">
        <x:f>ROUND(MAX(0,U461+V461-W461-Y461),2)</x:f>
        <x:v>0</x:v>
      </x:c>
      <x:c r="AA461" s="6" t="n">
        <x:f>AF460</x:f>
        <x:v>0</x:v>
      </x:c>
      <x:c r="AB461" s="6" t="n">
        <x:f>ROUND(AA461*'Debt strategy'!$D$13/12,2)</x:f>
        <x:v>0</x:v>
      </x:c>
      <x:c r="AC461" s="6" t="n">
        <x:f>MIN(AA461+AB461,'Debt strategy'!$E$13)</x:f>
        <x:v>0</x:v>
      </x:c>
      <x:c r="AD461" s="27" t="n">
        <x:f>IF(AA461+AB461-AC461&lt;=0,99,1+SUM(IF(AND(C461+D461-E461&gt;0,OR(C461+D461-E461&lt;AA461+AB461-AC461,AND(C461+D461-E461=AA461+AB461-AC461,0&lt;4))),1,0),IF(AND(I461+J461-K461&gt;0,OR(I461+J461-K461&lt;AA461+AB461-AC461,AND(I461+J461-K461=AA461+AB461-AC461,1&lt;4))),1,0),IF(AND(O461+P461-Q461&gt;0,OR(O461+P461-Q461&lt;AA461+AB461-AC461,AND(O461+P461-Q461=AA461+AB461-AC461,2&lt;4))),1,0),IF(AND(U461+V461-W461&gt;0,OR(U461+V461-W461&lt;AA461+AB461-AC461,AND(U461+V461-W461=AA461+AB461-AC461,3&lt;4))),1,0)))</x:f>
        <x:v>99</x:v>
      </x:c>
      <x:c r="AE461" s="6" t="n">
        <x:f>IF('Debt strategy'!$C$16&gt;0,0,MIN(AA461+AB461-AC461,MAX(0,'Debt strategy'!$C$5-SUM(E461,K461,Q461,W461,AC461)-SUM(IF(F461&lt;AD461,C461+D461-E461,0),IF(L461&lt;AD461,I461+J461-K461,0),IF(R461&lt;AD461,O461+P461-Q461,0),IF(X461&lt;AD461,U461+V461-W461,0)))))</x:f>
        <x:v>0</x:v>
      </x:c>
      <x:c r="AF461" s="6" t="n">
        <x:f>ROUND(MAX(0,AA461+AB461-AC461-AE461),2)</x:f>
        <x:v>0</x:v>
      </x:c>
      <x:c r="AG461" s="6" t="n">
        <x:f>SUM(H461,N461,T461,Z461,AF461)</x:f>
        <x:v>0</x:v>
      </x:c>
      <x:c r="AH461" s="6" t="n">
        <x:f>SUM(D461,J461,P461,V461,AB461)+AH460</x:f>
        <x:v>1353.9499999999996</x:v>
      </x:c>
      <x:c r="AI461" s="2"/>
    </x:row>
    <x:row r="462" ht="23" customHeight="1">
      <x:c r="B462" s="2" t="n">
        <x:f>454</x:f>
        <x:v>454</x:v>
      </x:c>
      <x:c r="C462" s="6" t="n">
        <x:f>H461</x:f>
        <x:v>0</x:v>
      </x:c>
      <x:c r="D462" s="6" t="n">
        <x:f>ROUND(C462*'Debt strategy'!$D$9/12,2)</x:f>
        <x:v>0</x:v>
      </x:c>
      <x:c r="E462" s="6" t="n">
        <x:f>MIN(C462+D462,'Debt strategy'!$E$9)</x:f>
        <x:v>0</x:v>
      </x:c>
      <x:c r="F462" s="27" t="n">
        <x:f>IF(C462+D462-E462&lt;=0,99,1+SUM(IF(AND(I462+J462-K462&gt;0,OR(I462+J462-K462&lt;C462+D462-E462,AND(I462+J462-K462=C462+D462-E462,1&lt;0))),1,0),IF(AND(O462+P462-Q462&gt;0,OR(O462+P462-Q462&lt;C462+D462-E462,AND(O462+P462-Q462=C462+D462-E462,2&lt;0))),1,0),IF(AND(U462+V462-W462&gt;0,OR(U462+V462-W462&lt;C462+D462-E462,AND(U462+V462-W462=C462+D462-E462,3&lt;0))),1,0),IF(AND(AA462+AB462-AC462&gt;0,OR(AA462+AB462-AC462&lt;C462+D462-E462,AND(AA462+AB462-AC462=C462+D462-E462,4&lt;0))),1,0)))</x:f>
        <x:v>99</x:v>
      </x:c>
      <x:c r="G462" s="6" t="n">
        <x:f>IF('Debt strategy'!$C$16&gt;0,0,MIN(C462+D462-E462,MAX(0,'Debt strategy'!$C$5-SUM(E462,K462,Q462,W462,AC462)-SUM(IF(L462&lt;F462,I462+J462-K462,0),IF(R462&lt;F462,O462+P462-Q462,0),IF(X462&lt;F462,U462+V462-W462,0),IF(AD462&lt;F462,AA462+AB462-AC462,0)))))</x:f>
        <x:v>0</x:v>
      </x:c>
      <x:c r="H462" s="6" t="n">
        <x:f>ROUND(MAX(0,C462+D462-E462-G462),2)</x:f>
        <x:v>0</x:v>
      </x:c>
      <x:c r="I462" s="6" t="n">
        <x:f>N461</x:f>
        <x:v>0</x:v>
      </x:c>
      <x:c r="J462" s="6" t="n">
        <x:f>ROUND(I462*'Debt strategy'!$D$10/12,2)</x:f>
        <x:v>0</x:v>
      </x:c>
      <x:c r="K462" s="6" t="n">
        <x:f>MIN(I462+J462,'Debt strategy'!$E$10)</x:f>
        <x:v>0</x:v>
      </x:c>
      <x:c r="L462" s="27" t="n">
        <x:f>IF(I462+J462-K462&lt;=0,99,1+SUM(IF(AND(C462+D462-E462&gt;0,OR(C462+D462-E462&lt;I462+J462-K462,AND(C462+D462-E462=I462+J462-K462,0&lt;1))),1,0),IF(AND(O462+P462-Q462&gt;0,OR(O462+P462-Q462&lt;I462+J462-K462,AND(O462+P462-Q462=I462+J462-K462,2&lt;1))),1,0),IF(AND(U462+V462-W462&gt;0,OR(U462+V462-W462&lt;I462+J462-K462,AND(U462+V462-W462=I462+J462-K462,3&lt;1))),1,0),IF(AND(AA462+AB462-AC462&gt;0,OR(AA462+AB462-AC462&lt;I462+J462-K462,AND(AA462+AB462-AC462=I462+J462-K462,4&lt;1))),1,0)))</x:f>
        <x:v>99</x:v>
      </x:c>
      <x:c r="M462" s="6" t="n">
        <x:f>IF('Debt strategy'!$C$16&gt;0,0,MIN(I462+J462-K462,MAX(0,'Debt strategy'!$C$5-SUM(E462,K462,Q462,W462,AC462)-SUM(IF(F462&lt;L462,C462+D462-E462,0),IF(R462&lt;L462,O462+P462-Q462,0),IF(X462&lt;L462,U462+V462-W462,0),IF(AD462&lt;L462,AA462+AB462-AC462,0)))))</x:f>
        <x:v>0</x:v>
      </x:c>
      <x:c r="N462" s="6" t="n">
        <x:f>ROUND(MAX(0,I462+J462-K462-M462),2)</x:f>
        <x:v>0</x:v>
      </x:c>
      <x:c r="O462" s="6" t="n">
        <x:f>T461</x:f>
        <x:v>0</x:v>
      </x:c>
      <x:c r="P462" s="6" t="n">
        <x:f>ROUND(O462*'Debt strategy'!$D$11/12,2)</x:f>
        <x:v>0</x:v>
      </x:c>
      <x:c r="Q462" s="6" t="n">
        <x:f>MIN(O462+P462,'Debt strategy'!$E$11)</x:f>
        <x:v>0</x:v>
      </x:c>
      <x:c r="R462" s="27" t="n">
        <x:f>IF(O462+P462-Q462&lt;=0,99,1+SUM(IF(AND(C462+D462-E462&gt;0,OR(C462+D462-E462&lt;O462+P462-Q462,AND(C462+D462-E462=O462+P462-Q462,0&lt;2))),1,0),IF(AND(I462+J462-K462&gt;0,OR(I462+J462-K462&lt;O462+P462-Q462,AND(I462+J462-K462=O462+P462-Q462,1&lt;2))),1,0),IF(AND(U462+V462-W462&gt;0,OR(U462+V462-W462&lt;O462+P462-Q462,AND(U462+V462-W462=O462+P462-Q462,3&lt;2))),1,0),IF(AND(AA462+AB462-AC462&gt;0,OR(AA462+AB462-AC462&lt;O462+P462-Q462,AND(AA462+AB462-AC462=O462+P462-Q462,4&lt;2))),1,0)))</x:f>
        <x:v>99</x:v>
      </x:c>
      <x:c r="S462" s="6" t="n">
        <x:f>IF('Debt strategy'!$C$16&gt;0,0,MIN(O462+P462-Q462,MAX(0,'Debt strategy'!$C$5-SUM(E462,K462,Q462,W462,AC462)-SUM(IF(F462&lt;R462,C462+D462-E462,0),IF(L462&lt;R462,I462+J462-K462,0),IF(X462&lt;R462,U462+V462-W462,0),IF(AD462&lt;R462,AA462+AB462-AC462,0)))))</x:f>
        <x:v>0</x:v>
      </x:c>
      <x:c r="T462" s="6" t="n">
        <x:f>ROUND(MAX(0,O462+P462-Q462-S462),2)</x:f>
        <x:v>0</x:v>
      </x:c>
      <x:c r="U462" s="6" t="n">
        <x:f>Z461</x:f>
        <x:v>0</x:v>
      </x:c>
      <x:c r="V462" s="6" t="n">
        <x:f>ROUND(U462*'Debt strategy'!$D$12/12,2)</x:f>
        <x:v>0</x:v>
      </x:c>
      <x:c r="W462" s="6" t="n">
        <x:f>MIN(U462+V462,'Debt strategy'!$E$12)</x:f>
        <x:v>0</x:v>
      </x:c>
      <x:c r="X462" s="27" t="n">
        <x:f>IF(U462+V462-W462&lt;=0,99,1+SUM(IF(AND(C462+D462-E462&gt;0,OR(C462+D462-E462&lt;U462+V462-W462,AND(C462+D462-E462=U462+V462-W462,0&lt;3))),1,0),IF(AND(I462+J462-K462&gt;0,OR(I462+J462-K462&lt;U462+V462-W462,AND(I462+J462-K462=U462+V462-W462,1&lt;3))),1,0),IF(AND(O462+P462-Q462&gt;0,OR(O462+P462-Q462&lt;U462+V462-W462,AND(O462+P462-Q462=U462+V462-W462,2&lt;3))),1,0),IF(AND(AA462+AB462-AC462&gt;0,OR(AA462+AB462-AC462&lt;U462+V462-W462,AND(AA462+AB462-AC462=U462+V462-W462,4&lt;3))),1,0)))</x:f>
        <x:v>99</x:v>
      </x:c>
      <x:c r="Y462" s="6" t="n">
        <x:f>IF('Debt strategy'!$C$16&gt;0,0,MIN(U462+V462-W462,MAX(0,'Debt strategy'!$C$5-SUM(E462,K462,Q462,W462,AC462)-SUM(IF(F462&lt;X462,C462+D462-E462,0),IF(L462&lt;X462,I462+J462-K462,0),IF(R462&lt;X462,O462+P462-Q462,0),IF(AD462&lt;X462,AA462+AB462-AC462,0)))))</x:f>
        <x:v>0</x:v>
      </x:c>
      <x:c r="Z462" s="6" t="n">
        <x:f>ROUND(MAX(0,U462+V462-W462-Y462),2)</x:f>
        <x:v>0</x:v>
      </x:c>
      <x:c r="AA462" s="6" t="n">
        <x:f>AF461</x:f>
        <x:v>0</x:v>
      </x:c>
      <x:c r="AB462" s="6" t="n">
        <x:f>ROUND(AA462*'Debt strategy'!$D$13/12,2)</x:f>
        <x:v>0</x:v>
      </x:c>
      <x:c r="AC462" s="6" t="n">
        <x:f>MIN(AA462+AB462,'Debt strategy'!$E$13)</x:f>
        <x:v>0</x:v>
      </x:c>
      <x:c r="AD462" s="27" t="n">
        <x:f>IF(AA462+AB462-AC462&lt;=0,99,1+SUM(IF(AND(C462+D462-E462&gt;0,OR(C462+D462-E462&lt;AA462+AB462-AC462,AND(C462+D462-E462=AA462+AB462-AC462,0&lt;4))),1,0),IF(AND(I462+J462-K462&gt;0,OR(I462+J462-K462&lt;AA462+AB462-AC462,AND(I462+J462-K462=AA462+AB462-AC462,1&lt;4))),1,0),IF(AND(O462+P462-Q462&gt;0,OR(O462+P462-Q462&lt;AA462+AB462-AC462,AND(O462+P462-Q462=AA462+AB462-AC462,2&lt;4))),1,0),IF(AND(U462+V462-W462&gt;0,OR(U462+V462-W462&lt;AA462+AB462-AC462,AND(U462+V462-W462=AA462+AB462-AC462,3&lt;4))),1,0)))</x:f>
        <x:v>99</x:v>
      </x:c>
      <x:c r="AE462" s="6" t="n">
        <x:f>IF('Debt strategy'!$C$16&gt;0,0,MIN(AA462+AB462-AC462,MAX(0,'Debt strategy'!$C$5-SUM(E462,K462,Q462,W462,AC462)-SUM(IF(F462&lt;AD462,C462+D462-E462,0),IF(L462&lt;AD462,I462+J462-K462,0),IF(R462&lt;AD462,O462+P462-Q462,0),IF(X462&lt;AD462,U462+V462-W462,0)))))</x:f>
        <x:v>0</x:v>
      </x:c>
      <x:c r="AF462" s="6" t="n">
        <x:f>ROUND(MAX(0,AA462+AB462-AC462-AE462),2)</x:f>
        <x:v>0</x:v>
      </x:c>
      <x:c r="AG462" s="6" t="n">
        <x:f>SUM(H462,N462,T462,Z462,AF462)</x:f>
        <x:v>0</x:v>
      </x:c>
      <x:c r="AH462" s="6" t="n">
        <x:f>SUM(D462,J462,P462,V462,AB462)+AH461</x:f>
        <x:v>1353.9499999999996</x:v>
      </x:c>
      <x:c r="AI462" s="2"/>
    </x:row>
    <x:row r="463" ht="23" customHeight="1">
      <x:c r="B463" s="2" t="n">
        <x:f>455</x:f>
        <x:v>455</x:v>
      </x:c>
      <x:c r="C463" s="6" t="n">
        <x:f>H462</x:f>
        <x:v>0</x:v>
      </x:c>
      <x:c r="D463" s="6" t="n">
        <x:f>ROUND(C463*'Debt strategy'!$D$9/12,2)</x:f>
        <x:v>0</x:v>
      </x:c>
      <x:c r="E463" s="6" t="n">
        <x:f>MIN(C463+D463,'Debt strategy'!$E$9)</x:f>
        <x:v>0</x:v>
      </x:c>
      <x:c r="F463" s="27" t="n">
        <x:f>IF(C463+D463-E463&lt;=0,99,1+SUM(IF(AND(I463+J463-K463&gt;0,OR(I463+J463-K463&lt;C463+D463-E463,AND(I463+J463-K463=C463+D463-E463,1&lt;0))),1,0),IF(AND(O463+P463-Q463&gt;0,OR(O463+P463-Q463&lt;C463+D463-E463,AND(O463+P463-Q463=C463+D463-E463,2&lt;0))),1,0),IF(AND(U463+V463-W463&gt;0,OR(U463+V463-W463&lt;C463+D463-E463,AND(U463+V463-W463=C463+D463-E463,3&lt;0))),1,0),IF(AND(AA463+AB463-AC463&gt;0,OR(AA463+AB463-AC463&lt;C463+D463-E463,AND(AA463+AB463-AC463=C463+D463-E463,4&lt;0))),1,0)))</x:f>
        <x:v>99</x:v>
      </x:c>
      <x:c r="G463" s="6" t="n">
        <x:f>IF('Debt strategy'!$C$16&gt;0,0,MIN(C463+D463-E463,MAX(0,'Debt strategy'!$C$5-SUM(E463,K463,Q463,W463,AC463)-SUM(IF(L463&lt;F463,I463+J463-K463,0),IF(R463&lt;F463,O463+P463-Q463,0),IF(X463&lt;F463,U463+V463-W463,0),IF(AD463&lt;F463,AA463+AB463-AC463,0)))))</x:f>
        <x:v>0</x:v>
      </x:c>
      <x:c r="H463" s="6" t="n">
        <x:f>ROUND(MAX(0,C463+D463-E463-G463),2)</x:f>
        <x:v>0</x:v>
      </x:c>
      <x:c r="I463" s="6" t="n">
        <x:f>N462</x:f>
        <x:v>0</x:v>
      </x:c>
      <x:c r="J463" s="6" t="n">
        <x:f>ROUND(I463*'Debt strategy'!$D$10/12,2)</x:f>
        <x:v>0</x:v>
      </x:c>
      <x:c r="K463" s="6" t="n">
        <x:f>MIN(I463+J463,'Debt strategy'!$E$10)</x:f>
        <x:v>0</x:v>
      </x:c>
      <x:c r="L463" s="27" t="n">
        <x:f>IF(I463+J463-K463&lt;=0,99,1+SUM(IF(AND(C463+D463-E463&gt;0,OR(C463+D463-E463&lt;I463+J463-K463,AND(C463+D463-E463=I463+J463-K463,0&lt;1))),1,0),IF(AND(O463+P463-Q463&gt;0,OR(O463+P463-Q463&lt;I463+J463-K463,AND(O463+P463-Q463=I463+J463-K463,2&lt;1))),1,0),IF(AND(U463+V463-W463&gt;0,OR(U463+V463-W463&lt;I463+J463-K463,AND(U463+V463-W463=I463+J463-K463,3&lt;1))),1,0),IF(AND(AA463+AB463-AC463&gt;0,OR(AA463+AB463-AC463&lt;I463+J463-K463,AND(AA463+AB463-AC463=I463+J463-K463,4&lt;1))),1,0)))</x:f>
        <x:v>99</x:v>
      </x:c>
      <x:c r="M463" s="6" t="n">
        <x:f>IF('Debt strategy'!$C$16&gt;0,0,MIN(I463+J463-K463,MAX(0,'Debt strategy'!$C$5-SUM(E463,K463,Q463,W463,AC463)-SUM(IF(F463&lt;L463,C463+D463-E463,0),IF(R463&lt;L463,O463+P463-Q463,0),IF(X463&lt;L463,U463+V463-W463,0),IF(AD463&lt;L463,AA463+AB463-AC463,0)))))</x:f>
        <x:v>0</x:v>
      </x:c>
      <x:c r="N463" s="6" t="n">
        <x:f>ROUND(MAX(0,I463+J463-K463-M463),2)</x:f>
        <x:v>0</x:v>
      </x:c>
      <x:c r="O463" s="6" t="n">
        <x:f>T462</x:f>
        <x:v>0</x:v>
      </x:c>
      <x:c r="P463" s="6" t="n">
        <x:f>ROUND(O463*'Debt strategy'!$D$11/12,2)</x:f>
        <x:v>0</x:v>
      </x:c>
      <x:c r="Q463" s="6" t="n">
        <x:f>MIN(O463+P463,'Debt strategy'!$E$11)</x:f>
        <x:v>0</x:v>
      </x:c>
      <x:c r="R463" s="27" t="n">
        <x:f>IF(O463+P463-Q463&lt;=0,99,1+SUM(IF(AND(C463+D463-E463&gt;0,OR(C463+D463-E463&lt;O463+P463-Q463,AND(C463+D463-E463=O463+P463-Q463,0&lt;2))),1,0),IF(AND(I463+J463-K463&gt;0,OR(I463+J463-K463&lt;O463+P463-Q463,AND(I463+J463-K463=O463+P463-Q463,1&lt;2))),1,0),IF(AND(U463+V463-W463&gt;0,OR(U463+V463-W463&lt;O463+P463-Q463,AND(U463+V463-W463=O463+P463-Q463,3&lt;2))),1,0),IF(AND(AA463+AB463-AC463&gt;0,OR(AA463+AB463-AC463&lt;O463+P463-Q463,AND(AA463+AB463-AC463=O463+P463-Q463,4&lt;2))),1,0)))</x:f>
        <x:v>99</x:v>
      </x:c>
      <x:c r="S463" s="6" t="n">
        <x:f>IF('Debt strategy'!$C$16&gt;0,0,MIN(O463+P463-Q463,MAX(0,'Debt strategy'!$C$5-SUM(E463,K463,Q463,W463,AC463)-SUM(IF(F463&lt;R463,C463+D463-E463,0),IF(L463&lt;R463,I463+J463-K463,0),IF(X463&lt;R463,U463+V463-W463,0),IF(AD463&lt;R463,AA463+AB463-AC463,0)))))</x:f>
        <x:v>0</x:v>
      </x:c>
      <x:c r="T463" s="6" t="n">
        <x:f>ROUND(MAX(0,O463+P463-Q463-S463),2)</x:f>
        <x:v>0</x:v>
      </x:c>
      <x:c r="U463" s="6" t="n">
        <x:f>Z462</x:f>
        <x:v>0</x:v>
      </x:c>
      <x:c r="V463" s="6" t="n">
        <x:f>ROUND(U463*'Debt strategy'!$D$12/12,2)</x:f>
        <x:v>0</x:v>
      </x:c>
      <x:c r="W463" s="6" t="n">
        <x:f>MIN(U463+V463,'Debt strategy'!$E$12)</x:f>
        <x:v>0</x:v>
      </x:c>
      <x:c r="X463" s="27" t="n">
        <x:f>IF(U463+V463-W463&lt;=0,99,1+SUM(IF(AND(C463+D463-E463&gt;0,OR(C463+D463-E463&lt;U463+V463-W463,AND(C463+D463-E463=U463+V463-W463,0&lt;3))),1,0),IF(AND(I463+J463-K463&gt;0,OR(I463+J463-K463&lt;U463+V463-W463,AND(I463+J463-K463=U463+V463-W463,1&lt;3))),1,0),IF(AND(O463+P463-Q463&gt;0,OR(O463+P463-Q463&lt;U463+V463-W463,AND(O463+P463-Q463=U463+V463-W463,2&lt;3))),1,0),IF(AND(AA463+AB463-AC463&gt;0,OR(AA463+AB463-AC463&lt;U463+V463-W463,AND(AA463+AB463-AC463=U463+V463-W463,4&lt;3))),1,0)))</x:f>
        <x:v>99</x:v>
      </x:c>
      <x:c r="Y463" s="6" t="n">
        <x:f>IF('Debt strategy'!$C$16&gt;0,0,MIN(U463+V463-W463,MAX(0,'Debt strategy'!$C$5-SUM(E463,K463,Q463,W463,AC463)-SUM(IF(F463&lt;X463,C463+D463-E463,0),IF(L463&lt;X463,I463+J463-K463,0),IF(R463&lt;X463,O463+P463-Q463,0),IF(AD463&lt;X463,AA463+AB463-AC463,0)))))</x:f>
        <x:v>0</x:v>
      </x:c>
      <x:c r="Z463" s="6" t="n">
        <x:f>ROUND(MAX(0,U463+V463-W463-Y463),2)</x:f>
        <x:v>0</x:v>
      </x:c>
      <x:c r="AA463" s="6" t="n">
        <x:f>AF462</x:f>
        <x:v>0</x:v>
      </x:c>
      <x:c r="AB463" s="6" t="n">
        <x:f>ROUND(AA463*'Debt strategy'!$D$13/12,2)</x:f>
        <x:v>0</x:v>
      </x:c>
      <x:c r="AC463" s="6" t="n">
        <x:f>MIN(AA463+AB463,'Debt strategy'!$E$13)</x:f>
        <x:v>0</x:v>
      </x:c>
      <x:c r="AD463" s="27" t="n">
        <x:f>IF(AA463+AB463-AC463&lt;=0,99,1+SUM(IF(AND(C463+D463-E463&gt;0,OR(C463+D463-E463&lt;AA463+AB463-AC463,AND(C463+D463-E463=AA463+AB463-AC463,0&lt;4))),1,0),IF(AND(I463+J463-K463&gt;0,OR(I463+J463-K463&lt;AA463+AB463-AC463,AND(I463+J463-K463=AA463+AB463-AC463,1&lt;4))),1,0),IF(AND(O463+P463-Q463&gt;0,OR(O463+P463-Q463&lt;AA463+AB463-AC463,AND(O463+P463-Q463=AA463+AB463-AC463,2&lt;4))),1,0),IF(AND(U463+V463-W463&gt;0,OR(U463+V463-W463&lt;AA463+AB463-AC463,AND(U463+V463-W463=AA463+AB463-AC463,3&lt;4))),1,0)))</x:f>
        <x:v>99</x:v>
      </x:c>
      <x:c r="AE463" s="6" t="n">
        <x:f>IF('Debt strategy'!$C$16&gt;0,0,MIN(AA463+AB463-AC463,MAX(0,'Debt strategy'!$C$5-SUM(E463,K463,Q463,W463,AC463)-SUM(IF(F463&lt;AD463,C463+D463-E463,0),IF(L463&lt;AD463,I463+J463-K463,0),IF(R463&lt;AD463,O463+P463-Q463,0),IF(X463&lt;AD463,U463+V463-W463,0)))))</x:f>
        <x:v>0</x:v>
      </x:c>
      <x:c r="AF463" s="6" t="n">
        <x:f>ROUND(MAX(0,AA463+AB463-AC463-AE463),2)</x:f>
        <x:v>0</x:v>
      </x:c>
      <x:c r="AG463" s="6" t="n">
        <x:f>SUM(H463,N463,T463,Z463,AF463)</x:f>
        <x:v>0</x:v>
      </x:c>
      <x:c r="AH463" s="6" t="n">
        <x:f>SUM(D463,J463,P463,V463,AB463)+AH462</x:f>
        <x:v>1353.9499999999996</x:v>
      </x:c>
      <x:c r="AI463" s="2"/>
    </x:row>
    <x:row r="464" ht="23" customHeight="1">
      <x:c r="B464" s="2" t="n">
        <x:f>456</x:f>
        <x:v>456</x:v>
      </x:c>
      <x:c r="C464" s="6" t="n">
        <x:f>H463</x:f>
        <x:v>0</x:v>
      </x:c>
      <x:c r="D464" s="6" t="n">
        <x:f>ROUND(C464*'Debt strategy'!$D$9/12,2)</x:f>
        <x:v>0</x:v>
      </x:c>
      <x:c r="E464" s="6" t="n">
        <x:f>MIN(C464+D464,'Debt strategy'!$E$9)</x:f>
        <x:v>0</x:v>
      </x:c>
      <x:c r="F464" s="27" t="n">
        <x:f>IF(C464+D464-E464&lt;=0,99,1+SUM(IF(AND(I464+J464-K464&gt;0,OR(I464+J464-K464&lt;C464+D464-E464,AND(I464+J464-K464=C464+D464-E464,1&lt;0))),1,0),IF(AND(O464+P464-Q464&gt;0,OR(O464+P464-Q464&lt;C464+D464-E464,AND(O464+P464-Q464=C464+D464-E464,2&lt;0))),1,0),IF(AND(U464+V464-W464&gt;0,OR(U464+V464-W464&lt;C464+D464-E464,AND(U464+V464-W464=C464+D464-E464,3&lt;0))),1,0),IF(AND(AA464+AB464-AC464&gt;0,OR(AA464+AB464-AC464&lt;C464+D464-E464,AND(AA464+AB464-AC464=C464+D464-E464,4&lt;0))),1,0)))</x:f>
        <x:v>99</x:v>
      </x:c>
      <x:c r="G464" s="6" t="n">
        <x:f>IF('Debt strategy'!$C$16&gt;0,0,MIN(C464+D464-E464,MAX(0,'Debt strategy'!$C$5-SUM(E464,K464,Q464,W464,AC464)-SUM(IF(L464&lt;F464,I464+J464-K464,0),IF(R464&lt;F464,O464+P464-Q464,0),IF(X464&lt;F464,U464+V464-W464,0),IF(AD464&lt;F464,AA464+AB464-AC464,0)))))</x:f>
        <x:v>0</x:v>
      </x:c>
      <x:c r="H464" s="6" t="n">
        <x:f>ROUND(MAX(0,C464+D464-E464-G464),2)</x:f>
        <x:v>0</x:v>
      </x:c>
      <x:c r="I464" s="6" t="n">
        <x:f>N463</x:f>
        <x:v>0</x:v>
      </x:c>
      <x:c r="J464" s="6" t="n">
        <x:f>ROUND(I464*'Debt strategy'!$D$10/12,2)</x:f>
        <x:v>0</x:v>
      </x:c>
      <x:c r="K464" s="6" t="n">
        <x:f>MIN(I464+J464,'Debt strategy'!$E$10)</x:f>
        <x:v>0</x:v>
      </x:c>
      <x:c r="L464" s="27" t="n">
        <x:f>IF(I464+J464-K464&lt;=0,99,1+SUM(IF(AND(C464+D464-E464&gt;0,OR(C464+D464-E464&lt;I464+J464-K464,AND(C464+D464-E464=I464+J464-K464,0&lt;1))),1,0),IF(AND(O464+P464-Q464&gt;0,OR(O464+P464-Q464&lt;I464+J464-K464,AND(O464+P464-Q464=I464+J464-K464,2&lt;1))),1,0),IF(AND(U464+V464-W464&gt;0,OR(U464+V464-W464&lt;I464+J464-K464,AND(U464+V464-W464=I464+J464-K464,3&lt;1))),1,0),IF(AND(AA464+AB464-AC464&gt;0,OR(AA464+AB464-AC464&lt;I464+J464-K464,AND(AA464+AB464-AC464=I464+J464-K464,4&lt;1))),1,0)))</x:f>
        <x:v>99</x:v>
      </x:c>
      <x:c r="M464" s="6" t="n">
        <x:f>IF('Debt strategy'!$C$16&gt;0,0,MIN(I464+J464-K464,MAX(0,'Debt strategy'!$C$5-SUM(E464,K464,Q464,W464,AC464)-SUM(IF(F464&lt;L464,C464+D464-E464,0),IF(R464&lt;L464,O464+P464-Q464,0),IF(X464&lt;L464,U464+V464-W464,0),IF(AD464&lt;L464,AA464+AB464-AC464,0)))))</x:f>
        <x:v>0</x:v>
      </x:c>
      <x:c r="N464" s="6" t="n">
        <x:f>ROUND(MAX(0,I464+J464-K464-M464),2)</x:f>
        <x:v>0</x:v>
      </x:c>
      <x:c r="O464" s="6" t="n">
        <x:f>T463</x:f>
        <x:v>0</x:v>
      </x:c>
      <x:c r="P464" s="6" t="n">
        <x:f>ROUND(O464*'Debt strategy'!$D$11/12,2)</x:f>
        <x:v>0</x:v>
      </x:c>
      <x:c r="Q464" s="6" t="n">
        <x:f>MIN(O464+P464,'Debt strategy'!$E$11)</x:f>
        <x:v>0</x:v>
      </x:c>
      <x:c r="R464" s="27" t="n">
        <x:f>IF(O464+P464-Q464&lt;=0,99,1+SUM(IF(AND(C464+D464-E464&gt;0,OR(C464+D464-E464&lt;O464+P464-Q464,AND(C464+D464-E464=O464+P464-Q464,0&lt;2))),1,0),IF(AND(I464+J464-K464&gt;0,OR(I464+J464-K464&lt;O464+P464-Q464,AND(I464+J464-K464=O464+P464-Q464,1&lt;2))),1,0),IF(AND(U464+V464-W464&gt;0,OR(U464+V464-W464&lt;O464+P464-Q464,AND(U464+V464-W464=O464+P464-Q464,3&lt;2))),1,0),IF(AND(AA464+AB464-AC464&gt;0,OR(AA464+AB464-AC464&lt;O464+P464-Q464,AND(AA464+AB464-AC464=O464+P464-Q464,4&lt;2))),1,0)))</x:f>
        <x:v>99</x:v>
      </x:c>
      <x:c r="S464" s="6" t="n">
        <x:f>IF('Debt strategy'!$C$16&gt;0,0,MIN(O464+P464-Q464,MAX(0,'Debt strategy'!$C$5-SUM(E464,K464,Q464,W464,AC464)-SUM(IF(F464&lt;R464,C464+D464-E464,0),IF(L464&lt;R464,I464+J464-K464,0),IF(X464&lt;R464,U464+V464-W464,0),IF(AD464&lt;R464,AA464+AB464-AC464,0)))))</x:f>
        <x:v>0</x:v>
      </x:c>
      <x:c r="T464" s="6" t="n">
        <x:f>ROUND(MAX(0,O464+P464-Q464-S464),2)</x:f>
        <x:v>0</x:v>
      </x:c>
      <x:c r="U464" s="6" t="n">
        <x:f>Z463</x:f>
        <x:v>0</x:v>
      </x:c>
      <x:c r="V464" s="6" t="n">
        <x:f>ROUND(U464*'Debt strategy'!$D$12/12,2)</x:f>
        <x:v>0</x:v>
      </x:c>
      <x:c r="W464" s="6" t="n">
        <x:f>MIN(U464+V464,'Debt strategy'!$E$12)</x:f>
        <x:v>0</x:v>
      </x:c>
      <x:c r="X464" s="27" t="n">
        <x:f>IF(U464+V464-W464&lt;=0,99,1+SUM(IF(AND(C464+D464-E464&gt;0,OR(C464+D464-E464&lt;U464+V464-W464,AND(C464+D464-E464=U464+V464-W464,0&lt;3))),1,0),IF(AND(I464+J464-K464&gt;0,OR(I464+J464-K464&lt;U464+V464-W464,AND(I464+J464-K464=U464+V464-W464,1&lt;3))),1,0),IF(AND(O464+P464-Q464&gt;0,OR(O464+P464-Q464&lt;U464+V464-W464,AND(O464+P464-Q464=U464+V464-W464,2&lt;3))),1,0),IF(AND(AA464+AB464-AC464&gt;0,OR(AA464+AB464-AC464&lt;U464+V464-W464,AND(AA464+AB464-AC464=U464+V464-W464,4&lt;3))),1,0)))</x:f>
        <x:v>99</x:v>
      </x:c>
      <x:c r="Y464" s="6" t="n">
        <x:f>IF('Debt strategy'!$C$16&gt;0,0,MIN(U464+V464-W464,MAX(0,'Debt strategy'!$C$5-SUM(E464,K464,Q464,W464,AC464)-SUM(IF(F464&lt;X464,C464+D464-E464,0),IF(L464&lt;X464,I464+J464-K464,0),IF(R464&lt;X464,O464+P464-Q464,0),IF(AD464&lt;X464,AA464+AB464-AC464,0)))))</x:f>
        <x:v>0</x:v>
      </x:c>
      <x:c r="Z464" s="6" t="n">
        <x:f>ROUND(MAX(0,U464+V464-W464-Y464),2)</x:f>
        <x:v>0</x:v>
      </x:c>
      <x:c r="AA464" s="6" t="n">
        <x:f>AF463</x:f>
        <x:v>0</x:v>
      </x:c>
      <x:c r="AB464" s="6" t="n">
        <x:f>ROUND(AA464*'Debt strategy'!$D$13/12,2)</x:f>
        <x:v>0</x:v>
      </x:c>
      <x:c r="AC464" s="6" t="n">
        <x:f>MIN(AA464+AB464,'Debt strategy'!$E$13)</x:f>
        <x:v>0</x:v>
      </x:c>
      <x:c r="AD464" s="27" t="n">
        <x:f>IF(AA464+AB464-AC464&lt;=0,99,1+SUM(IF(AND(C464+D464-E464&gt;0,OR(C464+D464-E464&lt;AA464+AB464-AC464,AND(C464+D464-E464=AA464+AB464-AC464,0&lt;4))),1,0),IF(AND(I464+J464-K464&gt;0,OR(I464+J464-K464&lt;AA464+AB464-AC464,AND(I464+J464-K464=AA464+AB464-AC464,1&lt;4))),1,0),IF(AND(O464+P464-Q464&gt;0,OR(O464+P464-Q464&lt;AA464+AB464-AC464,AND(O464+P464-Q464=AA464+AB464-AC464,2&lt;4))),1,0),IF(AND(U464+V464-W464&gt;0,OR(U464+V464-W464&lt;AA464+AB464-AC464,AND(U464+V464-W464=AA464+AB464-AC464,3&lt;4))),1,0)))</x:f>
        <x:v>99</x:v>
      </x:c>
      <x:c r="AE464" s="6" t="n">
        <x:f>IF('Debt strategy'!$C$16&gt;0,0,MIN(AA464+AB464-AC464,MAX(0,'Debt strategy'!$C$5-SUM(E464,K464,Q464,W464,AC464)-SUM(IF(F464&lt;AD464,C464+D464-E464,0),IF(L464&lt;AD464,I464+J464-K464,0),IF(R464&lt;AD464,O464+P464-Q464,0),IF(X464&lt;AD464,U464+V464-W464,0)))))</x:f>
        <x:v>0</x:v>
      </x:c>
      <x:c r="AF464" s="6" t="n">
        <x:f>ROUND(MAX(0,AA464+AB464-AC464-AE464),2)</x:f>
        <x:v>0</x:v>
      </x:c>
      <x:c r="AG464" s="6" t="n">
        <x:f>SUM(H464,N464,T464,Z464,AF464)</x:f>
        <x:v>0</x:v>
      </x:c>
      <x:c r="AH464" s="6" t="n">
        <x:f>SUM(D464,J464,P464,V464,AB464)+AH463</x:f>
        <x:v>1353.9499999999996</x:v>
      </x:c>
      <x:c r="AI464" s="2"/>
    </x:row>
    <x:row r="465" ht="23" customHeight="1">
      <x:c r="B465" s="2" t="n">
        <x:f>457</x:f>
        <x:v>457</x:v>
      </x:c>
      <x:c r="C465" s="6" t="n">
        <x:f>H464</x:f>
        <x:v>0</x:v>
      </x:c>
      <x:c r="D465" s="6" t="n">
        <x:f>ROUND(C465*'Debt strategy'!$D$9/12,2)</x:f>
        <x:v>0</x:v>
      </x:c>
      <x:c r="E465" s="6" t="n">
        <x:f>MIN(C465+D465,'Debt strategy'!$E$9)</x:f>
        <x:v>0</x:v>
      </x:c>
      <x:c r="F465" s="27" t="n">
        <x:f>IF(C465+D465-E465&lt;=0,99,1+SUM(IF(AND(I465+J465-K465&gt;0,OR(I465+J465-K465&lt;C465+D465-E465,AND(I465+J465-K465=C465+D465-E465,1&lt;0))),1,0),IF(AND(O465+P465-Q465&gt;0,OR(O465+P465-Q465&lt;C465+D465-E465,AND(O465+P465-Q465=C465+D465-E465,2&lt;0))),1,0),IF(AND(U465+V465-W465&gt;0,OR(U465+V465-W465&lt;C465+D465-E465,AND(U465+V465-W465=C465+D465-E465,3&lt;0))),1,0),IF(AND(AA465+AB465-AC465&gt;0,OR(AA465+AB465-AC465&lt;C465+D465-E465,AND(AA465+AB465-AC465=C465+D465-E465,4&lt;0))),1,0)))</x:f>
        <x:v>99</x:v>
      </x:c>
      <x:c r="G465" s="6" t="n">
        <x:f>IF('Debt strategy'!$C$16&gt;0,0,MIN(C465+D465-E465,MAX(0,'Debt strategy'!$C$5-SUM(E465,K465,Q465,W465,AC465)-SUM(IF(L465&lt;F465,I465+J465-K465,0),IF(R465&lt;F465,O465+P465-Q465,0),IF(X465&lt;F465,U465+V465-W465,0),IF(AD465&lt;F465,AA465+AB465-AC465,0)))))</x:f>
        <x:v>0</x:v>
      </x:c>
      <x:c r="H465" s="6" t="n">
        <x:f>ROUND(MAX(0,C465+D465-E465-G465),2)</x:f>
        <x:v>0</x:v>
      </x:c>
      <x:c r="I465" s="6" t="n">
        <x:f>N464</x:f>
        <x:v>0</x:v>
      </x:c>
      <x:c r="J465" s="6" t="n">
        <x:f>ROUND(I465*'Debt strategy'!$D$10/12,2)</x:f>
        <x:v>0</x:v>
      </x:c>
      <x:c r="K465" s="6" t="n">
        <x:f>MIN(I465+J465,'Debt strategy'!$E$10)</x:f>
        <x:v>0</x:v>
      </x:c>
      <x:c r="L465" s="27" t="n">
        <x:f>IF(I465+J465-K465&lt;=0,99,1+SUM(IF(AND(C465+D465-E465&gt;0,OR(C465+D465-E465&lt;I465+J465-K465,AND(C465+D465-E465=I465+J465-K465,0&lt;1))),1,0),IF(AND(O465+P465-Q465&gt;0,OR(O465+P465-Q465&lt;I465+J465-K465,AND(O465+P465-Q465=I465+J465-K465,2&lt;1))),1,0),IF(AND(U465+V465-W465&gt;0,OR(U465+V465-W465&lt;I465+J465-K465,AND(U465+V465-W465=I465+J465-K465,3&lt;1))),1,0),IF(AND(AA465+AB465-AC465&gt;0,OR(AA465+AB465-AC465&lt;I465+J465-K465,AND(AA465+AB465-AC465=I465+J465-K465,4&lt;1))),1,0)))</x:f>
        <x:v>99</x:v>
      </x:c>
      <x:c r="M465" s="6" t="n">
        <x:f>IF('Debt strategy'!$C$16&gt;0,0,MIN(I465+J465-K465,MAX(0,'Debt strategy'!$C$5-SUM(E465,K465,Q465,W465,AC465)-SUM(IF(F465&lt;L465,C465+D465-E465,0),IF(R465&lt;L465,O465+P465-Q465,0),IF(X465&lt;L465,U465+V465-W465,0),IF(AD465&lt;L465,AA465+AB465-AC465,0)))))</x:f>
        <x:v>0</x:v>
      </x:c>
      <x:c r="N465" s="6" t="n">
        <x:f>ROUND(MAX(0,I465+J465-K465-M465),2)</x:f>
        <x:v>0</x:v>
      </x:c>
      <x:c r="O465" s="6" t="n">
        <x:f>T464</x:f>
        <x:v>0</x:v>
      </x:c>
      <x:c r="P465" s="6" t="n">
        <x:f>ROUND(O465*'Debt strategy'!$D$11/12,2)</x:f>
        <x:v>0</x:v>
      </x:c>
      <x:c r="Q465" s="6" t="n">
        <x:f>MIN(O465+P465,'Debt strategy'!$E$11)</x:f>
        <x:v>0</x:v>
      </x:c>
      <x:c r="R465" s="27" t="n">
        <x:f>IF(O465+P465-Q465&lt;=0,99,1+SUM(IF(AND(C465+D465-E465&gt;0,OR(C465+D465-E465&lt;O465+P465-Q465,AND(C465+D465-E465=O465+P465-Q465,0&lt;2))),1,0),IF(AND(I465+J465-K465&gt;0,OR(I465+J465-K465&lt;O465+P465-Q465,AND(I465+J465-K465=O465+P465-Q465,1&lt;2))),1,0),IF(AND(U465+V465-W465&gt;0,OR(U465+V465-W465&lt;O465+P465-Q465,AND(U465+V465-W465=O465+P465-Q465,3&lt;2))),1,0),IF(AND(AA465+AB465-AC465&gt;0,OR(AA465+AB465-AC465&lt;O465+P465-Q465,AND(AA465+AB465-AC465=O465+P465-Q465,4&lt;2))),1,0)))</x:f>
        <x:v>99</x:v>
      </x:c>
      <x:c r="S465" s="6" t="n">
        <x:f>IF('Debt strategy'!$C$16&gt;0,0,MIN(O465+P465-Q465,MAX(0,'Debt strategy'!$C$5-SUM(E465,K465,Q465,W465,AC465)-SUM(IF(F465&lt;R465,C465+D465-E465,0),IF(L465&lt;R465,I465+J465-K465,0),IF(X465&lt;R465,U465+V465-W465,0),IF(AD465&lt;R465,AA465+AB465-AC465,0)))))</x:f>
        <x:v>0</x:v>
      </x:c>
      <x:c r="T465" s="6" t="n">
        <x:f>ROUND(MAX(0,O465+P465-Q465-S465),2)</x:f>
        <x:v>0</x:v>
      </x:c>
      <x:c r="U465" s="6" t="n">
        <x:f>Z464</x:f>
        <x:v>0</x:v>
      </x:c>
      <x:c r="V465" s="6" t="n">
        <x:f>ROUND(U465*'Debt strategy'!$D$12/12,2)</x:f>
        <x:v>0</x:v>
      </x:c>
      <x:c r="W465" s="6" t="n">
        <x:f>MIN(U465+V465,'Debt strategy'!$E$12)</x:f>
        <x:v>0</x:v>
      </x:c>
      <x:c r="X465" s="27" t="n">
        <x:f>IF(U465+V465-W465&lt;=0,99,1+SUM(IF(AND(C465+D465-E465&gt;0,OR(C465+D465-E465&lt;U465+V465-W465,AND(C465+D465-E465=U465+V465-W465,0&lt;3))),1,0),IF(AND(I465+J465-K465&gt;0,OR(I465+J465-K465&lt;U465+V465-W465,AND(I465+J465-K465=U465+V465-W465,1&lt;3))),1,0),IF(AND(O465+P465-Q465&gt;0,OR(O465+P465-Q465&lt;U465+V465-W465,AND(O465+P465-Q465=U465+V465-W465,2&lt;3))),1,0),IF(AND(AA465+AB465-AC465&gt;0,OR(AA465+AB465-AC465&lt;U465+V465-W465,AND(AA465+AB465-AC465=U465+V465-W465,4&lt;3))),1,0)))</x:f>
        <x:v>99</x:v>
      </x:c>
      <x:c r="Y465" s="6" t="n">
        <x:f>IF('Debt strategy'!$C$16&gt;0,0,MIN(U465+V465-W465,MAX(0,'Debt strategy'!$C$5-SUM(E465,K465,Q465,W465,AC465)-SUM(IF(F465&lt;X465,C465+D465-E465,0),IF(L465&lt;X465,I465+J465-K465,0),IF(R465&lt;X465,O465+P465-Q465,0),IF(AD465&lt;X465,AA465+AB465-AC465,0)))))</x:f>
        <x:v>0</x:v>
      </x:c>
      <x:c r="Z465" s="6" t="n">
        <x:f>ROUND(MAX(0,U465+V465-W465-Y465),2)</x:f>
        <x:v>0</x:v>
      </x:c>
      <x:c r="AA465" s="6" t="n">
        <x:f>AF464</x:f>
        <x:v>0</x:v>
      </x:c>
      <x:c r="AB465" s="6" t="n">
        <x:f>ROUND(AA465*'Debt strategy'!$D$13/12,2)</x:f>
        <x:v>0</x:v>
      </x:c>
      <x:c r="AC465" s="6" t="n">
        <x:f>MIN(AA465+AB465,'Debt strategy'!$E$13)</x:f>
        <x:v>0</x:v>
      </x:c>
      <x:c r="AD465" s="27" t="n">
        <x:f>IF(AA465+AB465-AC465&lt;=0,99,1+SUM(IF(AND(C465+D465-E465&gt;0,OR(C465+D465-E465&lt;AA465+AB465-AC465,AND(C465+D465-E465=AA465+AB465-AC465,0&lt;4))),1,0),IF(AND(I465+J465-K465&gt;0,OR(I465+J465-K465&lt;AA465+AB465-AC465,AND(I465+J465-K465=AA465+AB465-AC465,1&lt;4))),1,0),IF(AND(O465+P465-Q465&gt;0,OR(O465+P465-Q465&lt;AA465+AB465-AC465,AND(O465+P465-Q465=AA465+AB465-AC465,2&lt;4))),1,0),IF(AND(U465+V465-W465&gt;0,OR(U465+V465-W465&lt;AA465+AB465-AC465,AND(U465+V465-W465=AA465+AB465-AC465,3&lt;4))),1,0)))</x:f>
        <x:v>99</x:v>
      </x:c>
      <x:c r="AE465" s="6" t="n">
        <x:f>IF('Debt strategy'!$C$16&gt;0,0,MIN(AA465+AB465-AC465,MAX(0,'Debt strategy'!$C$5-SUM(E465,K465,Q465,W465,AC465)-SUM(IF(F465&lt;AD465,C465+D465-E465,0),IF(L465&lt;AD465,I465+J465-K465,0),IF(R465&lt;AD465,O465+P465-Q465,0),IF(X465&lt;AD465,U465+V465-W465,0)))))</x:f>
        <x:v>0</x:v>
      </x:c>
      <x:c r="AF465" s="6" t="n">
        <x:f>ROUND(MAX(0,AA465+AB465-AC465-AE465),2)</x:f>
        <x:v>0</x:v>
      </x:c>
      <x:c r="AG465" s="6" t="n">
        <x:f>SUM(H465,N465,T465,Z465,AF465)</x:f>
        <x:v>0</x:v>
      </x:c>
      <x:c r="AH465" s="6" t="n">
        <x:f>SUM(D465,J465,P465,V465,AB465)+AH464</x:f>
        <x:v>1353.9499999999996</x:v>
      </x:c>
      <x:c r="AI465" s="2"/>
    </x:row>
    <x:row r="466" ht="23" customHeight="1">
      <x:c r="B466" s="2" t="n">
        <x:f>458</x:f>
        <x:v>458</x:v>
      </x:c>
      <x:c r="C466" s="6" t="n">
        <x:f>H465</x:f>
        <x:v>0</x:v>
      </x:c>
      <x:c r="D466" s="6" t="n">
        <x:f>ROUND(C466*'Debt strategy'!$D$9/12,2)</x:f>
        <x:v>0</x:v>
      </x:c>
      <x:c r="E466" s="6" t="n">
        <x:f>MIN(C466+D466,'Debt strategy'!$E$9)</x:f>
        <x:v>0</x:v>
      </x:c>
      <x:c r="F466" s="27" t="n">
        <x:f>IF(C466+D466-E466&lt;=0,99,1+SUM(IF(AND(I466+J466-K466&gt;0,OR(I466+J466-K466&lt;C466+D466-E466,AND(I466+J466-K466=C466+D466-E466,1&lt;0))),1,0),IF(AND(O466+P466-Q466&gt;0,OR(O466+P466-Q466&lt;C466+D466-E466,AND(O466+P466-Q466=C466+D466-E466,2&lt;0))),1,0),IF(AND(U466+V466-W466&gt;0,OR(U466+V466-W466&lt;C466+D466-E466,AND(U466+V466-W466=C466+D466-E466,3&lt;0))),1,0),IF(AND(AA466+AB466-AC466&gt;0,OR(AA466+AB466-AC466&lt;C466+D466-E466,AND(AA466+AB466-AC466=C466+D466-E466,4&lt;0))),1,0)))</x:f>
        <x:v>99</x:v>
      </x:c>
      <x:c r="G466" s="6" t="n">
        <x:f>IF('Debt strategy'!$C$16&gt;0,0,MIN(C466+D466-E466,MAX(0,'Debt strategy'!$C$5-SUM(E466,K466,Q466,W466,AC466)-SUM(IF(L466&lt;F466,I466+J466-K466,0),IF(R466&lt;F466,O466+P466-Q466,0),IF(X466&lt;F466,U466+V466-W466,0),IF(AD466&lt;F466,AA466+AB466-AC466,0)))))</x:f>
        <x:v>0</x:v>
      </x:c>
      <x:c r="H466" s="6" t="n">
        <x:f>ROUND(MAX(0,C466+D466-E466-G466),2)</x:f>
        <x:v>0</x:v>
      </x:c>
      <x:c r="I466" s="6" t="n">
        <x:f>N465</x:f>
        <x:v>0</x:v>
      </x:c>
      <x:c r="J466" s="6" t="n">
        <x:f>ROUND(I466*'Debt strategy'!$D$10/12,2)</x:f>
        <x:v>0</x:v>
      </x:c>
      <x:c r="K466" s="6" t="n">
        <x:f>MIN(I466+J466,'Debt strategy'!$E$10)</x:f>
        <x:v>0</x:v>
      </x:c>
      <x:c r="L466" s="27" t="n">
        <x:f>IF(I466+J466-K466&lt;=0,99,1+SUM(IF(AND(C466+D466-E466&gt;0,OR(C466+D466-E466&lt;I466+J466-K466,AND(C466+D466-E466=I466+J466-K466,0&lt;1))),1,0),IF(AND(O466+P466-Q466&gt;0,OR(O466+P466-Q466&lt;I466+J466-K466,AND(O466+P466-Q466=I466+J466-K466,2&lt;1))),1,0),IF(AND(U466+V466-W466&gt;0,OR(U466+V466-W466&lt;I466+J466-K466,AND(U466+V466-W466=I466+J466-K466,3&lt;1))),1,0),IF(AND(AA466+AB466-AC466&gt;0,OR(AA466+AB466-AC466&lt;I466+J466-K466,AND(AA466+AB466-AC466=I466+J466-K466,4&lt;1))),1,0)))</x:f>
        <x:v>99</x:v>
      </x:c>
      <x:c r="M466" s="6" t="n">
        <x:f>IF('Debt strategy'!$C$16&gt;0,0,MIN(I466+J466-K466,MAX(0,'Debt strategy'!$C$5-SUM(E466,K466,Q466,W466,AC466)-SUM(IF(F466&lt;L466,C466+D466-E466,0),IF(R466&lt;L466,O466+P466-Q466,0),IF(X466&lt;L466,U466+V466-W466,0),IF(AD466&lt;L466,AA466+AB466-AC466,0)))))</x:f>
        <x:v>0</x:v>
      </x:c>
      <x:c r="N466" s="6" t="n">
        <x:f>ROUND(MAX(0,I466+J466-K466-M466),2)</x:f>
        <x:v>0</x:v>
      </x:c>
      <x:c r="O466" s="6" t="n">
        <x:f>T465</x:f>
        <x:v>0</x:v>
      </x:c>
      <x:c r="P466" s="6" t="n">
        <x:f>ROUND(O466*'Debt strategy'!$D$11/12,2)</x:f>
        <x:v>0</x:v>
      </x:c>
      <x:c r="Q466" s="6" t="n">
        <x:f>MIN(O466+P466,'Debt strategy'!$E$11)</x:f>
        <x:v>0</x:v>
      </x:c>
      <x:c r="R466" s="27" t="n">
        <x:f>IF(O466+P466-Q466&lt;=0,99,1+SUM(IF(AND(C466+D466-E466&gt;0,OR(C466+D466-E466&lt;O466+P466-Q466,AND(C466+D466-E466=O466+P466-Q466,0&lt;2))),1,0),IF(AND(I466+J466-K466&gt;0,OR(I466+J466-K466&lt;O466+P466-Q466,AND(I466+J466-K466=O466+P466-Q466,1&lt;2))),1,0),IF(AND(U466+V466-W466&gt;0,OR(U466+V466-W466&lt;O466+P466-Q466,AND(U466+V466-W466=O466+P466-Q466,3&lt;2))),1,0),IF(AND(AA466+AB466-AC466&gt;0,OR(AA466+AB466-AC466&lt;O466+P466-Q466,AND(AA466+AB466-AC466=O466+P466-Q466,4&lt;2))),1,0)))</x:f>
        <x:v>99</x:v>
      </x:c>
      <x:c r="S466" s="6" t="n">
        <x:f>IF('Debt strategy'!$C$16&gt;0,0,MIN(O466+P466-Q466,MAX(0,'Debt strategy'!$C$5-SUM(E466,K466,Q466,W466,AC466)-SUM(IF(F466&lt;R466,C466+D466-E466,0),IF(L466&lt;R466,I466+J466-K466,0),IF(X466&lt;R466,U466+V466-W466,0),IF(AD466&lt;R466,AA466+AB466-AC466,0)))))</x:f>
        <x:v>0</x:v>
      </x:c>
      <x:c r="T466" s="6" t="n">
        <x:f>ROUND(MAX(0,O466+P466-Q466-S466),2)</x:f>
        <x:v>0</x:v>
      </x:c>
      <x:c r="U466" s="6" t="n">
        <x:f>Z465</x:f>
        <x:v>0</x:v>
      </x:c>
      <x:c r="V466" s="6" t="n">
        <x:f>ROUND(U466*'Debt strategy'!$D$12/12,2)</x:f>
        <x:v>0</x:v>
      </x:c>
      <x:c r="W466" s="6" t="n">
        <x:f>MIN(U466+V466,'Debt strategy'!$E$12)</x:f>
        <x:v>0</x:v>
      </x:c>
      <x:c r="X466" s="27" t="n">
        <x:f>IF(U466+V466-W466&lt;=0,99,1+SUM(IF(AND(C466+D466-E466&gt;0,OR(C466+D466-E466&lt;U466+V466-W466,AND(C466+D466-E466=U466+V466-W466,0&lt;3))),1,0),IF(AND(I466+J466-K466&gt;0,OR(I466+J466-K466&lt;U466+V466-W466,AND(I466+J466-K466=U466+V466-W466,1&lt;3))),1,0),IF(AND(O466+P466-Q466&gt;0,OR(O466+P466-Q466&lt;U466+V466-W466,AND(O466+P466-Q466=U466+V466-W466,2&lt;3))),1,0),IF(AND(AA466+AB466-AC466&gt;0,OR(AA466+AB466-AC466&lt;U466+V466-W466,AND(AA466+AB466-AC466=U466+V466-W466,4&lt;3))),1,0)))</x:f>
        <x:v>99</x:v>
      </x:c>
      <x:c r="Y466" s="6" t="n">
        <x:f>IF('Debt strategy'!$C$16&gt;0,0,MIN(U466+V466-W466,MAX(0,'Debt strategy'!$C$5-SUM(E466,K466,Q466,W466,AC466)-SUM(IF(F466&lt;X466,C466+D466-E466,0),IF(L466&lt;X466,I466+J466-K466,0),IF(R466&lt;X466,O466+P466-Q466,0),IF(AD466&lt;X466,AA466+AB466-AC466,0)))))</x:f>
        <x:v>0</x:v>
      </x:c>
      <x:c r="Z466" s="6" t="n">
        <x:f>ROUND(MAX(0,U466+V466-W466-Y466),2)</x:f>
        <x:v>0</x:v>
      </x:c>
      <x:c r="AA466" s="6" t="n">
        <x:f>AF465</x:f>
        <x:v>0</x:v>
      </x:c>
      <x:c r="AB466" s="6" t="n">
        <x:f>ROUND(AA466*'Debt strategy'!$D$13/12,2)</x:f>
        <x:v>0</x:v>
      </x:c>
      <x:c r="AC466" s="6" t="n">
        <x:f>MIN(AA466+AB466,'Debt strategy'!$E$13)</x:f>
        <x:v>0</x:v>
      </x:c>
      <x:c r="AD466" s="27" t="n">
        <x:f>IF(AA466+AB466-AC466&lt;=0,99,1+SUM(IF(AND(C466+D466-E466&gt;0,OR(C466+D466-E466&lt;AA466+AB466-AC466,AND(C466+D466-E466=AA466+AB466-AC466,0&lt;4))),1,0),IF(AND(I466+J466-K466&gt;0,OR(I466+J466-K466&lt;AA466+AB466-AC466,AND(I466+J466-K466=AA466+AB466-AC466,1&lt;4))),1,0),IF(AND(O466+P466-Q466&gt;0,OR(O466+P466-Q466&lt;AA466+AB466-AC466,AND(O466+P466-Q466=AA466+AB466-AC466,2&lt;4))),1,0),IF(AND(U466+V466-W466&gt;0,OR(U466+V466-W466&lt;AA466+AB466-AC466,AND(U466+V466-W466=AA466+AB466-AC466,3&lt;4))),1,0)))</x:f>
        <x:v>99</x:v>
      </x:c>
      <x:c r="AE466" s="6" t="n">
        <x:f>IF('Debt strategy'!$C$16&gt;0,0,MIN(AA466+AB466-AC466,MAX(0,'Debt strategy'!$C$5-SUM(E466,K466,Q466,W466,AC466)-SUM(IF(F466&lt;AD466,C466+D466-E466,0),IF(L466&lt;AD466,I466+J466-K466,0),IF(R466&lt;AD466,O466+P466-Q466,0),IF(X466&lt;AD466,U466+V466-W466,0)))))</x:f>
        <x:v>0</x:v>
      </x:c>
      <x:c r="AF466" s="6" t="n">
        <x:f>ROUND(MAX(0,AA466+AB466-AC466-AE466),2)</x:f>
        <x:v>0</x:v>
      </x:c>
      <x:c r="AG466" s="6" t="n">
        <x:f>SUM(H466,N466,T466,Z466,AF466)</x:f>
        <x:v>0</x:v>
      </x:c>
      <x:c r="AH466" s="6" t="n">
        <x:f>SUM(D466,J466,P466,V466,AB466)+AH465</x:f>
        <x:v>1353.9499999999996</x:v>
      </x:c>
      <x:c r="AI466" s="2"/>
    </x:row>
    <x:row r="467" ht="23" customHeight="1">
      <x:c r="B467" s="2" t="n">
        <x:f>459</x:f>
        <x:v>459</x:v>
      </x:c>
      <x:c r="C467" s="6" t="n">
        <x:f>H466</x:f>
        <x:v>0</x:v>
      </x:c>
      <x:c r="D467" s="6" t="n">
        <x:f>ROUND(C467*'Debt strategy'!$D$9/12,2)</x:f>
        <x:v>0</x:v>
      </x:c>
      <x:c r="E467" s="6" t="n">
        <x:f>MIN(C467+D467,'Debt strategy'!$E$9)</x:f>
        <x:v>0</x:v>
      </x:c>
      <x:c r="F467" s="27" t="n">
        <x:f>IF(C467+D467-E467&lt;=0,99,1+SUM(IF(AND(I467+J467-K467&gt;0,OR(I467+J467-K467&lt;C467+D467-E467,AND(I467+J467-K467=C467+D467-E467,1&lt;0))),1,0),IF(AND(O467+P467-Q467&gt;0,OR(O467+P467-Q467&lt;C467+D467-E467,AND(O467+P467-Q467=C467+D467-E467,2&lt;0))),1,0),IF(AND(U467+V467-W467&gt;0,OR(U467+V467-W467&lt;C467+D467-E467,AND(U467+V467-W467=C467+D467-E467,3&lt;0))),1,0),IF(AND(AA467+AB467-AC467&gt;0,OR(AA467+AB467-AC467&lt;C467+D467-E467,AND(AA467+AB467-AC467=C467+D467-E467,4&lt;0))),1,0)))</x:f>
        <x:v>99</x:v>
      </x:c>
      <x:c r="G467" s="6" t="n">
        <x:f>IF('Debt strategy'!$C$16&gt;0,0,MIN(C467+D467-E467,MAX(0,'Debt strategy'!$C$5-SUM(E467,K467,Q467,W467,AC467)-SUM(IF(L467&lt;F467,I467+J467-K467,0),IF(R467&lt;F467,O467+P467-Q467,0),IF(X467&lt;F467,U467+V467-W467,0),IF(AD467&lt;F467,AA467+AB467-AC467,0)))))</x:f>
        <x:v>0</x:v>
      </x:c>
      <x:c r="H467" s="6" t="n">
        <x:f>ROUND(MAX(0,C467+D467-E467-G467),2)</x:f>
        <x:v>0</x:v>
      </x:c>
      <x:c r="I467" s="6" t="n">
        <x:f>N466</x:f>
        <x:v>0</x:v>
      </x:c>
      <x:c r="J467" s="6" t="n">
        <x:f>ROUND(I467*'Debt strategy'!$D$10/12,2)</x:f>
        <x:v>0</x:v>
      </x:c>
      <x:c r="K467" s="6" t="n">
        <x:f>MIN(I467+J467,'Debt strategy'!$E$10)</x:f>
        <x:v>0</x:v>
      </x:c>
      <x:c r="L467" s="27" t="n">
        <x:f>IF(I467+J467-K467&lt;=0,99,1+SUM(IF(AND(C467+D467-E467&gt;0,OR(C467+D467-E467&lt;I467+J467-K467,AND(C467+D467-E467=I467+J467-K467,0&lt;1))),1,0),IF(AND(O467+P467-Q467&gt;0,OR(O467+P467-Q467&lt;I467+J467-K467,AND(O467+P467-Q467=I467+J467-K467,2&lt;1))),1,0),IF(AND(U467+V467-W467&gt;0,OR(U467+V467-W467&lt;I467+J467-K467,AND(U467+V467-W467=I467+J467-K467,3&lt;1))),1,0),IF(AND(AA467+AB467-AC467&gt;0,OR(AA467+AB467-AC467&lt;I467+J467-K467,AND(AA467+AB467-AC467=I467+J467-K467,4&lt;1))),1,0)))</x:f>
        <x:v>99</x:v>
      </x:c>
      <x:c r="M467" s="6" t="n">
        <x:f>IF('Debt strategy'!$C$16&gt;0,0,MIN(I467+J467-K467,MAX(0,'Debt strategy'!$C$5-SUM(E467,K467,Q467,W467,AC467)-SUM(IF(F467&lt;L467,C467+D467-E467,0),IF(R467&lt;L467,O467+P467-Q467,0),IF(X467&lt;L467,U467+V467-W467,0),IF(AD467&lt;L467,AA467+AB467-AC467,0)))))</x:f>
        <x:v>0</x:v>
      </x:c>
      <x:c r="N467" s="6" t="n">
        <x:f>ROUND(MAX(0,I467+J467-K467-M467),2)</x:f>
        <x:v>0</x:v>
      </x:c>
      <x:c r="O467" s="6" t="n">
        <x:f>T466</x:f>
        <x:v>0</x:v>
      </x:c>
      <x:c r="P467" s="6" t="n">
        <x:f>ROUND(O467*'Debt strategy'!$D$11/12,2)</x:f>
        <x:v>0</x:v>
      </x:c>
      <x:c r="Q467" s="6" t="n">
        <x:f>MIN(O467+P467,'Debt strategy'!$E$11)</x:f>
        <x:v>0</x:v>
      </x:c>
      <x:c r="R467" s="27" t="n">
        <x:f>IF(O467+P467-Q467&lt;=0,99,1+SUM(IF(AND(C467+D467-E467&gt;0,OR(C467+D467-E467&lt;O467+P467-Q467,AND(C467+D467-E467=O467+P467-Q467,0&lt;2))),1,0),IF(AND(I467+J467-K467&gt;0,OR(I467+J467-K467&lt;O467+P467-Q467,AND(I467+J467-K467=O467+P467-Q467,1&lt;2))),1,0),IF(AND(U467+V467-W467&gt;0,OR(U467+V467-W467&lt;O467+P467-Q467,AND(U467+V467-W467=O467+P467-Q467,3&lt;2))),1,0),IF(AND(AA467+AB467-AC467&gt;0,OR(AA467+AB467-AC467&lt;O467+P467-Q467,AND(AA467+AB467-AC467=O467+P467-Q467,4&lt;2))),1,0)))</x:f>
        <x:v>99</x:v>
      </x:c>
      <x:c r="S467" s="6" t="n">
        <x:f>IF('Debt strategy'!$C$16&gt;0,0,MIN(O467+P467-Q467,MAX(0,'Debt strategy'!$C$5-SUM(E467,K467,Q467,W467,AC467)-SUM(IF(F467&lt;R467,C467+D467-E467,0),IF(L467&lt;R467,I467+J467-K467,0),IF(X467&lt;R467,U467+V467-W467,0),IF(AD467&lt;R467,AA467+AB467-AC467,0)))))</x:f>
        <x:v>0</x:v>
      </x:c>
      <x:c r="T467" s="6" t="n">
        <x:f>ROUND(MAX(0,O467+P467-Q467-S467),2)</x:f>
        <x:v>0</x:v>
      </x:c>
      <x:c r="U467" s="6" t="n">
        <x:f>Z466</x:f>
        <x:v>0</x:v>
      </x:c>
      <x:c r="V467" s="6" t="n">
        <x:f>ROUND(U467*'Debt strategy'!$D$12/12,2)</x:f>
        <x:v>0</x:v>
      </x:c>
      <x:c r="W467" s="6" t="n">
        <x:f>MIN(U467+V467,'Debt strategy'!$E$12)</x:f>
        <x:v>0</x:v>
      </x:c>
      <x:c r="X467" s="27" t="n">
        <x:f>IF(U467+V467-W467&lt;=0,99,1+SUM(IF(AND(C467+D467-E467&gt;0,OR(C467+D467-E467&lt;U467+V467-W467,AND(C467+D467-E467=U467+V467-W467,0&lt;3))),1,0),IF(AND(I467+J467-K467&gt;0,OR(I467+J467-K467&lt;U467+V467-W467,AND(I467+J467-K467=U467+V467-W467,1&lt;3))),1,0),IF(AND(O467+P467-Q467&gt;0,OR(O467+P467-Q467&lt;U467+V467-W467,AND(O467+P467-Q467=U467+V467-W467,2&lt;3))),1,0),IF(AND(AA467+AB467-AC467&gt;0,OR(AA467+AB467-AC467&lt;U467+V467-W467,AND(AA467+AB467-AC467=U467+V467-W467,4&lt;3))),1,0)))</x:f>
        <x:v>99</x:v>
      </x:c>
      <x:c r="Y467" s="6" t="n">
        <x:f>IF('Debt strategy'!$C$16&gt;0,0,MIN(U467+V467-W467,MAX(0,'Debt strategy'!$C$5-SUM(E467,K467,Q467,W467,AC467)-SUM(IF(F467&lt;X467,C467+D467-E467,0),IF(L467&lt;X467,I467+J467-K467,0),IF(R467&lt;X467,O467+P467-Q467,0),IF(AD467&lt;X467,AA467+AB467-AC467,0)))))</x:f>
        <x:v>0</x:v>
      </x:c>
      <x:c r="Z467" s="6" t="n">
        <x:f>ROUND(MAX(0,U467+V467-W467-Y467),2)</x:f>
        <x:v>0</x:v>
      </x:c>
      <x:c r="AA467" s="6" t="n">
        <x:f>AF466</x:f>
        <x:v>0</x:v>
      </x:c>
      <x:c r="AB467" s="6" t="n">
        <x:f>ROUND(AA467*'Debt strategy'!$D$13/12,2)</x:f>
        <x:v>0</x:v>
      </x:c>
      <x:c r="AC467" s="6" t="n">
        <x:f>MIN(AA467+AB467,'Debt strategy'!$E$13)</x:f>
        <x:v>0</x:v>
      </x:c>
      <x:c r="AD467" s="27" t="n">
        <x:f>IF(AA467+AB467-AC467&lt;=0,99,1+SUM(IF(AND(C467+D467-E467&gt;0,OR(C467+D467-E467&lt;AA467+AB467-AC467,AND(C467+D467-E467=AA467+AB467-AC467,0&lt;4))),1,0),IF(AND(I467+J467-K467&gt;0,OR(I467+J467-K467&lt;AA467+AB467-AC467,AND(I467+J467-K467=AA467+AB467-AC467,1&lt;4))),1,0),IF(AND(O467+P467-Q467&gt;0,OR(O467+P467-Q467&lt;AA467+AB467-AC467,AND(O467+P467-Q467=AA467+AB467-AC467,2&lt;4))),1,0),IF(AND(U467+V467-W467&gt;0,OR(U467+V467-W467&lt;AA467+AB467-AC467,AND(U467+V467-W467=AA467+AB467-AC467,3&lt;4))),1,0)))</x:f>
        <x:v>99</x:v>
      </x:c>
      <x:c r="AE467" s="6" t="n">
        <x:f>IF('Debt strategy'!$C$16&gt;0,0,MIN(AA467+AB467-AC467,MAX(0,'Debt strategy'!$C$5-SUM(E467,K467,Q467,W467,AC467)-SUM(IF(F467&lt;AD467,C467+D467-E467,0),IF(L467&lt;AD467,I467+J467-K467,0),IF(R467&lt;AD467,O467+P467-Q467,0),IF(X467&lt;AD467,U467+V467-W467,0)))))</x:f>
        <x:v>0</x:v>
      </x:c>
      <x:c r="AF467" s="6" t="n">
        <x:f>ROUND(MAX(0,AA467+AB467-AC467-AE467),2)</x:f>
        <x:v>0</x:v>
      </x:c>
      <x:c r="AG467" s="6" t="n">
        <x:f>SUM(H467,N467,T467,Z467,AF467)</x:f>
        <x:v>0</x:v>
      </x:c>
      <x:c r="AH467" s="6" t="n">
        <x:f>SUM(D467,J467,P467,V467,AB467)+AH466</x:f>
        <x:v>1353.9499999999996</x:v>
      </x:c>
      <x:c r="AI467" s="2"/>
    </x:row>
    <x:row r="468" ht="23" customHeight="1">
      <x:c r="B468" s="2" t="n">
        <x:f>460</x:f>
        <x:v>460</x:v>
      </x:c>
      <x:c r="C468" s="6" t="n">
        <x:f>H467</x:f>
        <x:v>0</x:v>
      </x:c>
      <x:c r="D468" s="6" t="n">
        <x:f>ROUND(C468*'Debt strategy'!$D$9/12,2)</x:f>
        <x:v>0</x:v>
      </x:c>
      <x:c r="E468" s="6" t="n">
        <x:f>MIN(C468+D468,'Debt strategy'!$E$9)</x:f>
        <x:v>0</x:v>
      </x:c>
      <x:c r="F468" s="27" t="n">
        <x:f>IF(C468+D468-E468&lt;=0,99,1+SUM(IF(AND(I468+J468-K468&gt;0,OR(I468+J468-K468&lt;C468+D468-E468,AND(I468+J468-K468=C468+D468-E468,1&lt;0))),1,0),IF(AND(O468+P468-Q468&gt;0,OR(O468+P468-Q468&lt;C468+D468-E468,AND(O468+P468-Q468=C468+D468-E468,2&lt;0))),1,0),IF(AND(U468+V468-W468&gt;0,OR(U468+V468-W468&lt;C468+D468-E468,AND(U468+V468-W468=C468+D468-E468,3&lt;0))),1,0),IF(AND(AA468+AB468-AC468&gt;0,OR(AA468+AB468-AC468&lt;C468+D468-E468,AND(AA468+AB468-AC468=C468+D468-E468,4&lt;0))),1,0)))</x:f>
        <x:v>99</x:v>
      </x:c>
      <x:c r="G468" s="6" t="n">
        <x:f>IF('Debt strategy'!$C$16&gt;0,0,MIN(C468+D468-E468,MAX(0,'Debt strategy'!$C$5-SUM(E468,K468,Q468,W468,AC468)-SUM(IF(L468&lt;F468,I468+J468-K468,0),IF(R468&lt;F468,O468+P468-Q468,0),IF(X468&lt;F468,U468+V468-W468,0),IF(AD468&lt;F468,AA468+AB468-AC468,0)))))</x:f>
        <x:v>0</x:v>
      </x:c>
      <x:c r="H468" s="6" t="n">
        <x:f>ROUND(MAX(0,C468+D468-E468-G468),2)</x:f>
        <x:v>0</x:v>
      </x:c>
      <x:c r="I468" s="6" t="n">
        <x:f>N467</x:f>
        <x:v>0</x:v>
      </x:c>
      <x:c r="J468" s="6" t="n">
        <x:f>ROUND(I468*'Debt strategy'!$D$10/12,2)</x:f>
        <x:v>0</x:v>
      </x:c>
      <x:c r="K468" s="6" t="n">
        <x:f>MIN(I468+J468,'Debt strategy'!$E$10)</x:f>
        <x:v>0</x:v>
      </x:c>
      <x:c r="L468" s="27" t="n">
        <x:f>IF(I468+J468-K468&lt;=0,99,1+SUM(IF(AND(C468+D468-E468&gt;0,OR(C468+D468-E468&lt;I468+J468-K468,AND(C468+D468-E468=I468+J468-K468,0&lt;1))),1,0),IF(AND(O468+P468-Q468&gt;0,OR(O468+P468-Q468&lt;I468+J468-K468,AND(O468+P468-Q468=I468+J468-K468,2&lt;1))),1,0),IF(AND(U468+V468-W468&gt;0,OR(U468+V468-W468&lt;I468+J468-K468,AND(U468+V468-W468=I468+J468-K468,3&lt;1))),1,0),IF(AND(AA468+AB468-AC468&gt;0,OR(AA468+AB468-AC468&lt;I468+J468-K468,AND(AA468+AB468-AC468=I468+J468-K468,4&lt;1))),1,0)))</x:f>
        <x:v>99</x:v>
      </x:c>
      <x:c r="M468" s="6" t="n">
        <x:f>IF('Debt strategy'!$C$16&gt;0,0,MIN(I468+J468-K468,MAX(0,'Debt strategy'!$C$5-SUM(E468,K468,Q468,W468,AC468)-SUM(IF(F468&lt;L468,C468+D468-E468,0),IF(R468&lt;L468,O468+P468-Q468,0),IF(X468&lt;L468,U468+V468-W468,0),IF(AD468&lt;L468,AA468+AB468-AC468,0)))))</x:f>
        <x:v>0</x:v>
      </x:c>
      <x:c r="N468" s="6" t="n">
        <x:f>ROUND(MAX(0,I468+J468-K468-M468),2)</x:f>
        <x:v>0</x:v>
      </x:c>
      <x:c r="O468" s="6" t="n">
        <x:f>T467</x:f>
        <x:v>0</x:v>
      </x:c>
      <x:c r="P468" s="6" t="n">
        <x:f>ROUND(O468*'Debt strategy'!$D$11/12,2)</x:f>
        <x:v>0</x:v>
      </x:c>
      <x:c r="Q468" s="6" t="n">
        <x:f>MIN(O468+P468,'Debt strategy'!$E$11)</x:f>
        <x:v>0</x:v>
      </x:c>
      <x:c r="R468" s="27" t="n">
        <x:f>IF(O468+P468-Q468&lt;=0,99,1+SUM(IF(AND(C468+D468-E468&gt;0,OR(C468+D468-E468&lt;O468+P468-Q468,AND(C468+D468-E468=O468+P468-Q468,0&lt;2))),1,0),IF(AND(I468+J468-K468&gt;0,OR(I468+J468-K468&lt;O468+P468-Q468,AND(I468+J468-K468=O468+P468-Q468,1&lt;2))),1,0),IF(AND(U468+V468-W468&gt;0,OR(U468+V468-W468&lt;O468+P468-Q468,AND(U468+V468-W468=O468+P468-Q468,3&lt;2))),1,0),IF(AND(AA468+AB468-AC468&gt;0,OR(AA468+AB468-AC468&lt;O468+P468-Q468,AND(AA468+AB468-AC468=O468+P468-Q468,4&lt;2))),1,0)))</x:f>
        <x:v>99</x:v>
      </x:c>
      <x:c r="S468" s="6" t="n">
        <x:f>IF('Debt strategy'!$C$16&gt;0,0,MIN(O468+P468-Q468,MAX(0,'Debt strategy'!$C$5-SUM(E468,K468,Q468,W468,AC468)-SUM(IF(F468&lt;R468,C468+D468-E468,0),IF(L468&lt;R468,I468+J468-K468,0),IF(X468&lt;R468,U468+V468-W468,0),IF(AD468&lt;R468,AA468+AB468-AC468,0)))))</x:f>
        <x:v>0</x:v>
      </x:c>
      <x:c r="T468" s="6" t="n">
        <x:f>ROUND(MAX(0,O468+P468-Q468-S468),2)</x:f>
        <x:v>0</x:v>
      </x:c>
      <x:c r="U468" s="6" t="n">
        <x:f>Z467</x:f>
        <x:v>0</x:v>
      </x:c>
      <x:c r="V468" s="6" t="n">
        <x:f>ROUND(U468*'Debt strategy'!$D$12/12,2)</x:f>
        <x:v>0</x:v>
      </x:c>
      <x:c r="W468" s="6" t="n">
        <x:f>MIN(U468+V468,'Debt strategy'!$E$12)</x:f>
        <x:v>0</x:v>
      </x:c>
      <x:c r="X468" s="27" t="n">
        <x:f>IF(U468+V468-W468&lt;=0,99,1+SUM(IF(AND(C468+D468-E468&gt;0,OR(C468+D468-E468&lt;U468+V468-W468,AND(C468+D468-E468=U468+V468-W468,0&lt;3))),1,0),IF(AND(I468+J468-K468&gt;0,OR(I468+J468-K468&lt;U468+V468-W468,AND(I468+J468-K468=U468+V468-W468,1&lt;3))),1,0),IF(AND(O468+P468-Q468&gt;0,OR(O468+P468-Q468&lt;U468+V468-W468,AND(O468+P468-Q468=U468+V468-W468,2&lt;3))),1,0),IF(AND(AA468+AB468-AC468&gt;0,OR(AA468+AB468-AC468&lt;U468+V468-W468,AND(AA468+AB468-AC468=U468+V468-W468,4&lt;3))),1,0)))</x:f>
        <x:v>99</x:v>
      </x:c>
      <x:c r="Y468" s="6" t="n">
        <x:f>IF('Debt strategy'!$C$16&gt;0,0,MIN(U468+V468-W468,MAX(0,'Debt strategy'!$C$5-SUM(E468,K468,Q468,W468,AC468)-SUM(IF(F468&lt;X468,C468+D468-E468,0),IF(L468&lt;X468,I468+J468-K468,0),IF(R468&lt;X468,O468+P468-Q468,0),IF(AD468&lt;X468,AA468+AB468-AC468,0)))))</x:f>
        <x:v>0</x:v>
      </x:c>
      <x:c r="Z468" s="6" t="n">
        <x:f>ROUND(MAX(0,U468+V468-W468-Y468),2)</x:f>
        <x:v>0</x:v>
      </x:c>
      <x:c r="AA468" s="6" t="n">
        <x:f>AF467</x:f>
        <x:v>0</x:v>
      </x:c>
      <x:c r="AB468" s="6" t="n">
        <x:f>ROUND(AA468*'Debt strategy'!$D$13/12,2)</x:f>
        <x:v>0</x:v>
      </x:c>
      <x:c r="AC468" s="6" t="n">
        <x:f>MIN(AA468+AB468,'Debt strategy'!$E$13)</x:f>
        <x:v>0</x:v>
      </x:c>
      <x:c r="AD468" s="27" t="n">
        <x:f>IF(AA468+AB468-AC468&lt;=0,99,1+SUM(IF(AND(C468+D468-E468&gt;0,OR(C468+D468-E468&lt;AA468+AB468-AC468,AND(C468+D468-E468=AA468+AB468-AC468,0&lt;4))),1,0),IF(AND(I468+J468-K468&gt;0,OR(I468+J468-K468&lt;AA468+AB468-AC468,AND(I468+J468-K468=AA468+AB468-AC468,1&lt;4))),1,0),IF(AND(O468+P468-Q468&gt;0,OR(O468+P468-Q468&lt;AA468+AB468-AC468,AND(O468+P468-Q468=AA468+AB468-AC468,2&lt;4))),1,0),IF(AND(U468+V468-W468&gt;0,OR(U468+V468-W468&lt;AA468+AB468-AC468,AND(U468+V468-W468=AA468+AB468-AC468,3&lt;4))),1,0)))</x:f>
        <x:v>99</x:v>
      </x:c>
      <x:c r="AE468" s="6" t="n">
        <x:f>IF('Debt strategy'!$C$16&gt;0,0,MIN(AA468+AB468-AC468,MAX(0,'Debt strategy'!$C$5-SUM(E468,K468,Q468,W468,AC468)-SUM(IF(F468&lt;AD468,C468+D468-E468,0),IF(L468&lt;AD468,I468+J468-K468,0),IF(R468&lt;AD468,O468+P468-Q468,0),IF(X468&lt;AD468,U468+V468-W468,0)))))</x:f>
        <x:v>0</x:v>
      </x:c>
      <x:c r="AF468" s="6" t="n">
        <x:f>ROUND(MAX(0,AA468+AB468-AC468-AE468),2)</x:f>
        <x:v>0</x:v>
      </x:c>
      <x:c r="AG468" s="6" t="n">
        <x:f>SUM(H468,N468,T468,Z468,AF468)</x:f>
        <x:v>0</x:v>
      </x:c>
      <x:c r="AH468" s="6" t="n">
        <x:f>SUM(D468,J468,P468,V468,AB468)+AH467</x:f>
        <x:v>1353.9499999999996</x:v>
      </x:c>
      <x:c r="AI468" s="2"/>
    </x:row>
    <x:row r="469" ht="23" customHeight="1">
      <x:c r="B469" s="2" t="n">
        <x:f>461</x:f>
        <x:v>461</x:v>
      </x:c>
      <x:c r="C469" s="6" t="n">
        <x:f>H468</x:f>
        <x:v>0</x:v>
      </x:c>
      <x:c r="D469" s="6" t="n">
        <x:f>ROUND(C469*'Debt strategy'!$D$9/12,2)</x:f>
        <x:v>0</x:v>
      </x:c>
      <x:c r="E469" s="6" t="n">
        <x:f>MIN(C469+D469,'Debt strategy'!$E$9)</x:f>
        <x:v>0</x:v>
      </x:c>
      <x:c r="F469" s="27" t="n">
        <x:f>IF(C469+D469-E469&lt;=0,99,1+SUM(IF(AND(I469+J469-K469&gt;0,OR(I469+J469-K469&lt;C469+D469-E469,AND(I469+J469-K469=C469+D469-E469,1&lt;0))),1,0),IF(AND(O469+P469-Q469&gt;0,OR(O469+P469-Q469&lt;C469+D469-E469,AND(O469+P469-Q469=C469+D469-E469,2&lt;0))),1,0),IF(AND(U469+V469-W469&gt;0,OR(U469+V469-W469&lt;C469+D469-E469,AND(U469+V469-W469=C469+D469-E469,3&lt;0))),1,0),IF(AND(AA469+AB469-AC469&gt;0,OR(AA469+AB469-AC469&lt;C469+D469-E469,AND(AA469+AB469-AC469=C469+D469-E469,4&lt;0))),1,0)))</x:f>
        <x:v>99</x:v>
      </x:c>
      <x:c r="G469" s="6" t="n">
        <x:f>IF('Debt strategy'!$C$16&gt;0,0,MIN(C469+D469-E469,MAX(0,'Debt strategy'!$C$5-SUM(E469,K469,Q469,W469,AC469)-SUM(IF(L469&lt;F469,I469+J469-K469,0),IF(R469&lt;F469,O469+P469-Q469,0),IF(X469&lt;F469,U469+V469-W469,0),IF(AD469&lt;F469,AA469+AB469-AC469,0)))))</x:f>
        <x:v>0</x:v>
      </x:c>
      <x:c r="H469" s="6" t="n">
        <x:f>ROUND(MAX(0,C469+D469-E469-G469),2)</x:f>
        <x:v>0</x:v>
      </x:c>
      <x:c r="I469" s="6" t="n">
        <x:f>N468</x:f>
        <x:v>0</x:v>
      </x:c>
      <x:c r="J469" s="6" t="n">
        <x:f>ROUND(I469*'Debt strategy'!$D$10/12,2)</x:f>
        <x:v>0</x:v>
      </x:c>
      <x:c r="K469" s="6" t="n">
        <x:f>MIN(I469+J469,'Debt strategy'!$E$10)</x:f>
        <x:v>0</x:v>
      </x:c>
      <x:c r="L469" s="27" t="n">
        <x:f>IF(I469+J469-K469&lt;=0,99,1+SUM(IF(AND(C469+D469-E469&gt;0,OR(C469+D469-E469&lt;I469+J469-K469,AND(C469+D469-E469=I469+J469-K469,0&lt;1))),1,0),IF(AND(O469+P469-Q469&gt;0,OR(O469+P469-Q469&lt;I469+J469-K469,AND(O469+P469-Q469=I469+J469-K469,2&lt;1))),1,0),IF(AND(U469+V469-W469&gt;0,OR(U469+V469-W469&lt;I469+J469-K469,AND(U469+V469-W469=I469+J469-K469,3&lt;1))),1,0),IF(AND(AA469+AB469-AC469&gt;0,OR(AA469+AB469-AC469&lt;I469+J469-K469,AND(AA469+AB469-AC469=I469+J469-K469,4&lt;1))),1,0)))</x:f>
        <x:v>99</x:v>
      </x:c>
      <x:c r="M469" s="6" t="n">
        <x:f>IF('Debt strategy'!$C$16&gt;0,0,MIN(I469+J469-K469,MAX(0,'Debt strategy'!$C$5-SUM(E469,K469,Q469,W469,AC469)-SUM(IF(F469&lt;L469,C469+D469-E469,0),IF(R469&lt;L469,O469+P469-Q469,0),IF(X469&lt;L469,U469+V469-W469,0),IF(AD469&lt;L469,AA469+AB469-AC469,0)))))</x:f>
        <x:v>0</x:v>
      </x:c>
      <x:c r="N469" s="6" t="n">
        <x:f>ROUND(MAX(0,I469+J469-K469-M469),2)</x:f>
        <x:v>0</x:v>
      </x:c>
      <x:c r="O469" s="6" t="n">
        <x:f>T468</x:f>
        <x:v>0</x:v>
      </x:c>
      <x:c r="P469" s="6" t="n">
        <x:f>ROUND(O469*'Debt strategy'!$D$11/12,2)</x:f>
        <x:v>0</x:v>
      </x:c>
      <x:c r="Q469" s="6" t="n">
        <x:f>MIN(O469+P469,'Debt strategy'!$E$11)</x:f>
        <x:v>0</x:v>
      </x:c>
      <x:c r="R469" s="27" t="n">
        <x:f>IF(O469+P469-Q469&lt;=0,99,1+SUM(IF(AND(C469+D469-E469&gt;0,OR(C469+D469-E469&lt;O469+P469-Q469,AND(C469+D469-E469=O469+P469-Q469,0&lt;2))),1,0),IF(AND(I469+J469-K469&gt;0,OR(I469+J469-K469&lt;O469+P469-Q469,AND(I469+J469-K469=O469+P469-Q469,1&lt;2))),1,0),IF(AND(U469+V469-W469&gt;0,OR(U469+V469-W469&lt;O469+P469-Q469,AND(U469+V469-W469=O469+P469-Q469,3&lt;2))),1,0),IF(AND(AA469+AB469-AC469&gt;0,OR(AA469+AB469-AC469&lt;O469+P469-Q469,AND(AA469+AB469-AC469=O469+P469-Q469,4&lt;2))),1,0)))</x:f>
        <x:v>99</x:v>
      </x:c>
      <x:c r="S469" s="6" t="n">
        <x:f>IF('Debt strategy'!$C$16&gt;0,0,MIN(O469+P469-Q469,MAX(0,'Debt strategy'!$C$5-SUM(E469,K469,Q469,W469,AC469)-SUM(IF(F469&lt;R469,C469+D469-E469,0),IF(L469&lt;R469,I469+J469-K469,0),IF(X469&lt;R469,U469+V469-W469,0),IF(AD469&lt;R469,AA469+AB469-AC469,0)))))</x:f>
        <x:v>0</x:v>
      </x:c>
      <x:c r="T469" s="6" t="n">
        <x:f>ROUND(MAX(0,O469+P469-Q469-S469),2)</x:f>
        <x:v>0</x:v>
      </x:c>
      <x:c r="U469" s="6" t="n">
        <x:f>Z468</x:f>
        <x:v>0</x:v>
      </x:c>
      <x:c r="V469" s="6" t="n">
        <x:f>ROUND(U469*'Debt strategy'!$D$12/12,2)</x:f>
        <x:v>0</x:v>
      </x:c>
      <x:c r="W469" s="6" t="n">
        <x:f>MIN(U469+V469,'Debt strategy'!$E$12)</x:f>
        <x:v>0</x:v>
      </x:c>
      <x:c r="X469" s="27" t="n">
        <x:f>IF(U469+V469-W469&lt;=0,99,1+SUM(IF(AND(C469+D469-E469&gt;0,OR(C469+D469-E469&lt;U469+V469-W469,AND(C469+D469-E469=U469+V469-W469,0&lt;3))),1,0),IF(AND(I469+J469-K469&gt;0,OR(I469+J469-K469&lt;U469+V469-W469,AND(I469+J469-K469=U469+V469-W469,1&lt;3))),1,0),IF(AND(O469+P469-Q469&gt;0,OR(O469+P469-Q469&lt;U469+V469-W469,AND(O469+P469-Q469=U469+V469-W469,2&lt;3))),1,0),IF(AND(AA469+AB469-AC469&gt;0,OR(AA469+AB469-AC469&lt;U469+V469-W469,AND(AA469+AB469-AC469=U469+V469-W469,4&lt;3))),1,0)))</x:f>
        <x:v>99</x:v>
      </x:c>
      <x:c r="Y469" s="6" t="n">
        <x:f>IF('Debt strategy'!$C$16&gt;0,0,MIN(U469+V469-W469,MAX(0,'Debt strategy'!$C$5-SUM(E469,K469,Q469,W469,AC469)-SUM(IF(F469&lt;X469,C469+D469-E469,0),IF(L469&lt;X469,I469+J469-K469,0),IF(R469&lt;X469,O469+P469-Q469,0),IF(AD469&lt;X469,AA469+AB469-AC469,0)))))</x:f>
        <x:v>0</x:v>
      </x:c>
      <x:c r="Z469" s="6" t="n">
        <x:f>ROUND(MAX(0,U469+V469-W469-Y469),2)</x:f>
        <x:v>0</x:v>
      </x:c>
      <x:c r="AA469" s="6" t="n">
        <x:f>AF468</x:f>
        <x:v>0</x:v>
      </x:c>
      <x:c r="AB469" s="6" t="n">
        <x:f>ROUND(AA469*'Debt strategy'!$D$13/12,2)</x:f>
        <x:v>0</x:v>
      </x:c>
      <x:c r="AC469" s="6" t="n">
        <x:f>MIN(AA469+AB469,'Debt strategy'!$E$13)</x:f>
        <x:v>0</x:v>
      </x:c>
      <x:c r="AD469" s="27" t="n">
        <x:f>IF(AA469+AB469-AC469&lt;=0,99,1+SUM(IF(AND(C469+D469-E469&gt;0,OR(C469+D469-E469&lt;AA469+AB469-AC469,AND(C469+D469-E469=AA469+AB469-AC469,0&lt;4))),1,0),IF(AND(I469+J469-K469&gt;0,OR(I469+J469-K469&lt;AA469+AB469-AC469,AND(I469+J469-K469=AA469+AB469-AC469,1&lt;4))),1,0),IF(AND(O469+P469-Q469&gt;0,OR(O469+P469-Q469&lt;AA469+AB469-AC469,AND(O469+P469-Q469=AA469+AB469-AC469,2&lt;4))),1,0),IF(AND(U469+V469-W469&gt;0,OR(U469+V469-W469&lt;AA469+AB469-AC469,AND(U469+V469-W469=AA469+AB469-AC469,3&lt;4))),1,0)))</x:f>
        <x:v>99</x:v>
      </x:c>
      <x:c r="AE469" s="6" t="n">
        <x:f>IF('Debt strategy'!$C$16&gt;0,0,MIN(AA469+AB469-AC469,MAX(0,'Debt strategy'!$C$5-SUM(E469,K469,Q469,W469,AC469)-SUM(IF(F469&lt;AD469,C469+D469-E469,0),IF(L469&lt;AD469,I469+J469-K469,0),IF(R469&lt;AD469,O469+P469-Q469,0),IF(X469&lt;AD469,U469+V469-W469,0)))))</x:f>
        <x:v>0</x:v>
      </x:c>
      <x:c r="AF469" s="6" t="n">
        <x:f>ROUND(MAX(0,AA469+AB469-AC469-AE469),2)</x:f>
        <x:v>0</x:v>
      </x:c>
      <x:c r="AG469" s="6" t="n">
        <x:f>SUM(H469,N469,T469,Z469,AF469)</x:f>
        <x:v>0</x:v>
      </x:c>
      <x:c r="AH469" s="6" t="n">
        <x:f>SUM(D469,J469,P469,V469,AB469)+AH468</x:f>
        <x:v>1353.9499999999996</x:v>
      </x:c>
      <x:c r="AI469" s="2"/>
    </x:row>
    <x:row r="470" ht="23" customHeight="1">
      <x:c r="B470" s="2" t="n">
        <x:f>462</x:f>
        <x:v>462</x:v>
      </x:c>
      <x:c r="C470" s="6" t="n">
        <x:f>H469</x:f>
        <x:v>0</x:v>
      </x:c>
      <x:c r="D470" s="6" t="n">
        <x:f>ROUND(C470*'Debt strategy'!$D$9/12,2)</x:f>
        <x:v>0</x:v>
      </x:c>
      <x:c r="E470" s="6" t="n">
        <x:f>MIN(C470+D470,'Debt strategy'!$E$9)</x:f>
        <x:v>0</x:v>
      </x:c>
      <x:c r="F470" s="27" t="n">
        <x:f>IF(C470+D470-E470&lt;=0,99,1+SUM(IF(AND(I470+J470-K470&gt;0,OR(I470+J470-K470&lt;C470+D470-E470,AND(I470+J470-K470=C470+D470-E470,1&lt;0))),1,0),IF(AND(O470+P470-Q470&gt;0,OR(O470+P470-Q470&lt;C470+D470-E470,AND(O470+P470-Q470=C470+D470-E470,2&lt;0))),1,0),IF(AND(U470+V470-W470&gt;0,OR(U470+V470-W470&lt;C470+D470-E470,AND(U470+V470-W470=C470+D470-E470,3&lt;0))),1,0),IF(AND(AA470+AB470-AC470&gt;0,OR(AA470+AB470-AC470&lt;C470+D470-E470,AND(AA470+AB470-AC470=C470+D470-E470,4&lt;0))),1,0)))</x:f>
        <x:v>99</x:v>
      </x:c>
      <x:c r="G470" s="6" t="n">
        <x:f>IF('Debt strategy'!$C$16&gt;0,0,MIN(C470+D470-E470,MAX(0,'Debt strategy'!$C$5-SUM(E470,K470,Q470,W470,AC470)-SUM(IF(L470&lt;F470,I470+J470-K470,0),IF(R470&lt;F470,O470+P470-Q470,0),IF(X470&lt;F470,U470+V470-W470,0),IF(AD470&lt;F470,AA470+AB470-AC470,0)))))</x:f>
        <x:v>0</x:v>
      </x:c>
      <x:c r="H470" s="6" t="n">
        <x:f>ROUND(MAX(0,C470+D470-E470-G470),2)</x:f>
        <x:v>0</x:v>
      </x:c>
      <x:c r="I470" s="6" t="n">
        <x:f>N469</x:f>
        <x:v>0</x:v>
      </x:c>
      <x:c r="J470" s="6" t="n">
        <x:f>ROUND(I470*'Debt strategy'!$D$10/12,2)</x:f>
        <x:v>0</x:v>
      </x:c>
      <x:c r="K470" s="6" t="n">
        <x:f>MIN(I470+J470,'Debt strategy'!$E$10)</x:f>
        <x:v>0</x:v>
      </x:c>
      <x:c r="L470" s="27" t="n">
        <x:f>IF(I470+J470-K470&lt;=0,99,1+SUM(IF(AND(C470+D470-E470&gt;0,OR(C470+D470-E470&lt;I470+J470-K470,AND(C470+D470-E470=I470+J470-K470,0&lt;1))),1,0),IF(AND(O470+P470-Q470&gt;0,OR(O470+P470-Q470&lt;I470+J470-K470,AND(O470+P470-Q470=I470+J470-K470,2&lt;1))),1,0),IF(AND(U470+V470-W470&gt;0,OR(U470+V470-W470&lt;I470+J470-K470,AND(U470+V470-W470=I470+J470-K470,3&lt;1))),1,0),IF(AND(AA470+AB470-AC470&gt;0,OR(AA470+AB470-AC470&lt;I470+J470-K470,AND(AA470+AB470-AC470=I470+J470-K470,4&lt;1))),1,0)))</x:f>
        <x:v>99</x:v>
      </x:c>
      <x:c r="M470" s="6" t="n">
        <x:f>IF('Debt strategy'!$C$16&gt;0,0,MIN(I470+J470-K470,MAX(0,'Debt strategy'!$C$5-SUM(E470,K470,Q470,W470,AC470)-SUM(IF(F470&lt;L470,C470+D470-E470,0),IF(R470&lt;L470,O470+P470-Q470,0),IF(X470&lt;L470,U470+V470-W470,0),IF(AD470&lt;L470,AA470+AB470-AC470,0)))))</x:f>
        <x:v>0</x:v>
      </x:c>
      <x:c r="N470" s="6" t="n">
        <x:f>ROUND(MAX(0,I470+J470-K470-M470),2)</x:f>
        <x:v>0</x:v>
      </x:c>
      <x:c r="O470" s="6" t="n">
        <x:f>T469</x:f>
        <x:v>0</x:v>
      </x:c>
      <x:c r="P470" s="6" t="n">
        <x:f>ROUND(O470*'Debt strategy'!$D$11/12,2)</x:f>
        <x:v>0</x:v>
      </x:c>
      <x:c r="Q470" s="6" t="n">
        <x:f>MIN(O470+P470,'Debt strategy'!$E$11)</x:f>
        <x:v>0</x:v>
      </x:c>
      <x:c r="R470" s="27" t="n">
        <x:f>IF(O470+P470-Q470&lt;=0,99,1+SUM(IF(AND(C470+D470-E470&gt;0,OR(C470+D470-E470&lt;O470+P470-Q470,AND(C470+D470-E470=O470+P470-Q470,0&lt;2))),1,0),IF(AND(I470+J470-K470&gt;0,OR(I470+J470-K470&lt;O470+P470-Q470,AND(I470+J470-K470=O470+P470-Q470,1&lt;2))),1,0),IF(AND(U470+V470-W470&gt;0,OR(U470+V470-W470&lt;O470+P470-Q470,AND(U470+V470-W470=O470+P470-Q470,3&lt;2))),1,0),IF(AND(AA470+AB470-AC470&gt;0,OR(AA470+AB470-AC470&lt;O470+P470-Q470,AND(AA470+AB470-AC470=O470+P470-Q470,4&lt;2))),1,0)))</x:f>
        <x:v>99</x:v>
      </x:c>
      <x:c r="S470" s="6" t="n">
        <x:f>IF('Debt strategy'!$C$16&gt;0,0,MIN(O470+P470-Q470,MAX(0,'Debt strategy'!$C$5-SUM(E470,K470,Q470,W470,AC470)-SUM(IF(F470&lt;R470,C470+D470-E470,0),IF(L470&lt;R470,I470+J470-K470,0),IF(X470&lt;R470,U470+V470-W470,0),IF(AD470&lt;R470,AA470+AB470-AC470,0)))))</x:f>
        <x:v>0</x:v>
      </x:c>
      <x:c r="T470" s="6" t="n">
        <x:f>ROUND(MAX(0,O470+P470-Q470-S470),2)</x:f>
        <x:v>0</x:v>
      </x:c>
      <x:c r="U470" s="6" t="n">
        <x:f>Z469</x:f>
        <x:v>0</x:v>
      </x:c>
      <x:c r="V470" s="6" t="n">
        <x:f>ROUND(U470*'Debt strategy'!$D$12/12,2)</x:f>
        <x:v>0</x:v>
      </x:c>
      <x:c r="W470" s="6" t="n">
        <x:f>MIN(U470+V470,'Debt strategy'!$E$12)</x:f>
        <x:v>0</x:v>
      </x:c>
      <x:c r="X470" s="27" t="n">
        <x:f>IF(U470+V470-W470&lt;=0,99,1+SUM(IF(AND(C470+D470-E470&gt;0,OR(C470+D470-E470&lt;U470+V470-W470,AND(C470+D470-E470=U470+V470-W470,0&lt;3))),1,0),IF(AND(I470+J470-K470&gt;0,OR(I470+J470-K470&lt;U470+V470-W470,AND(I470+J470-K470=U470+V470-W470,1&lt;3))),1,0),IF(AND(O470+P470-Q470&gt;0,OR(O470+P470-Q470&lt;U470+V470-W470,AND(O470+P470-Q470=U470+V470-W470,2&lt;3))),1,0),IF(AND(AA470+AB470-AC470&gt;0,OR(AA470+AB470-AC470&lt;U470+V470-W470,AND(AA470+AB470-AC470=U470+V470-W470,4&lt;3))),1,0)))</x:f>
        <x:v>99</x:v>
      </x:c>
      <x:c r="Y470" s="6" t="n">
        <x:f>IF('Debt strategy'!$C$16&gt;0,0,MIN(U470+V470-W470,MAX(0,'Debt strategy'!$C$5-SUM(E470,K470,Q470,W470,AC470)-SUM(IF(F470&lt;X470,C470+D470-E470,0),IF(L470&lt;X470,I470+J470-K470,0),IF(R470&lt;X470,O470+P470-Q470,0),IF(AD470&lt;X470,AA470+AB470-AC470,0)))))</x:f>
        <x:v>0</x:v>
      </x:c>
      <x:c r="Z470" s="6" t="n">
        <x:f>ROUND(MAX(0,U470+V470-W470-Y470),2)</x:f>
        <x:v>0</x:v>
      </x:c>
      <x:c r="AA470" s="6" t="n">
        <x:f>AF469</x:f>
        <x:v>0</x:v>
      </x:c>
      <x:c r="AB470" s="6" t="n">
        <x:f>ROUND(AA470*'Debt strategy'!$D$13/12,2)</x:f>
        <x:v>0</x:v>
      </x:c>
      <x:c r="AC470" s="6" t="n">
        <x:f>MIN(AA470+AB470,'Debt strategy'!$E$13)</x:f>
        <x:v>0</x:v>
      </x:c>
      <x:c r="AD470" s="27" t="n">
        <x:f>IF(AA470+AB470-AC470&lt;=0,99,1+SUM(IF(AND(C470+D470-E470&gt;0,OR(C470+D470-E470&lt;AA470+AB470-AC470,AND(C470+D470-E470=AA470+AB470-AC470,0&lt;4))),1,0),IF(AND(I470+J470-K470&gt;0,OR(I470+J470-K470&lt;AA470+AB470-AC470,AND(I470+J470-K470=AA470+AB470-AC470,1&lt;4))),1,0),IF(AND(O470+P470-Q470&gt;0,OR(O470+P470-Q470&lt;AA470+AB470-AC470,AND(O470+P470-Q470=AA470+AB470-AC470,2&lt;4))),1,0),IF(AND(U470+V470-W470&gt;0,OR(U470+V470-W470&lt;AA470+AB470-AC470,AND(U470+V470-W470=AA470+AB470-AC470,3&lt;4))),1,0)))</x:f>
        <x:v>99</x:v>
      </x:c>
      <x:c r="AE470" s="6" t="n">
        <x:f>IF('Debt strategy'!$C$16&gt;0,0,MIN(AA470+AB470-AC470,MAX(0,'Debt strategy'!$C$5-SUM(E470,K470,Q470,W470,AC470)-SUM(IF(F470&lt;AD470,C470+D470-E470,0),IF(L470&lt;AD470,I470+J470-K470,0),IF(R470&lt;AD470,O470+P470-Q470,0),IF(X470&lt;AD470,U470+V470-W470,0)))))</x:f>
        <x:v>0</x:v>
      </x:c>
      <x:c r="AF470" s="6" t="n">
        <x:f>ROUND(MAX(0,AA470+AB470-AC470-AE470),2)</x:f>
        <x:v>0</x:v>
      </x:c>
      <x:c r="AG470" s="6" t="n">
        <x:f>SUM(H470,N470,T470,Z470,AF470)</x:f>
        <x:v>0</x:v>
      </x:c>
      <x:c r="AH470" s="6" t="n">
        <x:f>SUM(D470,J470,P470,V470,AB470)+AH469</x:f>
        <x:v>1353.9499999999996</x:v>
      </x:c>
      <x:c r="AI470" s="2"/>
    </x:row>
    <x:row r="471" ht="23" customHeight="1">
      <x:c r="B471" s="2" t="n">
        <x:f>463</x:f>
        <x:v>463</x:v>
      </x:c>
      <x:c r="C471" s="6" t="n">
        <x:f>H470</x:f>
        <x:v>0</x:v>
      </x:c>
      <x:c r="D471" s="6" t="n">
        <x:f>ROUND(C471*'Debt strategy'!$D$9/12,2)</x:f>
        <x:v>0</x:v>
      </x:c>
      <x:c r="E471" s="6" t="n">
        <x:f>MIN(C471+D471,'Debt strategy'!$E$9)</x:f>
        <x:v>0</x:v>
      </x:c>
      <x:c r="F471" s="27" t="n">
        <x:f>IF(C471+D471-E471&lt;=0,99,1+SUM(IF(AND(I471+J471-K471&gt;0,OR(I471+J471-K471&lt;C471+D471-E471,AND(I471+J471-K471=C471+D471-E471,1&lt;0))),1,0),IF(AND(O471+P471-Q471&gt;0,OR(O471+P471-Q471&lt;C471+D471-E471,AND(O471+P471-Q471=C471+D471-E471,2&lt;0))),1,0),IF(AND(U471+V471-W471&gt;0,OR(U471+V471-W471&lt;C471+D471-E471,AND(U471+V471-W471=C471+D471-E471,3&lt;0))),1,0),IF(AND(AA471+AB471-AC471&gt;0,OR(AA471+AB471-AC471&lt;C471+D471-E471,AND(AA471+AB471-AC471=C471+D471-E471,4&lt;0))),1,0)))</x:f>
        <x:v>99</x:v>
      </x:c>
      <x:c r="G471" s="6" t="n">
        <x:f>IF('Debt strategy'!$C$16&gt;0,0,MIN(C471+D471-E471,MAX(0,'Debt strategy'!$C$5-SUM(E471,K471,Q471,W471,AC471)-SUM(IF(L471&lt;F471,I471+J471-K471,0),IF(R471&lt;F471,O471+P471-Q471,0),IF(X471&lt;F471,U471+V471-W471,0),IF(AD471&lt;F471,AA471+AB471-AC471,0)))))</x:f>
        <x:v>0</x:v>
      </x:c>
      <x:c r="H471" s="6" t="n">
        <x:f>ROUND(MAX(0,C471+D471-E471-G471),2)</x:f>
        <x:v>0</x:v>
      </x:c>
      <x:c r="I471" s="6" t="n">
        <x:f>N470</x:f>
        <x:v>0</x:v>
      </x:c>
      <x:c r="J471" s="6" t="n">
        <x:f>ROUND(I471*'Debt strategy'!$D$10/12,2)</x:f>
        <x:v>0</x:v>
      </x:c>
      <x:c r="K471" s="6" t="n">
        <x:f>MIN(I471+J471,'Debt strategy'!$E$10)</x:f>
        <x:v>0</x:v>
      </x:c>
      <x:c r="L471" s="27" t="n">
        <x:f>IF(I471+J471-K471&lt;=0,99,1+SUM(IF(AND(C471+D471-E471&gt;0,OR(C471+D471-E471&lt;I471+J471-K471,AND(C471+D471-E471=I471+J471-K471,0&lt;1))),1,0),IF(AND(O471+P471-Q471&gt;0,OR(O471+P471-Q471&lt;I471+J471-K471,AND(O471+P471-Q471=I471+J471-K471,2&lt;1))),1,0),IF(AND(U471+V471-W471&gt;0,OR(U471+V471-W471&lt;I471+J471-K471,AND(U471+V471-W471=I471+J471-K471,3&lt;1))),1,0),IF(AND(AA471+AB471-AC471&gt;0,OR(AA471+AB471-AC471&lt;I471+J471-K471,AND(AA471+AB471-AC471=I471+J471-K471,4&lt;1))),1,0)))</x:f>
        <x:v>99</x:v>
      </x:c>
      <x:c r="M471" s="6" t="n">
        <x:f>IF('Debt strategy'!$C$16&gt;0,0,MIN(I471+J471-K471,MAX(0,'Debt strategy'!$C$5-SUM(E471,K471,Q471,W471,AC471)-SUM(IF(F471&lt;L471,C471+D471-E471,0),IF(R471&lt;L471,O471+P471-Q471,0),IF(X471&lt;L471,U471+V471-W471,0),IF(AD471&lt;L471,AA471+AB471-AC471,0)))))</x:f>
        <x:v>0</x:v>
      </x:c>
      <x:c r="N471" s="6" t="n">
        <x:f>ROUND(MAX(0,I471+J471-K471-M471),2)</x:f>
        <x:v>0</x:v>
      </x:c>
      <x:c r="O471" s="6" t="n">
        <x:f>T470</x:f>
        <x:v>0</x:v>
      </x:c>
      <x:c r="P471" s="6" t="n">
        <x:f>ROUND(O471*'Debt strategy'!$D$11/12,2)</x:f>
        <x:v>0</x:v>
      </x:c>
      <x:c r="Q471" s="6" t="n">
        <x:f>MIN(O471+P471,'Debt strategy'!$E$11)</x:f>
        <x:v>0</x:v>
      </x:c>
      <x:c r="R471" s="27" t="n">
        <x:f>IF(O471+P471-Q471&lt;=0,99,1+SUM(IF(AND(C471+D471-E471&gt;0,OR(C471+D471-E471&lt;O471+P471-Q471,AND(C471+D471-E471=O471+P471-Q471,0&lt;2))),1,0),IF(AND(I471+J471-K471&gt;0,OR(I471+J471-K471&lt;O471+P471-Q471,AND(I471+J471-K471=O471+P471-Q471,1&lt;2))),1,0),IF(AND(U471+V471-W471&gt;0,OR(U471+V471-W471&lt;O471+P471-Q471,AND(U471+V471-W471=O471+P471-Q471,3&lt;2))),1,0),IF(AND(AA471+AB471-AC471&gt;0,OR(AA471+AB471-AC471&lt;O471+P471-Q471,AND(AA471+AB471-AC471=O471+P471-Q471,4&lt;2))),1,0)))</x:f>
        <x:v>99</x:v>
      </x:c>
      <x:c r="S471" s="6" t="n">
        <x:f>IF('Debt strategy'!$C$16&gt;0,0,MIN(O471+P471-Q471,MAX(0,'Debt strategy'!$C$5-SUM(E471,K471,Q471,W471,AC471)-SUM(IF(F471&lt;R471,C471+D471-E471,0),IF(L471&lt;R471,I471+J471-K471,0),IF(X471&lt;R471,U471+V471-W471,0),IF(AD471&lt;R471,AA471+AB471-AC471,0)))))</x:f>
        <x:v>0</x:v>
      </x:c>
      <x:c r="T471" s="6" t="n">
        <x:f>ROUND(MAX(0,O471+P471-Q471-S471),2)</x:f>
        <x:v>0</x:v>
      </x:c>
      <x:c r="U471" s="6" t="n">
        <x:f>Z470</x:f>
        <x:v>0</x:v>
      </x:c>
      <x:c r="V471" s="6" t="n">
        <x:f>ROUND(U471*'Debt strategy'!$D$12/12,2)</x:f>
        <x:v>0</x:v>
      </x:c>
      <x:c r="W471" s="6" t="n">
        <x:f>MIN(U471+V471,'Debt strategy'!$E$12)</x:f>
        <x:v>0</x:v>
      </x:c>
      <x:c r="X471" s="27" t="n">
        <x:f>IF(U471+V471-W471&lt;=0,99,1+SUM(IF(AND(C471+D471-E471&gt;0,OR(C471+D471-E471&lt;U471+V471-W471,AND(C471+D471-E471=U471+V471-W471,0&lt;3))),1,0),IF(AND(I471+J471-K471&gt;0,OR(I471+J471-K471&lt;U471+V471-W471,AND(I471+J471-K471=U471+V471-W471,1&lt;3))),1,0),IF(AND(O471+P471-Q471&gt;0,OR(O471+P471-Q471&lt;U471+V471-W471,AND(O471+P471-Q471=U471+V471-W471,2&lt;3))),1,0),IF(AND(AA471+AB471-AC471&gt;0,OR(AA471+AB471-AC471&lt;U471+V471-W471,AND(AA471+AB471-AC471=U471+V471-W471,4&lt;3))),1,0)))</x:f>
        <x:v>99</x:v>
      </x:c>
      <x:c r="Y471" s="6" t="n">
        <x:f>IF('Debt strategy'!$C$16&gt;0,0,MIN(U471+V471-W471,MAX(0,'Debt strategy'!$C$5-SUM(E471,K471,Q471,W471,AC471)-SUM(IF(F471&lt;X471,C471+D471-E471,0),IF(L471&lt;X471,I471+J471-K471,0),IF(R471&lt;X471,O471+P471-Q471,0),IF(AD471&lt;X471,AA471+AB471-AC471,0)))))</x:f>
        <x:v>0</x:v>
      </x:c>
      <x:c r="Z471" s="6" t="n">
        <x:f>ROUND(MAX(0,U471+V471-W471-Y471),2)</x:f>
        <x:v>0</x:v>
      </x:c>
      <x:c r="AA471" s="6" t="n">
        <x:f>AF470</x:f>
        <x:v>0</x:v>
      </x:c>
      <x:c r="AB471" s="6" t="n">
        <x:f>ROUND(AA471*'Debt strategy'!$D$13/12,2)</x:f>
        <x:v>0</x:v>
      </x:c>
      <x:c r="AC471" s="6" t="n">
        <x:f>MIN(AA471+AB471,'Debt strategy'!$E$13)</x:f>
        <x:v>0</x:v>
      </x:c>
      <x:c r="AD471" s="27" t="n">
        <x:f>IF(AA471+AB471-AC471&lt;=0,99,1+SUM(IF(AND(C471+D471-E471&gt;0,OR(C471+D471-E471&lt;AA471+AB471-AC471,AND(C471+D471-E471=AA471+AB471-AC471,0&lt;4))),1,0),IF(AND(I471+J471-K471&gt;0,OR(I471+J471-K471&lt;AA471+AB471-AC471,AND(I471+J471-K471=AA471+AB471-AC471,1&lt;4))),1,0),IF(AND(O471+P471-Q471&gt;0,OR(O471+P471-Q471&lt;AA471+AB471-AC471,AND(O471+P471-Q471=AA471+AB471-AC471,2&lt;4))),1,0),IF(AND(U471+V471-W471&gt;0,OR(U471+V471-W471&lt;AA471+AB471-AC471,AND(U471+V471-W471=AA471+AB471-AC471,3&lt;4))),1,0)))</x:f>
        <x:v>99</x:v>
      </x:c>
      <x:c r="AE471" s="6" t="n">
        <x:f>IF('Debt strategy'!$C$16&gt;0,0,MIN(AA471+AB471-AC471,MAX(0,'Debt strategy'!$C$5-SUM(E471,K471,Q471,W471,AC471)-SUM(IF(F471&lt;AD471,C471+D471-E471,0),IF(L471&lt;AD471,I471+J471-K471,0),IF(R471&lt;AD471,O471+P471-Q471,0),IF(X471&lt;AD471,U471+V471-W471,0)))))</x:f>
        <x:v>0</x:v>
      </x:c>
      <x:c r="AF471" s="6" t="n">
        <x:f>ROUND(MAX(0,AA471+AB471-AC471-AE471),2)</x:f>
        <x:v>0</x:v>
      </x:c>
      <x:c r="AG471" s="6" t="n">
        <x:f>SUM(H471,N471,T471,Z471,AF471)</x:f>
        <x:v>0</x:v>
      </x:c>
      <x:c r="AH471" s="6" t="n">
        <x:f>SUM(D471,J471,P471,V471,AB471)+AH470</x:f>
        <x:v>1353.9499999999996</x:v>
      </x:c>
      <x:c r="AI471" s="2"/>
    </x:row>
    <x:row r="472" ht="23" customHeight="1">
      <x:c r="B472" s="2" t="n">
        <x:f>464</x:f>
        <x:v>464</x:v>
      </x:c>
      <x:c r="C472" s="6" t="n">
        <x:f>H471</x:f>
        <x:v>0</x:v>
      </x:c>
      <x:c r="D472" s="6" t="n">
        <x:f>ROUND(C472*'Debt strategy'!$D$9/12,2)</x:f>
        <x:v>0</x:v>
      </x:c>
      <x:c r="E472" s="6" t="n">
        <x:f>MIN(C472+D472,'Debt strategy'!$E$9)</x:f>
        <x:v>0</x:v>
      </x:c>
      <x:c r="F472" s="27" t="n">
        <x:f>IF(C472+D472-E472&lt;=0,99,1+SUM(IF(AND(I472+J472-K472&gt;0,OR(I472+J472-K472&lt;C472+D472-E472,AND(I472+J472-K472=C472+D472-E472,1&lt;0))),1,0),IF(AND(O472+P472-Q472&gt;0,OR(O472+P472-Q472&lt;C472+D472-E472,AND(O472+P472-Q472=C472+D472-E472,2&lt;0))),1,0),IF(AND(U472+V472-W472&gt;0,OR(U472+V472-W472&lt;C472+D472-E472,AND(U472+V472-W472=C472+D472-E472,3&lt;0))),1,0),IF(AND(AA472+AB472-AC472&gt;0,OR(AA472+AB472-AC472&lt;C472+D472-E472,AND(AA472+AB472-AC472=C472+D472-E472,4&lt;0))),1,0)))</x:f>
        <x:v>99</x:v>
      </x:c>
      <x:c r="G472" s="6" t="n">
        <x:f>IF('Debt strategy'!$C$16&gt;0,0,MIN(C472+D472-E472,MAX(0,'Debt strategy'!$C$5-SUM(E472,K472,Q472,W472,AC472)-SUM(IF(L472&lt;F472,I472+J472-K472,0),IF(R472&lt;F472,O472+P472-Q472,0),IF(X472&lt;F472,U472+V472-W472,0),IF(AD472&lt;F472,AA472+AB472-AC472,0)))))</x:f>
        <x:v>0</x:v>
      </x:c>
      <x:c r="H472" s="6" t="n">
        <x:f>ROUND(MAX(0,C472+D472-E472-G472),2)</x:f>
        <x:v>0</x:v>
      </x:c>
      <x:c r="I472" s="6" t="n">
        <x:f>N471</x:f>
        <x:v>0</x:v>
      </x:c>
      <x:c r="J472" s="6" t="n">
        <x:f>ROUND(I472*'Debt strategy'!$D$10/12,2)</x:f>
        <x:v>0</x:v>
      </x:c>
      <x:c r="K472" s="6" t="n">
        <x:f>MIN(I472+J472,'Debt strategy'!$E$10)</x:f>
        <x:v>0</x:v>
      </x:c>
      <x:c r="L472" s="27" t="n">
        <x:f>IF(I472+J472-K472&lt;=0,99,1+SUM(IF(AND(C472+D472-E472&gt;0,OR(C472+D472-E472&lt;I472+J472-K472,AND(C472+D472-E472=I472+J472-K472,0&lt;1))),1,0),IF(AND(O472+P472-Q472&gt;0,OR(O472+P472-Q472&lt;I472+J472-K472,AND(O472+P472-Q472=I472+J472-K472,2&lt;1))),1,0),IF(AND(U472+V472-W472&gt;0,OR(U472+V472-W472&lt;I472+J472-K472,AND(U472+V472-W472=I472+J472-K472,3&lt;1))),1,0),IF(AND(AA472+AB472-AC472&gt;0,OR(AA472+AB472-AC472&lt;I472+J472-K472,AND(AA472+AB472-AC472=I472+J472-K472,4&lt;1))),1,0)))</x:f>
        <x:v>99</x:v>
      </x:c>
      <x:c r="M472" s="6" t="n">
        <x:f>IF('Debt strategy'!$C$16&gt;0,0,MIN(I472+J472-K472,MAX(0,'Debt strategy'!$C$5-SUM(E472,K472,Q472,W472,AC472)-SUM(IF(F472&lt;L472,C472+D472-E472,0),IF(R472&lt;L472,O472+P472-Q472,0),IF(X472&lt;L472,U472+V472-W472,0),IF(AD472&lt;L472,AA472+AB472-AC472,0)))))</x:f>
        <x:v>0</x:v>
      </x:c>
      <x:c r="N472" s="6" t="n">
        <x:f>ROUND(MAX(0,I472+J472-K472-M472),2)</x:f>
        <x:v>0</x:v>
      </x:c>
      <x:c r="O472" s="6" t="n">
        <x:f>T471</x:f>
        <x:v>0</x:v>
      </x:c>
      <x:c r="P472" s="6" t="n">
        <x:f>ROUND(O472*'Debt strategy'!$D$11/12,2)</x:f>
        <x:v>0</x:v>
      </x:c>
      <x:c r="Q472" s="6" t="n">
        <x:f>MIN(O472+P472,'Debt strategy'!$E$11)</x:f>
        <x:v>0</x:v>
      </x:c>
      <x:c r="R472" s="27" t="n">
        <x:f>IF(O472+P472-Q472&lt;=0,99,1+SUM(IF(AND(C472+D472-E472&gt;0,OR(C472+D472-E472&lt;O472+P472-Q472,AND(C472+D472-E472=O472+P472-Q472,0&lt;2))),1,0),IF(AND(I472+J472-K472&gt;0,OR(I472+J472-K472&lt;O472+P472-Q472,AND(I472+J472-K472=O472+P472-Q472,1&lt;2))),1,0),IF(AND(U472+V472-W472&gt;0,OR(U472+V472-W472&lt;O472+P472-Q472,AND(U472+V472-W472=O472+P472-Q472,3&lt;2))),1,0),IF(AND(AA472+AB472-AC472&gt;0,OR(AA472+AB472-AC472&lt;O472+P472-Q472,AND(AA472+AB472-AC472=O472+P472-Q472,4&lt;2))),1,0)))</x:f>
        <x:v>99</x:v>
      </x:c>
      <x:c r="S472" s="6" t="n">
        <x:f>IF('Debt strategy'!$C$16&gt;0,0,MIN(O472+P472-Q472,MAX(0,'Debt strategy'!$C$5-SUM(E472,K472,Q472,W472,AC472)-SUM(IF(F472&lt;R472,C472+D472-E472,0),IF(L472&lt;R472,I472+J472-K472,0),IF(X472&lt;R472,U472+V472-W472,0),IF(AD472&lt;R472,AA472+AB472-AC472,0)))))</x:f>
        <x:v>0</x:v>
      </x:c>
      <x:c r="T472" s="6" t="n">
        <x:f>ROUND(MAX(0,O472+P472-Q472-S472),2)</x:f>
        <x:v>0</x:v>
      </x:c>
      <x:c r="U472" s="6" t="n">
        <x:f>Z471</x:f>
        <x:v>0</x:v>
      </x:c>
      <x:c r="V472" s="6" t="n">
        <x:f>ROUND(U472*'Debt strategy'!$D$12/12,2)</x:f>
        <x:v>0</x:v>
      </x:c>
      <x:c r="W472" s="6" t="n">
        <x:f>MIN(U472+V472,'Debt strategy'!$E$12)</x:f>
        <x:v>0</x:v>
      </x:c>
      <x:c r="X472" s="27" t="n">
        <x:f>IF(U472+V472-W472&lt;=0,99,1+SUM(IF(AND(C472+D472-E472&gt;0,OR(C472+D472-E472&lt;U472+V472-W472,AND(C472+D472-E472=U472+V472-W472,0&lt;3))),1,0),IF(AND(I472+J472-K472&gt;0,OR(I472+J472-K472&lt;U472+V472-W472,AND(I472+J472-K472=U472+V472-W472,1&lt;3))),1,0),IF(AND(O472+P472-Q472&gt;0,OR(O472+P472-Q472&lt;U472+V472-W472,AND(O472+P472-Q472=U472+V472-W472,2&lt;3))),1,0),IF(AND(AA472+AB472-AC472&gt;0,OR(AA472+AB472-AC472&lt;U472+V472-W472,AND(AA472+AB472-AC472=U472+V472-W472,4&lt;3))),1,0)))</x:f>
        <x:v>99</x:v>
      </x:c>
      <x:c r="Y472" s="6" t="n">
        <x:f>IF('Debt strategy'!$C$16&gt;0,0,MIN(U472+V472-W472,MAX(0,'Debt strategy'!$C$5-SUM(E472,K472,Q472,W472,AC472)-SUM(IF(F472&lt;X472,C472+D472-E472,0),IF(L472&lt;X472,I472+J472-K472,0),IF(R472&lt;X472,O472+P472-Q472,0),IF(AD472&lt;X472,AA472+AB472-AC472,0)))))</x:f>
        <x:v>0</x:v>
      </x:c>
      <x:c r="Z472" s="6" t="n">
        <x:f>ROUND(MAX(0,U472+V472-W472-Y472),2)</x:f>
        <x:v>0</x:v>
      </x:c>
      <x:c r="AA472" s="6" t="n">
        <x:f>AF471</x:f>
        <x:v>0</x:v>
      </x:c>
      <x:c r="AB472" s="6" t="n">
        <x:f>ROUND(AA472*'Debt strategy'!$D$13/12,2)</x:f>
        <x:v>0</x:v>
      </x:c>
      <x:c r="AC472" s="6" t="n">
        <x:f>MIN(AA472+AB472,'Debt strategy'!$E$13)</x:f>
        <x:v>0</x:v>
      </x:c>
      <x:c r="AD472" s="27" t="n">
        <x:f>IF(AA472+AB472-AC472&lt;=0,99,1+SUM(IF(AND(C472+D472-E472&gt;0,OR(C472+D472-E472&lt;AA472+AB472-AC472,AND(C472+D472-E472=AA472+AB472-AC472,0&lt;4))),1,0),IF(AND(I472+J472-K472&gt;0,OR(I472+J472-K472&lt;AA472+AB472-AC472,AND(I472+J472-K472=AA472+AB472-AC472,1&lt;4))),1,0),IF(AND(O472+P472-Q472&gt;0,OR(O472+P472-Q472&lt;AA472+AB472-AC472,AND(O472+P472-Q472=AA472+AB472-AC472,2&lt;4))),1,0),IF(AND(U472+V472-W472&gt;0,OR(U472+V472-W472&lt;AA472+AB472-AC472,AND(U472+V472-W472=AA472+AB472-AC472,3&lt;4))),1,0)))</x:f>
        <x:v>99</x:v>
      </x:c>
      <x:c r="AE472" s="6" t="n">
        <x:f>IF('Debt strategy'!$C$16&gt;0,0,MIN(AA472+AB472-AC472,MAX(0,'Debt strategy'!$C$5-SUM(E472,K472,Q472,W472,AC472)-SUM(IF(F472&lt;AD472,C472+D472-E472,0),IF(L472&lt;AD472,I472+J472-K472,0),IF(R472&lt;AD472,O472+P472-Q472,0),IF(X472&lt;AD472,U472+V472-W472,0)))))</x:f>
        <x:v>0</x:v>
      </x:c>
      <x:c r="AF472" s="6" t="n">
        <x:f>ROUND(MAX(0,AA472+AB472-AC472-AE472),2)</x:f>
        <x:v>0</x:v>
      </x:c>
      <x:c r="AG472" s="6" t="n">
        <x:f>SUM(H472,N472,T472,Z472,AF472)</x:f>
        <x:v>0</x:v>
      </x:c>
      <x:c r="AH472" s="6" t="n">
        <x:f>SUM(D472,J472,P472,V472,AB472)+AH471</x:f>
        <x:v>1353.9499999999996</x:v>
      </x:c>
      <x:c r="AI472" s="2"/>
    </x:row>
    <x:row r="473" ht="23" customHeight="1">
      <x:c r="B473" s="2" t="n">
        <x:f>465</x:f>
        <x:v>465</x:v>
      </x:c>
      <x:c r="C473" s="6" t="n">
        <x:f>H472</x:f>
        <x:v>0</x:v>
      </x:c>
      <x:c r="D473" s="6" t="n">
        <x:f>ROUND(C473*'Debt strategy'!$D$9/12,2)</x:f>
        <x:v>0</x:v>
      </x:c>
      <x:c r="E473" s="6" t="n">
        <x:f>MIN(C473+D473,'Debt strategy'!$E$9)</x:f>
        <x:v>0</x:v>
      </x:c>
      <x:c r="F473" s="27" t="n">
        <x:f>IF(C473+D473-E473&lt;=0,99,1+SUM(IF(AND(I473+J473-K473&gt;0,OR(I473+J473-K473&lt;C473+D473-E473,AND(I473+J473-K473=C473+D473-E473,1&lt;0))),1,0),IF(AND(O473+P473-Q473&gt;0,OR(O473+P473-Q473&lt;C473+D473-E473,AND(O473+P473-Q473=C473+D473-E473,2&lt;0))),1,0),IF(AND(U473+V473-W473&gt;0,OR(U473+V473-W473&lt;C473+D473-E473,AND(U473+V473-W473=C473+D473-E473,3&lt;0))),1,0),IF(AND(AA473+AB473-AC473&gt;0,OR(AA473+AB473-AC473&lt;C473+D473-E473,AND(AA473+AB473-AC473=C473+D473-E473,4&lt;0))),1,0)))</x:f>
        <x:v>99</x:v>
      </x:c>
      <x:c r="G473" s="6" t="n">
        <x:f>IF('Debt strategy'!$C$16&gt;0,0,MIN(C473+D473-E473,MAX(0,'Debt strategy'!$C$5-SUM(E473,K473,Q473,W473,AC473)-SUM(IF(L473&lt;F473,I473+J473-K473,0),IF(R473&lt;F473,O473+P473-Q473,0),IF(X473&lt;F473,U473+V473-W473,0),IF(AD473&lt;F473,AA473+AB473-AC473,0)))))</x:f>
        <x:v>0</x:v>
      </x:c>
      <x:c r="H473" s="6" t="n">
        <x:f>ROUND(MAX(0,C473+D473-E473-G473),2)</x:f>
        <x:v>0</x:v>
      </x:c>
      <x:c r="I473" s="6" t="n">
        <x:f>N472</x:f>
        <x:v>0</x:v>
      </x:c>
      <x:c r="J473" s="6" t="n">
        <x:f>ROUND(I473*'Debt strategy'!$D$10/12,2)</x:f>
        <x:v>0</x:v>
      </x:c>
      <x:c r="K473" s="6" t="n">
        <x:f>MIN(I473+J473,'Debt strategy'!$E$10)</x:f>
        <x:v>0</x:v>
      </x:c>
      <x:c r="L473" s="27" t="n">
        <x:f>IF(I473+J473-K473&lt;=0,99,1+SUM(IF(AND(C473+D473-E473&gt;0,OR(C473+D473-E473&lt;I473+J473-K473,AND(C473+D473-E473=I473+J473-K473,0&lt;1))),1,0),IF(AND(O473+P473-Q473&gt;0,OR(O473+P473-Q473&lt;I473+J473-K473,AND(O473+P473-Q473=I473+J473-K473,2&lt;1))),1,0),IF(AND(U473+V473-W473&gt;0,OR(U473+V473-W473&lt;I473+J473-K473,AND(U473+V473-W473=I473+J473-K473,3&lt;1))),1,0),IF(AND(AA473+AB473-AC473&gt;0,OR(AA473+AB473-AC473&lt;I473+J473-K473,AND(AA473+AB473-AC473=I473+J473-K473,4&lt;1))),1,0)))</x:f>
        <x:v>99</x:v>
      </x:c>
      <x:c r="M473" s="6" t="n">
        <x:f>IF('Debt strategy'!$C$16&gt;0,0,MIN(I473+J473-K473,MAX(0,'Debt strategy'!$C$5-SUM(E473,K473,Q473,W473,AC473)-SUM(IF(F473&lt;L473,C473+D473-E473,0),IF(R473&lt;L473,O473+P473-Q473,0),IF(X473&lt;L473,U473+V473-W473,0),IF(AD473&lt;L473,AA473+AB473-AC473,0)))))</x:f>
        <x:v>0</x:v>
      </x:c>
      <x:c r="N473" s="6" t="n">
        <x:f>ROUND(MAX(0,I473+J473-K473-M473),2)</x:f>
        <x:v>0</x:v>
      </x:c>
      <x:c r="O473" s="6" t="n">
        <x:f>T472</x:f>
        <x:v>0</x:v>
      </x:c>
      <x:c r="P473" s="6" t="n">
        <x:f>ROUND(O473*'Debt strategy'!$D$11/12,2)</x:f>
        <x:v>0</x:v>
      </x:c>
      <x:c r="Q473" s="6" t="n">
        <x:f>MIN(O473+P473,'Debt strategy'!$E$11)</x:f>
        <x:v>0</x:v>
      </x:c>
      <x:c r="R473" s="27" t="n">
        <x:f>IF(O473+P473-Q473&lt;=0,99,1+SUM(IF(AND(C473+D473-E473&gt;0,OR(C473+D473-E473&lt;O473+P473-Q473,AND(C473+D473-E473=O473+P473-Q473,0&lt;2))),1,0),IF(AND(I473+J473-K473&gt;0,OR(I473+J473-K473&lt;O473+P473-Q473,AND(I473+J473-K473=O473+P473-Q473,1&lt;2))),1,0),IF(AND(U473+V473-W473&gt;0,OR(U473+V473-W473&lt;O473+P473-Q473,AND(U473+V473-W473=O473+P473-Q473,3&lt;2))),1,0),IF(AND(AA473+AB473-AC473&gt;0,OR(AA473+AB473-AC473&lt;O473+P473-Q473,AND(AA473+AB473-AC473=O473+P473-Q473,4&lt;2))),1,0)))</x:f>
        <x:v>99</x:v>
      </x:c>
      <x:c r="S473" s="6" t="n">
        <x:f>IF('Debt strategy'!$C$16&gt;0,0,MIN(O473+P473-Q473,MAX(0,'Debt strategy'!$C$5-SUM(E473,K473,Q473,W473,AC473)-SUM(IF(F473&lt;R473,C473+D473-E473,0),IF(L473&lt;R473,I473+J473-K473,0),IF(X473&lt;R473,U473+V473-W473,0),IF(AD473&lt;R473,AA473+AB473-AC473,0)))))</x:f>
        <x:v>0</x:v>
      </x:c>
      <x:c r="T473" s="6" t="n">
        <x:f>ROUND(MAX(0,O473+P473-Q473-S473),2)</x:f>
        <x:v>0</x:v>
      </x:c>
      <x:c r="U473" s="6" t="n">
        <x:f>Z472</x:f>
        <x:v>0</x:v>
      </x:c>
      <x:c r="V473" s="6" t="n">
        <x:f>ROUND(U473*'Debt strategy'!$D$12/12,2)</x:f>
        <x:v>0</x:v>
      </x:c>
      <x:c r="W473" s="6" t="n">
        <x:f>MIN(U473+V473,'Debt strategy'!$E$12)</x:f>
        <x:v>0</x:v>
      </x:c>
      <x:c r="X473" s="27" t="n">
        <x:f>IF(U473+V473-W473&lt;=0,99,1+SUM(IF(AND(C473+D473-E473&gt;0,OR(C473+D473-E473&lt;U473+V473-W473,AND(C473+D473-E473=U473+V473-W473,0&lt;3))),1,0),IF(AND(I473+J473-K473&gt;0,OR(I473+J473-K473&lt;U473+V473-W473,AND(I473+J473-K473=U473+V473-W473,1&lt;3))),1,0),IF(AND(O473+P473-Q473&gt;0,OR(O473+P473-Q473&lt;U473+V473-W473,AND(O473+P473-Q473=U473+V473-W473,2&lt;3))),1,0),IF(AND(AA473+AB473-AC473&gt;0,OR(AA473+AB473-AC473&lt;U473+V473-W473,AND(AA473+AB473-AC473=U473+V473-W473,4&lt;3))),1,0)))</x:f>
        <x:v>99</x:v>
      </x:c>
      <x:c r="Y473" s="6" t="n">
        <x:f>IF('Debt strategy'!$C$16&gt;0,0,MIN(U473+V473-W473,MAX(0,'Debt strategy'!$C$5-SUM(E473,K473,Q473,W473,AC473)-SUM(IF(F473&lt;X473,C473+D473-E473,0),IF(L473&lt;X473,I473+J473-K473,0),IF(R473&lt;X473,O473+P473-Q473,0),IF(AD473&lt;X473,AA473+AB473-AC473,0)))))</x:f>
        <x:v>0</x:v>
      </x:c>
      <x:c r="Z473" s="6" t="n">
        <x:f>ROUND(MAX(0,U473+V473-W473-Y473),2)</x:f>
        <x:v>0</x:v>
      </x:c>
      <x:c r="AA473" s="6" t="n">
        <x:f>AF472</x:f>
        <x:v>0</x:v>
      </x:c>
      <x:c r="AB473" s="6" t="n">
        <x:f>ROUND(AA473*'Debt strategy'!$D$13/12,2)</x:f>
        <x:v>0</x:v>
      </x:c>
      <x:c r="AC473" s="6" t="n">
        <x:f>MIN(AA473+AB473,'Debt strategy'!$E$13)</x:f>
        <x:v>0</x:v>
      </x:c>
      <x:c r="AD473" s="27" t="n">
        <x:f>IF(AA473+AB473-AC473&lt;=0,99,1+SUM(IF(AND(C473+D473-E473&gt;0,OR(C473+D473-E473&lt;AA473+AB473-AC473,AND(C473+D473-E473=AA473+AB473-AC473,0&lt;4))),1,0),IF(AND(I473+J473-K473&gt;0,OR(I473+J473-K473&lt;AA473+AB473-AC473,AND(I473+J473-K473=AA473+AB473-AC473,1&lt;4))),1,0),IF(AND(O473+P473-Q473&gt;0,OR(O473+P473-Q473&lt;AA473+AB473-AC473,AND(O473+P473-Q473=AA473+AB473-AC473,2&lt;4))),1,0),IF(AND(U473+V473-W473&gt;0,OR(U473+V473-W473&lt;AA473+AB473-AC473,AND(U473+V473-W473=AA473+AB473-AC473,3&lt;4))),1,0)))</x:f>
        <x:v>99</x:v>
      </x:c>
      <x:c r="AE473" s="6" t="n">
        <x:f>IF('Debt strategy'!$C$16&gt;0,0,MIN(AA473+AB473-AC473,MAX(0,'Debt strategy'!$C$5-SUM(E473,K473,Q473,W473,AC473)-SUM(IF(F473&lt;AD473,C473+D473-E473,0),IF(L473&lt;AD473,I473+J473-K473,0),IF(R473&lt;AD473,O473+P473-Q473,0),IF(X473&lt;AD473,U473+V473-W473,0)))))</x:f>
        <x:v>0</x:v>
      </x:c>
      <x:c r="AF473" s="6" t="n">
        <x:f>ROUND(MAX(0,AA473+AB473-AC473-AE473),2)</x:f>
        <x:v>0</x:v>
      </x:c>
      <x:c r="AG473" s="6" t="n">
        <x:f>SUM(H473,N473,T473,Z473,AF473)</x:f>
        <x:v>0</x:v>
      </x:c>
      <x:c r="AH473" s="6" t="n">
        <x:f>SUM(D473,J473,P473,V473,AB473)+AH472</x:f>
        <x:v>1353.9499999999996</x:v>
      </x:c>
      <x:c r="AI473" s="2"/>
    </x:row>
    <x:row r="474" ht="23" customHeight="1">
      <x:c r="B474" s="2" t="n">
        <x:f>466</x:f>
        <x:v>466</x:v>
      </x:c>
      <x:c r="C474" s="6" t="n">
        <x:f>H473</x:f>
        <x:v>0</x:v>
      </x:c>
      <x:c r="D474" s="6" t="n">
        <x:f>ROUND(C474*'Debt strategy'!$D$9/12,2)</x:f>
        <x:v>0</x:v>
      </x:c>
      <x:c r="E474" s="6" t="n">
        <x:f>MIN(C474+D474,'Debt strategy'!$E$9)</x:f>
        <x:v>0</x:v>
      </x:c>
      <x:c r="F474" s="27" t="n">
        <x:f>IF(C474+D474-E474&lt;=0,99,1+SUM(IF(AND(I474+J474-K474&gt;0,OR(I474+J474-K474&lt;C474+D474-E474,AND(I474+J474-K474=C474+D474-E474,1&lt;0))),1,0),IF(AND(O474+P474-Q474&gt;0,OR(O474+P474-Q474&lt;C474+D474-E474,AND(O474+P474-Q474=C474+D474-E474,2&lt;0))),1,0),IF(AND(U474+V474-W474&gt;0,OR(U474+V474-W474&lt;C474+D474-E474,AND(U474+V474-W474=C474+D474-E474,3&lt;0))),1,0),IF(AND(AA474+AB474-AC474&gt;0,OR(AA474+AB474-AC474&lt;C474+D474-E474,AND(AA474+AB474-AC474=C474+D474-E474,4&lt;0))),1,0)))</x:f>
        <x:v>99</x:v>
      </x:c>
      <x:c r="G474" s="6" t="n">
        <x:f>IF('Debt strategy'!$C$16&gt;0,0,MIN(C474+D474-E474,MAX(0,'Debt strategy'!$C$5-SUM(E474,K474,Q474,W474,AC474)-SUM(IF(L474&lt;F474,I474+J474-K474,0),IF(R474&lt;F474,O474+P474-Q474,0),IF(X474&lt;F474,U474+V474-W474,0),IF(AD474&lt;F474,AA474+AB474-AC474,0)))))</x:f>
        <x:v>0</x:v>
      </x:c>
      <x:c r="H474" s="6" t="n">
        <x:f>ROUND(MAX(0,C474+D474-E474-G474),2)</x:f>
        <x:v>0</x:v>
      </x:c>
      <x:c r="I474" s="6" t="n">
        <x:f>N473</x:f>
        <x:v>0</x:v>
      </x:c>
      <x:c r="J474" s="6" t="n">
        <x:f>ROUND(I474*'Debt strategy'!$D$10/12,2)</x:f>
        <x:v>0</x:v>
      </x:c>
      <x:c r="K474" s="6" t="n">
        <x:f>MIN(I474+J474,'Debt strategy'!$E$10)</x:f>
        <x:v>0</x:v>
      </x:c>
      <x:c r="L474" s="27" t="n">
        <x:f>IF(I474+J474-K474&lt;=0,99,1+SUM(IF(AND(C474+D474-E474&gt;0,OR(C474+D474-E474&lt;I474+J474-K474,AND(C474+D474-E474=I474+J474-K474,0&lt;1))),1,0),IF(AND(O474+P474-Q474&gt;0,OR(O474+P474-Q474&lt;I474+J474-K474,AND(O474+P474-Q474=I474+J474-K474,2&lt;1))),1,0),IF(AND(U474+V474-W474&gt;0,OR(U474+V474-W474&lt;I474+J474-K474,AND(U474+V474-W474=I474+J474-K474,3&lt;1))),1,0),IF(AND(AA474+AB474-AC474&gt;0,OR(AA474+AB474-AC474&lt;I474+J474-K474,AND(AA474+AB474-AC474=I474+J474-K474,4&lt;1))),1,0)))</x:f>
        <x:v>99</x:v>
      </x:c>
      <x:c r="M474" s="6" t="n">
        <x:f>IF('Debt strategy'!$C$16&gt;0,0,MIN(I474+J474-K474,MAX(0,'Debt strategy'!$C$5-SUM(E474,K474,Q474,W474,AC474)-SUM(IF(F474&lt;L474,C474+D474-E474,0),IF(R474&lt;L474,O474+P474-Q474,0),IF(X474&lt;L474,U474+V474-W474,0),IF(AD474&lt;L474,AA474+AB474-AC474,0)))))</x:f>
        <x:v>0</x:v>
      </x:c>
      <x:c r="N474" s="6" t="n">
        <x:f>ROUND(MAX(0,I474+J474-K474-M474),2)</x:f>
        <x:v>0</x:v>
      </x:c>
      <x:c r="O474" s="6" t="n">
        <x:f>T473</x:f>
        <x:v>0</x:v>
      </x:c>
      <x:c r="P474" s="6" t="n">
        <x:f>ROUND(O474*'Debt strategy'!$D$11/12,2)</x:f>
        <x:v>0</x:v>
      </x:c>
      <x:c r="Q474" s="6" t="n">
        <x:f>MIN(O474+P474,'Debt strategy'!$E$11)</x:f>
        <x:v>0</x:v>
      </x:c>
      <x:c r="R474" s="27" t="n">
        <x:f>IF(O474+P474-Q474&lt;=0,99,1+SUM(IF(AND(C474+D474-E474&gt;0,OR(C474+D474-E474&lt;O474+P474-Q474,AND(C474+D474-E474=O474+P474-Q474,0&lt;2))),1,0),IF(AND(I474+J474-K474&gt;0,OR(I474+J474-K474&lt;O474+P474-Q474,AND(I474+J474-K474=O474+P474-Q474,1&lt;2))),1,0),IF(AND(U474+V474-W474&gt;0,OR(U474+V474-W474&lt;O474+P474-Q474,AND(U474+V474-W474=O474+P474-Q474,3&lt;2))),1,0),IF(AND(AA474+AB474-AC474&gt;0,OR(AA474+AB474-AC474&lt;O474+P474-Q474,AND(AA474+AB474-AC474=O474+P474-Q474,4&lt;2))),1,0)))</x:f>
        <x:v>99</x:v>
      </x:c>
      <x:c r="S474" s="6" t="n">
        <x:f>IF('Debt strategy'!$C$16&gt;0,0,MIN(O474+P474-Q474,MAX(0,'Debt strategy'!$C$5-SUM(E474,K474,Q474,W474,AC474)-SUM(IF(F474&lt;R474,C474+D474-E474,0),IF(L474&lt;R474,I474+J474-K474,0),IF(X474&lt;R474,U474+V474-W474,0),IF(AD474&lt;R474,AA474+AB474-AC474,0)))))</x:f>
        <x:v>0</x:v>
      </x:c>
      <x:c r="T474" s="6" t="n">
        <x:f>ROUND(MAX(0,O474+P474-Q474-S474),2)</x:f>
        <x:v>0</x:v>
      </x:c>
      <x:c r="U474" s="6" t="n">
        <x:f>Z473</x:f>
        <x:v>0</x:v>
      </x:c>
      <x:c r="V474" s="6" t="n">
        <x:f>ROUND(U474*'Debt strategy'!$D$12/12,2)</x:f>
        <x:v>0</x:v>
      </x:c>
      <x:c r="W474" s="6" t="n">
        <x:f>MIN(U474+V474,'Debt strategy'!$E$12)</x:f>
        <x:v>0</x:v>
      </x:c>
      <x:c r="X474" s="27" t="n">
        <x:f>IF(U474+V474-W474&lt;=0,99,1+SUM(IF(AND(C474+D474-E474&gt;0,OR(C474+D474-E474&lt;U474+V474-W474,AND(C474+D474-E474=U474+V474-W474,0&lt;3))),1,0),IF(AND(I474+J474-K474&gt;0,OR(I474+J474-K474&lt;U474+V474-W474,AND(I474+J474-K474=U474+V474-W474,1&lt;3))),1,0),IF(AND(O474+P474-Q474&gt;0,OR(O474+P474-Q474&lt;U474+V474-W474,AND(O474+P474-Q474=U474+V474-W474,2&lt;3))),1,0),IF(AND(AA474+AB474-AC474&gt;0,OR(AA474+AB474-AC474&lt;U474+V474-W474,AND(AA474+AB474-AC474=U474+V474-W474,4&lt;3))),1,0)))</x:f>
        <x:v>99</x:v>
      </x:c>
      <x:c r="Y474" s="6" t="n">
        <x:f>IF('Debt strategy'!$C$16&gt;0,0,MIN(U474+V474-W474,MAX(0,'Debt strategy'!$C$5-SUM(E474,K474,Q474,W474,AC474)-SUM(IF(F474&lt;X474,C474+D474-E474,0),IF(L474&lt;X474,I474+J474-K474,0),IF(R474&lt;X474,O474+P474-Q474,0),IF(AD474&lt;X474,AA474+AB474-AC474,0)))))</x:f>
        <x:v>0</x:v>
      </x:c>
      <x:c r="Z474" s="6" t="n">
        <x:f>ROUND(MAX(0,U474+V474-W474-Y474),2)</x:f>
        <x:v>0</x:v>
      </x:c>
      <x:c r="AA474" s="6" t="n">
        <x:f>AF473</x:f>
        <x:v>0</x:v>
      </x:c>
      <x:c r="AB474" s="6" t="n">
        <x:f>ROUND(AA474*'Debt strategy'!$D$13/12,2)</x:f>
        <x:v>0</x:v>
      </x:c>
      <x:c r="AC474" s="6" t="n">
        <x:f>MIN(AA474+AB474,'Debt strategy'!$E$13)</x:f>
        <x:v>0</x:v>
      </x:c>
      <x:c r="AD474" s="27" t="n">
        <x:f>IF(AA474+AB474-AC474&lt;=0,99,1+SUM(IF(AND(C474+D474-E474&gt;0,OR(C474+D474-E474&lt;AA474+AB474-AC474,AND(C474+D474-E474=AA474+AB474-AC474,0&lt;4))),1,0),IF(AND(I474+J474-K474&gt;0,OR(I474+J474-K474&lt;AA474+AB474-AC474,AND(I474+J474-K474=AA474+AB474-AC474,1&lt;4))),1,0),IF(AND(O474+P474-Q474&gt;0,OR(O474+P474-Q474&lt;AA474+AB474-AC474,AND(O474+P474-Q474=AA474+AB474-AC474,2&lt;4))),1,0),IF(AND(U474+V474-W474&gt;0,OR(U474+V474-W474&lt;AA474+AB474-AC474,AND(U474+V474-W474=AA474+AB474-AC474,3&lt;4))),1,0)))</x:f>
        <x:v>99</x:v>
      </x:c>
      <x:c r="AE474" s="6" t="n">
        <x:f>IF('Debt strategy'!$C$16&gt;0,0,MIN(AA474+AB474-AC474,MAX(0,'Debt strategy'!$C$5-SUM(E474,K474,Q474,W474,AC474)-SUM(IF(F474&lt;AD474,C474+D474-E474,0),IF(L474&lt;AD474,I474+J474-K474,0),IF(R474&lt;AD474,O474+P474-Q474,0),IF(X474&lt;AD474,U474+V474-W474,0)))))</x:f>
        <x:v>0</x:v>
      </x:c>
      <x:c r="AF474" s="6" t="n">
        <x:f>ROUND(MAX(0,AA474+AB474-AC474-AE474),2)</x:f>
        <x:v>0</x:v>
      </x:c>
      <x:c r="AG474" s="6" t="n">
        <x:f>SUM(H474,N474,T474,Z474,AF474)</x:f>
        <x:v>0</x:v>
      </x:c>
      <x:c r="AH474" s="6" t="n">
        <x:f>SUM(D474,J474,P474,V474,AB474)+AH473</x:f>
        <x:v>1353.9499999999996</x:v>
      </x:c>
      <x:c r="AI474" s="2"/>
    </x:row>
    <x:row r="475" ht="23" customHeight="1">
      <x:c r="B475" s="2" t="n">
        <x:f>467</x:f>
        <x:v>467</x:v>
      </x:c>
      <x:c r="C475" s="6" t="n">
        <x:f>H474</x:f>
        <x:v>0</x:v>
      </x:c>
      <x:c r="D475" s="6" t="n">
        <x:f>ROUND(C475*'Debt strategy'!$D$9/12,2)</x:f>
        <x:v>0</x:v>
      </x:c>
      <x:c r="E475" s="6" t="n">
        <x:f>MIN(C475+D475,'Debt strategy'!$E$9)</x:f>
        <x:v>0</x:v>
      </x:c>
      <x:c r="F475" s="27" t="n">
        <x:f>IF(C475+D475-E475&lt;=0,99,1+SUM(IF(AND(I475+J475-K475&gt;0,OR(I475+J475-K475&lt;C475+D475-E475,AND(I475+J475-K475=C475+D475-E475,1&lt;0))),1,0),IF(AND(O475+P475-Q475&gt;0,OR(O475+P475-Q475&lt;C475+D475-E475,AND(O475+P475-Q475=C475+D475-E475,2&lt;0))),1,0),IF(AND(U475+V475-W475&gt;0,OR(U475+V475-W475&lt;C475+D475-E475,AND(U475+V475-W475=C475+D475-E475,3&lt;0))),1,0),IF(AND(AA475+AB475-AC475&gt;0,OR(AA475+AB475-AC475&lt;C475+D475-E475,AND(AA475+AB475-AC475=C475+D475-E475,4&lt;0))),1,0)))</x:f>
        <x:v>99</x:v>
      </x:c>
      <x:c r="G475" s="6" t="n">
        <x:f>IF('Debt strategy'!$C$16&gt;0,0,MIN(C475+D475-E475,MAX(0,'Debt strategy'!$C$5-SUM(E475,K475,Q475,W475,AC475)-SUM(IF(L475&lt;F475,I475+J475-K475,0),IF(R475&lt;F475,O475+P475-Q475,0),IF(X475&lt;F475,U475+V475-W475,0),IF(AD475&lt;F475,AA475+AB475-AC475,0)))))</x:f>
        <x:v>0</x:v>
      </x:c>
      <x:c r="H475" s="6" t="n">
        <x:f>ROUND(MAX(0,C475+D475-E475-G475),2)</x:f>
        <x:v>0</x:v>
      </x:c>
      <x:c r="I475" s="6" t="n">
        <x:f>N474</x:f>
        <x:v>0</x:v>
      </x:c>
      <x:c r="J475" s="6" t="n">
        <x:f>ROUND(I475*'Debt strategy'!$D$10/12,2)</x:f>
        <x:v>0</x:v>
      </x:c>
      <x:c r="K475" s="6" t="n">
        <x:f>MIN(I475+J475,'Debt strategy'!$E$10)</x:f>
        <x:v>0</x:v>
      </x:c>
      <x:c r="L475" s="27" t="n">
        <x:f>IF(I475+J475-K475&lt;=0,99,1+SUM(IF(AND(C475+D475-E475&gt;0,OR(C475+D475-E475&lt;I475+J475-K475,AND(C475+D475-E475=I475+J475-K475,0&lt;1))),1,0),IF(AND(O475+P475-Q475&gt;0,OR(O475+P475-Q475&lt;I475+J475-K475,AND(O475+P475-Q475=I475+J475-K475,2&lt;1))),1,0),IF(AND(U475+V475-W475&gt;0,OR(U475+V475-W475&lt;I475+J475-K475,AND(U475+V475-W475=I475+J475-K475,3&lt;1))),1,0),IF(AND(AA475+AB475-AC475&gt;0,OR(AA475+AB475-AC475&lt;I475+J475-K475,AND(AA475+AB475-AC475=I475+J475-K475,4&lt;1))),1,0)))</x:f>
        <x:v>99</x:v>
      </x:c>
      <x:c r="M475" s="6" t="n">
        <x:f>IF('Debt strategy'!$C$16&gt;0,0,MIN(I475+J475-K475,MAX(0,'Debt strategy'!$C$5-SUM(E475,K475,Q475,W475,AC475)-SUM(IF(F475&lt;L475,C475+D475-E475,0),IF(R475&lt;L475,O475+P475-Q475,0),IF(X475&lt;L475,U475+V475-W475,0),IF(AD475&lt;L475,AA475+AB475-AC475,0)))))</x:f>
        <x:v>0</x:v>
      </x:c>
      <x:c r="N475" s="6" t="n">
        <x:f>ROUND(MAX(0,I475+J475-K475-M475),2)</x:f>
        <x:v>0</x:v>
      </x:c>
      <x:c r="O475" s="6" t="n">
        <x:f>T474</x:f>
        <x:v>0</x:v>
      </x:c>
      <x:c r="P475" s="6" t="n">
        <x:f>ROUND(O475*'Debt strategy'!$D$11/12,2)</x:f>
        <x:v>0</x:v>
      </x:c>
      <x:c r="Q475" s="6" t="n">
        <x:f>MIN(O475+P475,'Debt strategy'!$E$11)</x:f>
        <x:v>0</x:v>
      </x:c>
      <x:c r="R475" s="27" t="n">
        <x:f>IF(O475+P475-Q475&lt;=0,99,1+SUM(IF(AND(C475+D475-E475&gt;0,OR(C475+D475-E475&lt;O475+P475-Q475,AND(C475+D475-E475=O475+P475-Q475,0&lt;2))),1,0),IF(AND(I475+J475-K475&gt;0,OR(I475+J475-K475&lt;O475+P475-Q475,AND(I475+J475-K475=O475+P475-Q475,1&lt;2))),1,0),IF(AND(U475+V475-W475&gt;0,OR(U475+V475-W475&lt;O475+P475-Q475,AND(U475+V475-W475=O475+P475-Q475,3&lt;2))),1,0),IF(AND(AA475+AB475-AC475&gt;0,OR(AA475+AB475-AC475&lt;O475+P475-Q475,AND(AA475+AB475-AC475=O475+P475-Q475,4&lt;2))),1,0)))</x:f>
        <x:v>99</x:v>
      </x:c>
      <x:c r="S475" s="6" t="n">
        <x:f>IF('Debt strategy'!$C$16&gt;0,0,MIN(O475+P475-Q475,MAX(0,'Debt strategy'!$C$5-SUM(E475,K475,Q475,W475,AC475)-SUM(IF(F475&lt;R475,C475+D475-E475,0),IF(L475&lt;R475,I475+J475-K475,0),IF(X475&lt;R475,U475+V475-W475,0),IF(AD475&lt;R475,AA475+AB475-AC475,0)))))</x:f>
        <x:v>0</x:v>
      </x:c>
      <x:c r="T475" s="6" t="n">
        <x:f>ROUND(MAX(0,O475+P475-Q475-S475),2)</x:f>
        <x:v>0</x:v>
      </x:c>
      <x:c r="U475" s="6" t="n">
        <x:f>Z474</x:f>
        <x:v>0</x:v>
      </x:c>
      <x:c r="V475" s="6" t="n">
        <x:f>ROUND(U475*'Debt strategy'!$D$12/12,2)</x:f>
        <x:v>0</x:v>
      </x:c>
      <x:c r="W475" s="6" t="n">
        <x:f>MIN(U475+V475,'Debt strategy'!$E$12)</x:f>
        <x:v>0</x:v>
      </x:c>
      <x:c r="X475" s="27" t="n">
        <x:f>IF(U475+V475-W475&lt;=0,99,1+SUM(IF(AND(C475+D475-E475&gt;0,OR(C475+D475-E475&lt;U475+V475-W475,AND(C475+D475-E475=U475+V475-W475,0&lt;3))),1,0),IF(AND(I475+J475-K475&gt;0,OR(I475+J475-K475&lt;U475+V475-W475,AND(I475+J475-K475=U475+V475-W475,1&lt;3))),1,0),IF(AND(O475+P475-Q475&gt;0,OR(O475+P475-Q475&lt;U475+V475-W475,AND(O475+P475-Q475=U475+V475-W475,2&lt;3))),1,0),IF(AND(AA475+AB475-AC475&gt;0,OR(AA475+AB475-AC475&lt;U475+V475-W475,AND(AA475+AB475-AC475=U475+V475-W475,4&lt;3))),1,0)))</x:f>
        <x:v>99</x:v>
      </x:c>
      <x:c r="Y475" s="6" t="n">
        <x:f>IF('Debt strategy'!$C$16&gt;0,0,MIN(U475+V475-W475,MAX(0,'Debt strategy'!$C$5-SUM(E475,K475,Q475,W475,AC475)-SUM(IF(F475&lt;X475,C475+D475-E475,0),IF(L475&lt;X475,I475+J475-K475,0),IF(R475&lt;X475,O475+P475-Q475,0),IF(AD475&lt;X475,AA475+AB475-AC475,0)))))</x:f>
        <x:v>0</x:v>
      </x:c>
      <x:c r="Z475" s="6" t="n">
        <x:f>ROUND(MAX(0,U475+V475-W475-Y475),2)</x:f>
        <x:v>0</x:v>
      </x:c>
      <x:c r="AA475" s="6" t="n">
        <x:f>AF474</x:f>
        <x:v>0</x:v>
      </x:c>
      <x:c r="AB475" s="6" t="n">
        <x:f>ROUND(AA475*'Debt strategy'!$D$13/12,2)</x:f>
        <x:v>0</x:v>
      </x:c>
      <x:c r="AC475" s="6" t="n">
        <x:f>MIN(AA475+AB475,'Debt strategy'!$E$13)</x:f>
        <x:v>0</x:v>
      </x:c>
      <x:c r="AD475" s="27" t="n">
        <x:f>IF(AA475+AB475-AC475&lt;=0,99,1+SUM(IF(AND(C475+D475-E475&gt;0,OR(C475+D475-E475&lt;AA475+AB475-AC475,AND(C475+D475-E475=AA475+AB475-AC475,0&lt;4))),1,0),IF(AND(I475+J475-K475&gt;0,OR(I475+J475-K475&lt;AA475+AB475-AC475,AND(I475+J475-K475=AA475+AB475-AC475,1&lt;4))),1,0),IF(AND(O475+P475-Q475&gt;0,OR(O475+P475-Q475&lt;AA475+AB475-AC475,AND(O475+P475-Q475=AA475+AB475-AC475,2&lt;4))),1,0),IF(AND(U475+V475-W475&gt;0,OR(U475+V475-W475&lt;AA475+AB475-AC475,AND(U475+V475-W475=AA475+AB475-AC475,3&lt;4))),1,0)))</x:f>
        <x:v>99</x:v>
      </x:c>
      <x:c r="AE475" s="6" t="n">
        <x:f>IF('Debt strategy'!$C$16&gt;0,0,MIN(AA475+AB475-AC475,MAX(0,'Debt strategy'!$C$5-SUM(E475,K475,Q475,W475,AC475)-SUM(IF(F475&lt;AD475,C475+D475-E475,0),IF(L475&lt;AD475,I475+J475-K475,0),IF(R475&lt;AD475,O475+P475-Q475,0),IF(X475&lt;AD475,U475+V475-W475,0)))))</x:f>
        <x:v>0</x:v>
      </x:c>
      <x:c r="AF475" s="6" t="n">
        <x:f>ROUND(MAX(0,AA475+AB475-AC475-AE475),2)</x:f>
        <x:v>0</x:v>
      </x:c>
      <x:c r="AG475" s="6" t="n">
        <x:f>SUM(H475,N475,T475,Z475,AF475)</x:f>
        <x:v>0</x:v>
      </x:c>
      <x:c r="AH475" s="6" t="n">
        <x:f>SUM(D475,J475,P475,V475,AB475)+AH474</x:f>
        <x:v>1353.9499999999996</x:v>
      </x:c>
      <x:c r="AI475" s="2"/>
    </x:row>
    <x:row r="476" ht="23" customHeight="1">
      <x:c r="B476" s="2" t="n">
        <x:f>468</x:f>
        <x:v>468</x:v>
      </x:c>
      <x:c r="C476" s="6" t="n">
        <x:f>H475</x:f>
        <x:v>0</x:v>
      </x:c>
      <x:c r="D476" s="6" t="n">
        <x:f>ROUND(C476*'Debt strategy'!$D$9/12,2)</x:f>
        <x:v>0</x:v>
      </x:c>
      <x:c r="E476" s="6" t="n">
        <x:f>MIN(C476+D476,'Debt strategy'!$E$9)</x:f>
        <x:v>0</x:v>
      </x:c>
      <x:c r="F476" s="27" t="n">
        <x:f>IF(C476+D476-E476&lt;=0,99,1+SUM(IF(AND(I476+J476-K476&gt;0,OR(I476+J476-K476&lt;C476+D476-E476,AND(I476+J476-K476=C476+D476-E476,1&lt;0))),1,0),IF(AND(O476+P476-Q476&gt;0,OR(O476+P476-Q476&lt;C476+D476-E476,AND(O476+P476-Q476=C476+D476-E476,2&lt;0))),1,0),IF(AND(U476+V476-W476&gt;0,OR(U476+V476-W476&lt;C476+D476-E476,AND(U476+V476-W476=C476+D476-E476,3&lt;0))),1,0),IF(AND(AA476+AB476-AC476&gt;0,OR(AA476+AB476-AC476&lt;C476+D476-E476,AND(AA476+AB476-AC476=C476+D476-E476,4&lt;0))),1,0)))</x:f>
        <x:v>99</x:v>
      </x:c>
      <x:c r="G476" s="6" t="n">
        <x:f>IF('Debt strategy'!$C$16&gt;0,0,MIN(C476+D476-E476,MAX(0,'Debt strategy'!$C$5-SUM(E476,K476,Q476,W476,AC476)-SUM(IF(L476&lt;F476,I476+J476-K476,0),IF(R476&lt;F476,O476+P476-Q476,0),IF(X476&lt;F476,U476+V476-W476,0),IF(AD476&lt;F476,AA476+AB476-AC476,0)))))</x:f>
        <x:v>0</x:v>
      </x:c>
      <x:c r="H476" s="6" t="n">
        <x:f>ROUND(MAX(0,C476+D476-E476-G476),2)</x:f>
        <x:v>0</x:v>
      </x:c>
      <x:c r="I476" s="6" t="n">
        <x:f>N475</x:f>
        <x:v>0</x:v>
      </x:c>
      <x:c r="J476" s="6" t="n">
        <x:f>ROUND(I476*'Debt strategy'!$D$10/12,2)</x:f>
        <x:v>0</x:v>
      </x:c>
      <x:c r="K476" s="6" t="n">
        <x:f>MIN(I476+J476,'Debt strategy'!$E$10)</x:f>
        <x:v>0</x:v>
      </x:c>
      <x:c r="L476" s="27" t="n">
        <x:f>IF(I476+J476-K476&lt;=0,99,1+SUM(IF(AND(C476+D476-E476&gt;0,OR(C476+D476-E476&lt;I476+J476-K476,AND(C476+D476-E476=I476+J476-K476,0&lt;1))),1,0),IF(AND(O476+P476-Q476&gt;0,OR(O476+P476-Q476&lt;I476+J476-K476,AND(O476+P476-Q476=I476+J476-K476,2&lt;1))),1,0),IF(AND(U476+V476-W476&gt;0,OR(U476+V476-W476&lt;I476+J476-K476,AND(U476+V476-W476=I476+J476-K476,3&lt;1))),1,0),IF(AND(AA476+AB476-AC476&gt;0,OR(AA476+AB476-AC476&lt;I476+J476-K476,AND(AA476+AB476-AC476=I476+J476-K476,4&lt;1))),1,0)))</x:f>
        <x:v>99</x:v>
      </x:c>
      <x:c r="M476" s="6" t="n">
        <x:f>IF('Debt strategy'!$C$16&gt;0,0,MIN(I476+J476-K476,MAX(0,'Debt strategy'!$C$5-SUM(E476,K476,Q476,W476,AC476)-SUM(IF(F476&lt;L476,C476+D476-E476,0),IF(R476&lt;L476,O476+P476-Q476,0),IF(X476&lt;L476,U476+V476-W476,0),IF(AD476&lt;L476,AA476+AB476-AC476,0)))))</x:f>
        <x:v>0</x:v>
      </x:c>
      <x:c r="N476" s="6" t="n">
        <x:f>ROUND(MAX(0,I476+J476-K476-M476),2)</x:f>
        <x:v>0</x:v>
      </x:c>
      <x:c r="O476" s="6" t="n">
        <x:f>T475</x:f>
        <x:v>0</x:v>
      </x:c>
      <x:c r="P476" s="6" t="n">
        <x:f>ROUND(O476*'Debt strategy'!$D$11/12,2)</x:f>
        <x:v>0</x:v>
      </x:c>
      <x:c r="Q476" s="6" t="n">
        <x:f>MIN(O476+P476,'Debt strategy'!$E$11)</x:f>
        <x:v>0</x:v>
      </x:c>
      <x:c r="R476" s="27" t="n">
        <x:f>IF(O476+P476-Q476&lt;=0,99,1+SUM(IF(AND(C476+D476-E476&gt;0,OR(C476+D476-E476&lt;O476+P476-Q476,AND(C476+D476-E476=O476+P476-Q476,0&lt;2))),1,0),IF(AND(I476+J476-K476&gt;0,OR(I476+J476-K476&lt;O476+P476-Q476,AND(I476+J476-K476=O476+P476-Q476,1&lt;2))),1,0),IF(AND(U476+V476-W476&gt;0,OR(U476+V476-W476&lt;O476+P476-Q476,AND(U476+V476-W476=O476+P476-Q476,3&lt;2))),1,0),IF(AND(AA476+AB476-AC476&gt;0,OR(AA476+AB476-AC476&lt;O476+P476-Q476,AND(AA476+AB476-AC476=O476+P476-Q476,4&lt;2))),1,0)))</x:f>
        <x:v>99</x:v>
      </x:c>
      <x:c r="S476" s="6" t="n">
        <x:f>IF('Debt strategy'!$C$16&gt;0,0,MIN(O476+P476-Q476,MAX(0,'Debt strategy'!$C$5-SUM(E476,K476,Q476,W476,AC476)-SUM(IF(F476&lt;R476,C476+D476-E476,0),IF(L476&lt;R476,I476+J476-K476,0),IF(X476&lt;R476,U476+V476-W476,0),IF(AD476&lt;R476,AA476+AB476-AC476,0)))))</x:f>
        <x:v>0</x:v>
      </x:c>
      <x:c r="T476" s="6" t="n">
        <x:f>ROUND(MAX(0,O476+P476-Q476-S476),2)</x:f>
        <x:v>0</x:v>
      </x:c>
      <x:c r="U476" s="6" t="n">
        <x:f>Z475</x:f>
        <x:v>0</x:v>
      </x:c>
      <x:c r="V476" s="6" t="n">
        <x:f>ROUND(U476*'Debt strategy'!$D$12/12,2)</x:f>
        <x:v>0</x:v>
      </x:c>
      <x:c r="W476" s="6" t="n">
        <x:f>MIN(U476+V476,'Debt strategy'!$E$12)</x:f>
        <x:v>0</x:v>
      </x:c>
      <x:c r="X476" s="27" t="n">
        <x:f>IF(U476+V476-W476&lt;=0,99,1+SUM(IF(AND(C476+D476-E476&gt;0,OR(C476+D476-E476&lt;U476+V476-W476,AND(C476+D476-E476=U476+V476-W476,0&lt;3))),1,0),IF(AND(I476+J476-K476&gt;0,OR(I476+J476-K476&lt;U476+V476-W476,AND(I476+J476-K476=U476+V476-W476,1&lt;3))),1,0),IF(AND(O476+P476-Q476&gt;0,OR(O476+P476-Q476&lt;U476+V476-W476,AND(O476+P476-Q476=U476+V476-W476,2&lt;3))),1,0),IF(AND(AA476+AB476-AC476&gt;0,OR(AA476+AB476-AC476&lt;U476+V476-W476,AND(AA476+AB476-AC476=U476+V476-W476,4&lt;3))),1,0)))</x:f>
        <x:v>99</x:v>
      </x:c>
      <x:c r="Y476" s="6" t="n">
        <x:f>IF('Debt strategy'!$C$16&gt;0,0,MIN(U476+V476-W476,MAX(0,'Debt strategy'!$C$5-SUM(E476,K476,Q476,W476,AC476)-SUM(IF(F476&lt;X476,C476+D476-E476,0),IF(L476&lt;X476,I476+J476-K476,0),IF(R476&lt;X476,O476+P476-Q476,0),IF(AD476&lt;X476,AA476+AB476-AC476,0)))))</x:f>
        <x:v>0</x:v>
      </x:c>
      <x:c r="Z476" s="6" t="n">
        <x:f>ROUND(MAX(0,U476+V476-W476-Y476),2)</x:f>
        <x:v>0</x:v>
      </x:c>
      <x:c r="AA476" s="6" t="n">
        <x:f>AF475</x:f>
        <x:v>0</x:v>
      </x:c>
      <x:c r="AB476" s="6" t="n">
        <x:f>ROUND(AA476*'Debt strategy'!$D$13/12,2)</x:f>
        <x:v>0</x:v>
      </x:c>
      <x:c r="AC476" s="6" t="n">
        <x:f>MIN(AA476+AB476,'Debt strategy'!$E$13)</x:f>
        <x:v>0</x:v>
      </x:c>
      <x:c r="AD476" s="27" t="n">
        <x:f>IF(AA476+AB476-AC476&lt;=0,99,1+SUM(IF(AND(C476+D476-E476&gt;0,OR(C476+D476-E476&lt;AA476+AB476-AC476,AND(C476+D476-E476=AA476+AB476-AC476,0&lt;4))),1,0),IF(AND(I476+J476-K476&gt;0,OR(I476+J476-K476&lt;AA476+AB476-AC476,AND(I476+J476-K476=AA476+AB476-AC476,1&lt;4))),1,0),IF(AND(O476+P476-Q476&gt;0,OR(O476+P476-Q476&lt;AA476+AB476-AC476,AND(O476+P476-Q476=AA476+AB476-AC476,2&lt;4))),1,0),IF(AND(U476+V476-W476&gt;0,OR(U476+V476-W476&lt;AA476+AB476-AC476,AND(U476+V476-W476=AA476+AB476-AC476,3&lt;4))),1,0)))</x:f>
        <x:v>99</x:v>
      </x:c>
      <x:c r="AE476" s="6" t="n">
        <x:f>IF('Debt strategy'!$C$16&gt;0,0,MIN(AA476+AB476-AC476,MAX(0,'Debt strategy'!$C$5-SUM(E476,K476,Q476,W476,AC476)-SUM(IF(F476&lt;AD476,C476+D476-E476,0),IF(L476&lt;AD476,I476+J476-K476,0),IF(R476&lt;AD476,O476+P476-Q476,0),IF(X476&lt;AD476,U476+V476-W476,0)))))</x:f>
        <x:v>0</x:v>
      </x:c>
      <x:c r="AF476" s="6" t="n">
        <x:f>ROUND(MAX(0,AA476+AB476-AC476-AE476),2)</x:f>
        <x:v>0</x:v>
      </x:c>
      <x:c r="AG476" s="6" t="n">
        <x:f>SUM(H476,N476,T476,Z476,AF476)</x:f>
        <x:v>0</x:v>
      </x:c>
      <x:c r="AH476" s="6" t="n">
        <x:f>SUM(D476,J476,P476,V476,AB476)+AH475</x:f>
        <x:v>1353.9499999999996</x:v>
      </x:c>
      <x:c r="AI476" s="2"/>
    </x:row>
    <x:row r="477" ht="23" customHeight="1">
      <x:c r="B477" s="2" t="n">
        <x:f>469</x:f>
        <x:v>469</x:v>
      </x:c>
      <x:c r="C477" s="6" t="n">
        <x:f>H476</x:f>
        <x:v>0</x:v>
      </x:c>
      <x:c r="D477" s="6" t="n">
        <x:f>ROUND(C477*'Debt strategy'!$D$9/12,2)</x:f>
        <x:v>0</x:v>
      </x:c>
      <x:c r="E477" s="6" t="n">
        <x:f>MIN(C477+D477,'Debt strategy'!$E$9)</x:f>
        <x:v>0</x:v>
      </x:c>
      <x:c r="F477" s="27" t="n">
        <x:f>IF(C477+D477-E477&lt;=0,99,1+SUM(IF(AND(I477+J477-K477&gt;0,OR(I477+J477-K477&lt;C477+D477-E477,AND(I477+J477-K477=C477+D477-E477,1&lt;0))),1,0),IF(AND(O477+P477-Q477&gt;0,OR(O477+P477-Q477&lt;C477+D477-E477,AND(O477+P477-Q477=C477+D477-E477,2&lt;0))),1,0),IF(AND(U477+V477-W477&gt;0,OR(U477+V477-W477&lt;C477+D477-E477,AND(U477+V477-W477=C477+D477-E477,3&lt;0))),1,0),IF(AND(AA477+AB477-AC477&gt;0,OR(AA477+AB477-AC477&lt;C477+D477-E477,AND(AA477+AB477-AC477=C477+D477-E477,4&lt;0))),1,0)))</x:f>
        <x:v>99</x:v>
      </x:c>
      <x:c r="G477" s="6" t="n">
        <x:f>IF('Debt strategy'!$C$16&gt;0,0,MIN(C477+D477-E477,MAX(0,'Debt strategy'!$C$5-SUM(E477,K477,Q477,W477,AC477)-SUM(IF(L477&lt;F477,I477+J477-K477,0),IF(R477&lt;F477,O477+P477-Q477,0),IF(X477&lt;F477,U477+V477-W477,0),IF(AD477&lt;F477,AA477+AB477-AC477,0)))))</x:f>
        <x:v>0</x:v>
      </x:c>
      <x:c r="H477" s="6" t="n">
        <x:f>ROUND(MAX(0,C477+D477-E477-G477),2)</x:f>
        <x:v>0</x:v>
      </x:c>
      <x:c r="I477" s="6" t="n">
        <x:f>N476</x:f>
        <x:v>0</x:v>
      </x:c>
      <x:c r="J477" s="6" t="n">
        <x:f>ROUND(I477*'Debt strategy'!$D$10/12,2)</x:f>
        <x:v>0</x:v>
      </x:c>
      <x:c r="K477" s="6" t="n">
        <x:f>MIN(I477+J477,'Debt strategy'!$E$10)</x:f>
        <x:v>0</x:v>
      </x:c>
      <x:c r="L477" s="27" t="n">
        <x:f>IF(I477+J477-K477&lt;=0,99,1+SUM(IF(AND(C477+D477-E477&gt;0,OR(C477+D477-E477&lt;I477+J477-K477,AND(C477+D477-E477=I477+J477-K477,0&lt;1))),1,0),IF(AND(O477+P477-Q477&gt;0,OR(O477+P477-Q477&lt;I477+J477-K477,AND(O477+P477-Q477=I477+J477-K477,2&lt;1))),1,0),IF(AND(U477+V477-W477&gt;0,OR(U477+V477-W477&lt;I477+J477-K477,AND(U477+V477-W477=I477+J477-K477,3&lt;1))),1,0),IF(AND(AA477+AB477-AC477&gt;0,OR(AA477+AB477-AC477&lt;I477+J477-K477,AND(AA477+AB477-AC477=I477+J477-K477,4&lt;1))),1,0)))</x:f>
        <x:v>99</x:v>
      </x:c>
      <x:c r="M477" s="6" t="n">
        <x:f>IF('Debt strategy'!$C$16&gt;0,0,MIN(I477+J477-K477,MAX(0,'Debt strategy'!$C$5-SUM(E477,K477,Q477,W477,AC477)-SUM(IF(F477&lt;L477,C477+D477-E477,0),IF(R477&lt;L477,O477+P477-Q477,0),IF(X477&lt;L477,U477+V477-W477,0),IF(AD477&lt;L477,AA477+AB477-AC477,0)))))</x:f>
        <x:v>0</x:v>
      </x:c>
      <x:c r="N477" s="6" t="n">
        <x:f>ROUND(MAX(0,I477+J477-K477-M477),2)</x:f>
        <x:v>0</x:v>
      </x:c>
      <x:c r="O477" s="6" t="n">
        <x:f>T476</x:f>
        <x:v>0</x:v>
      </x:c>
      <x:c r="P477" s="6" t="n">
        <x:f>ROUND(O477*'Debt strategy'!$D$11/12,2)</x:f>
        <x:v>0</x:v>
      </x:c>
      <x:c r="Q477" s="6" t="n">
        <x:f>MIN(O477+P477,'Debt strategy'!$E$11)</x:f>
        <x:v>0</x:v>
      </x:c>
      <x:c r="R477" s="27" t="n">
        <x:f>IF(O477+P477-Q477&lt;=0,99,1+SUM(IF(AND(C477+D477-E477&gt;0,OR(C477+D477-E477&lt;O477+P477-Q477,AND(C477+D477-E477=O477+P477-Q477,0&lt;2))),1,0),IF(AND(I477+J477-K477&gt;0,OR(I477+J477-K477&lt;O477+P477-Q477,AND(I477+J477-K477=O477+P477-Q477,1&lt;2))),1,0),IF(AND(U477+V477-W477&gt;0,OR(U477+V477-W477&lt;O477+P477-Q477,AND(U477+V477-W477=O477+P477-Q477,3&lt;2))),1,0),IF(AND(AA477+AB477-AC477&gt;0,OR(AA477+AB477-AC477&lt;O477+P477-Q477,AND(AA477+AB477-AC477=O477+P477-Q477,4&lt;2))),1,0)))</x:f>
        <x:v>99</x:v>
      </x:c>
      <x:c r="S477" s="6" t="n">
        <x:f>IF('Debt strategy'!$C$16&gt;0,0,MIN(O477+P477-Q477,MAX(0,'Debt strategy'!$C$5-SUM(E477,K477,Q477,W477,AC477)-SUM(IF(F477&lt;R477,C477+D477-E477,0),IF(L477&lt;R477,I477+J477-K477,0),IF(X477&lt;R477,U477+V477-W477,0),IF(AD477&lt;R477,AA477+AB477-AC477,0)))))</x:f>
        <x:v>0</x:v>
      </x:c>
      <x:c r="T477" s="6" t="n">
        <x:f>ROUND(MAX(0,O477+P477-Q477-S477),2)</x:f>
        <x:v>0</x:v>
      </x:c>
      <x:c r="U477" s="6" t="n">
        <x:f>Z476</x:f>
        <x:v>0</x:v>
      </x:c>
      <x:c r="V477" s="6" t="n">
        <x:f>ROUND(U477*'Debt strategy'!$D$12/12,2)</x:f>
        <x:v>0</x:v>
      </x:c>
      <x:c r="W477" s="6" t="n">
        <x:f>MIN(U477+V477,'Debt strategy'!$E$12)</x:f>
        <x:v>0</x:v>
      </x:c>
      <x:c r="X477" s="27" t="n">
        <x:f>IF(U477+V477-W477&lt;=0,99,1+SUM(IF(AND(C477+D477-E477&gt;0,OR(C477+D477-E477&lt;U477+V477-W477,AND(C477+D477-E477=U477+V477-W477,0&lt;3))),1,0),IF(AND(I477+J477-K477&gt;0,OR(I477+J477-K477&lt;U477+V477-W477,AND(I477+J477-K477=U477+V477-W477,1&lt;3))),1,0),IF(AND(O477+P477-Q477&gt;0,OR(O477+P477-Q477&lt;U477+V477-W477,AND(O477+P477-Q477=U477+V477-W477,2&lt;3))),1,0),IF(AND(AA477+AB477-AC477&gt;0,OR(AA477+AB477-AC477&lt;U477+V477-W477,AND(AA477+AB477-AC477=U477+V477-W477,4&lt;3))),1,0)))</x:f>
        <x:v>99</x:v>
      </x:c>
      <x:c r="Y477" s="6" t="n">
        <x:f>IF('Debt strategy'!$C$16&gt;0,0,MIN(U477+V477-W477,MAX(0,'Debt strategy'!$C$5-SUM(E477,K477,Q477,W477,AC477)-SUM(IF(F477&lt;X477,C477+D477-E477,0),IF(L477&lt;X477,I477+J477-K477,0),IF(R477&lt;X477,O477+P477-Q477,0),IF(AD477&lt;X477,AA477+AB477-AC477,0)))))</x:f>
        <x:v>0</x:v>
      </x:c>
      <x:c r="Z477" s="6" t="n">
        <x:f>ROUND(MAX(0,U477+V477-W477-Y477),2)</x:f>
        <x:v>0</x:v>
      </x:c>
      <x:c r="AA477" s="6" t="n">
        <x:f>AF476</x:f>
        <x:v>0</x:v>
      </x:c>
      <x:c r="AB477" s="6" t="n">
        <x:f>ROUND(AA477*'Debt strategy'!$D$13/12,2)</x:f>
        <x:v>0</x:v>
      </x:c>
      <x:c r="AC477" s="6" t="n">
        <x:f>MIN(AA477+AB477,'Debt strategy'!$E$13)</x:f>
        <x:v>0</x:v>
      </x:c>
      <x:c r="AD477" s="27" t="n">
        <x:f>IF(AA477+AB477-AC477&lt;=0,99,1+SUM(IF(AND(C477+D477-E477&gt;0,OR(C477+D477-E477&lt;AA477+AB477-AC477,AND(C477+D477-E477=AA477+AB477-AC477,0&lt;4))),1,0),IF(AND(I477+J477-K477&gt;0,OR(I477+J477-K477&lt;AA477+AB477-AC477,AND(I477+J477-K477=AA477+AB477-AC477,1&lt;4))),1,0),IF(AND(O477+P477-Q477&gt;0,OR(O477+P477-Q477&lt;AA477+AB477-AC477,AND(O477+P477-Q477=AA477+AB477-AC477,2&lt;4))),1,0),IF(AND(U477+V477-W477&gt;0,OR(U477+V477-W477&lt;AA477+AB477-AC477,AND(U477+V477-W477=AA477+AB477-AC477,3&lt;4))),1,0)))</x:f>
        <x:v>99</x:v>
      </x:c>
      <x:c r="AE477" s="6" t="n">
        <x:f>IF('Debt strategy'!$C$16&gt;0,0,MIN(AA477+AB477-AC477,MAX(0,'Debt strategy'!$C$5-SUM(E477,K477,Q477,W477,AC477)-SUM(IF(F477&lt;AD477,C477+D477-E477,0),IF(L477&lt;AD477,I477+J477-K477,0),IF(R477&lt;AD477,O477+P477-Q477,0),IF(X477&lt;AD477,U477+V477-W477,0)))))</x:f>
        <x:v>0</x:v>
      </x:c>
      <x:c r="AF477" s="6" t="n">
        <x:f>ROUND(MAX(0,AA477+AB477-AC477-AE477),2)</x:f>
        <x:v>0</x:v>
      </x:c>
      <x:c r="AG477" s="6" t="n">
        <x:f>SUM(H477,N477,T477,Z477,AF477)</x:f>
        <x:v>0</x:v>
      </x:c>
      <x:c r="AH477" s="6" t="n">
        <x:f>SUM(D477,J477,P477,V477,AB477)+AH476</x:f>
        <x:v>1353.9499999999996</x:v>
      </x:c>
      <x:c r="AI477" s="2"/>
    </x:row>
    <x:row r="478" ht="23" customHeight="1">
      <x:c r="B478" s="2" t="n">
        <x:f>470</x:f>
        <x:v>470</x:v>
      </x:c>
      <x:c r="C478" s="6" t="n">
        <x:f>H477</x:f>
        <x:v>0</x:v>
      </x:c>
      <x:c r="D478" s="6" t="n">
        <x:f>ROUND(C478*'Debt strategy'!$D$9/12,2)</x:f>
        <x:v>0</x:v>
      </x:c>
      <x:c r="E478" s="6" t="n">
        <x:f>MIN(C478+D478,'Debt strategy'!$E$9)</x:f>
        <x:v>0</x:v>
      </x:c>
      <x:c r="F478" s="27" t="n">
        <x:f>IF(C478+D478-E478&lt;=0,99,1+SUM(IF(AND(I478+J478-K478&gt;0,OR(I478+J478-K478&lt;C478+D478-E478,AND(I478+J478-K478=C478+D478-E478,1&lt;0))),1,0),IF(AND(O478+P478-Q478&gt;0,OR(O478+P478-Q478&lt;C478+D478-E478,AND(O478+P478-Q478=C478+D478-E478,2&lt;0))),1,0),IF(AND(U478+V478-W478&gt;0,OR(U478+V478-W478&lt;C478+D478-E478,AND(U478+V478-W478=C478+D478-E478,3&lt;0))),1,0),IF(AND(AA478+AB478-AC478&gt;0,OR(AA478+AB478-AC478&lt;C478+D478-E478,AND(AA478+AB478-AC478=C478+D478-E478,4&lt;0))),1,0)))</x:f>
        <x:v>99</x:v>
      </x:c>
      <x:c r="G478" s="6" t="n">
        <x:f>IF('Debt strategy'!$C$16&gt;0,0,MIN(C478+D478-E478,MAX(0,'Debt strategy'!$C$5-SUM(E478,K478,Q478,W478,AC478)-SUM(IF(L478&lt;F478,I478+J478-K478,0),IF(R478&lt;F478,O478+P478-Q478,0),IF(X478&lt;F478,U478+V478-W478,0),IF(AD478&lt;F478,AA478+AB478-AC478,0)))))</x:f>
        <x:v>0</x:v>
      </x:c>
      <x:c r="H478" s="6" t="n">
        <x:f>ROUND(MAX(0,C478+D478-E478-G478),2)</x:f>
        <x:v>0</x:v>
      </x:c>
      <x:c r="I478" s="6" t="n">
        <x:f>N477</x:f>
        <x:v>0</x:v>
      </x:c>
      <x:c r="J478" s="6" t="n">
        <x:f>ROUND(I478*'Debt strategy'!$D$10/12,2)</x:f>
        <x:v>0</x:v>
      </x:c>
      <x:c r="K478" s="6" t="n">
        <x:f>MIN(I478+J478,'Debt strategy'!$E$10)</x:f>
        <x:v>0</x:v>
      </x:c>
      <x:c r="L478" s="27" t="n">
        <x:f>IF(I478+J478-K478&lt;=0,99,1+SUM(IF(AND(C478+D478-E478&gt;0,OR(C478+D478-E478&lt;I478+J478-K478,AND(C478+D478-E478=I478+J478-K478,0&lt;1))),1,0),IF(AND(O478+P478-Q478&gt;0,OR(O478+P478-Q478&lt;I478+J478-K478,AND(O478+P478-Q478=I478+J478-K478,2&lt;1))),1,0),IF(AND(U478+V478-W478&gt;0,OR(U478+V478-W478&lt;I478+J478-K478,AND(U478+V478-W478=I478+J478-K478,3&lt;1))),1,0),IF(AND(AA478+AB478-AC478&gt;0,OR(AA478+AB478-AC478&lt;I478+J478-K478,AND(AA478+AB478-AC478=I478+J478-K478,4&lt;1))),1,0)))</x:f>
        <x:v>99</x:v>
      </x:c>
      <x:c r="M478" s="6" t="n">
        <x:f>IF('Debt strategy'!$C$16&gt;0,0,MIN(I478+J478-K478,MAX(0,'Debt strategy'!$C$5-SUM(E478,K478,Q478,W478,AC478)-SUM(IF(F478&lt;L478,C478+D478-E478,0),IF(R478&lt;L478,O478+P478-Q478,0),IF(X478&lt;L478,U478+V478-W478,0),IF(AD478&lt;L478,AA478+AB478-AC478,0)))))</x:f>
        <x:v>0</x:v>
      </x:c>
      <x:c r="N478" s="6" t="n">
        <x:f>ROUND(MAX(0,I478+J478-K478-M478),2)</x:f>
        <x:v>0</x:v>
      </x:c>
      <x:c r="O478" s="6" t="n">
        <x:f>T477</x:f>
        <x:v>0</x:v>
      </x:c>
      <x:c r="P478" s="6" t="n">
        <x:f>ROUND(O478*'Debt strategy'!$D$11/12,2)</x:f>
        <x:v>0</x:v>
      </x:c>
      <x:c r="Q478" s="6" t="n">
        <x:f>MIN(O478+P478,'Debt strategy'!$E$11)</x:f>
        <x:v>0</x:v>
      </x:c>
      <x:c r="R478" s="27" t="n">
        <x:f>IF(O478+P478-Q478&lt;=0,99,1+SUM(IF(AND(C478+D478-E478&gt;0,OR(C478+D478-E478&lt;O478+P478-Q478,AND(C478+D478-E478=O478+P478-Q478,0&lt;2))),1,0),IF(AND(I478+J478-K478&gt;0,OR(I478+J478-K478&lt;O478+P478-Q478,AND(I478+J478-K478=O478+P478-Q478,1&lt;2))),1,0),IF(AND(U478+V478-W478&gt;0,OR(U478+V478-W478&lt;O478+P478-Q478,AND(U478+V478-W478=O478+P478-Q478,3&lt;2))),1,0),IF(AND(AA478+AB478-AC478&gt;0,OR(AA478+AB478-AC478&lt;O478+P478-Q478,AND(AA478+AB478-AC478=O478+P478-Q478,4&lt;2))),1,0)))</x:f>
        <x:v>99</x:v>
      </x:c>
      <x:c r="S478" s="6" t="n">
        <x:f>IF('Debt strategy'!$C$16&gt;0,0,MIN(O478+P478-Q478,MAX(0,'Debt strategy'!$C$5-SUM(E478,K478,Q478,W478,AC478)-SUM(IF(F478&lt;R478,C478+D478-E478,0),IF(L478&lt;R478,I478+J478-K478,0),IF(X478&lt;R478,U478+V478-W478,0),IF(AD478&lt;R478,AA478+AB478-AC478,0)))))</x:f>
        <x:v>0</x:v>
      </x:c>
      <x:c r="T478" s="6" t="n">
        <x:f>ROUND(MAX(0,O478+P478-Q478-S478),2)</x:f>
        <x:v>0</x:v>
      </x:c>
      <x:c r="U478" s="6" t="n">
        <x:f>Z477</x:f>
        <x:v>0</x:v>
      </x:c>
      <x:c r="V478" s="6" t="n">
        <x:f>ROUND(U478*'Debt strategy'!$D$12/12,2)</x:f>
        <x:v>0</x:v>
      </x:c>
      <x:c r="W478" s="6" t="n">
        <x:f>MIN(U478+V478,'Debt strategy'!$E$12)</x:f>
        <x:v>0</x:v>
      </x:c>
      <x:c r="X478" s="27" t="n">
        <x:f>IF(U478+V478-W478&lt;=0,99,1+SUM(IF(AND(C478+D478-E478&gt;0,OR(C478+D478-E478&lt;U478+V478-W478,AND(C478+D478-E478=U478+V478-W478,0&lt;3))),1,0),IF(AND(I478+J478-K478&gt;0,OR(I478+J478-K478&lt;U478+V478-W478,AND(I478+J478-K478=U478+V478-W478,1&lt;3))),1,0),IF(AND(O478+P478-Q478&gt;0,OR(O478+P478-Q478&lt;U478+V478-W478,AND(O478+P478-Q478=U478+V478-W478,2&lt;3))),1,0),IF(AND(AA478+AB478-AC478&gt;0,OR(AA478+AB478-AC478&lt;U478+V478-W478,AND(AA478+AB478-AC478=U478+V478-W478,4&lt;3))),1,0)))</x:f>
        <x:v>99</x:v>
      </x:c>
      <x:c r="Y478" s="6" t="n">
        <x:f>IF('Debt strategy'!$C$16&gt;0,0,MIN(U478+V478-W478,MAX(0,'Debt strategy'!$C$5-SUM(E478,K478,Q478,W478,AC478)-SUM(IF(F478&lt;X478,C478+D478-E478,0),IF(L478&lt;X478,I478+J478-K478,0),IF(R478&lt;X478,O478+P478-Q478,0),IF(AD478&lt;X478,AA478+AB478-AC478,0)))))</x:f>
        <x:v>0</x:v>
      </x:c>
      <x:c r="Z478" s="6" t="n">
        <x:f>ROUND(MAX(0,U478+V478-W478-Y478),2)</x:f>
        <x:v>0</x:v>
      </x:c>
      <x:c r="AA478" s="6" t="n">
        <x:f>AF477</x:f>
        <x:v>0</x:v>
      </x:c>
      <x:c r="AB478" s="6" t="n">
        <x:f>ROUND(AA478*'Debt strategy'!$D$13/12,2)</x:f>
        <x:v>0</x:v>
      </x:c>
      <x:c r="AC478" s="6" t="n">
        <x:f>MIN(AA478+AB478,'Debt strategy'!$E$13)</x:f>
        <x:v>0</x:v>
      </x:c>
      <x:c r="AD478" s="27" t="n">
        <x:f>IF(AA478+AB478-AC478&lt;=0,99,1+SUM(IF(AND(C478+D478-E478&gt;0,OR(C478+D478-E478&lt;AA478+AB478-AC478,AND(C478+D478-E478=AA478+AB478-AC478,0&lt;4))),1,0),IF(AND(I478+J478-K478&gt;0,OR(I478+J478-K478&lt;AA478+AB478-AC478,AND(I478+J478-K478=AA478+AB478-AC478,1&lt;4))),1,0),IF(AND(O478+P478-Q478&gt;0,OR(O478+P478-Q478&lt;AA478+AB478-AC478,AND(O478+P478-Q478=AA478+AB478-AC478,2&lt;4))),1,0),IF(AND(U478+V478-W478&gt;0,OR(U478+V478-W478&lt;AA478+AB478-AC478,AND(U478+V478-W478=AA478+AB478-AC478,3&lt;4))),1,0)))</x:f>
        <x:v>99</x:v>
      </x:c>
      <x:c r="AE478" s="6" t="n">
        <x:f>IF('Debt strategy'!$C$16&gt;0,0,MIN(AA478+AB478-AC478,MAX(0,'Debt strategy'!$C$5-SUM(E478,K478,Q478,W478,AC478)-SUM(IF(F478&lt;AD478,C478+D478-E478,0),IF(L478&lt;AD478,I478+J478-K478,0),IF(R478&lt;AD478,O478+P478-Q478,0),IF(X478&lt;AD478,U478+V478-W478,0)))))</x:f>
        <x:v>0</x:v>
      </x:c>
      <x:c r="AF478" s="6" t="n">
        <x:f>ROUND(MAX(0,AA478+AB478-AC478-AE478),2)</x:f>
        <x:v>0</x:v>
      </x:c>
      <x:c r="AG478" s="6" t="n">
        <x:f>SUM(H478,N478,T478,Z478,AF478)</x:f>
        <x:v>0</x:v>
      </x:c>
      <x:c r="AH478" s="6" t="n">
        <x:f>SUM(D478,J478,P478,V478,AB478)+AH477</x:f>
        <x:v>1353.9499999999996</x:v>
      </x:c>
      <x:c r="AI478" s="2"/>
    </x:row>
    <x:row r="479" ht="23" customHeight="1">
      <x:c r="B479" s="2" t="n">
        <x:f>471</x:f>
        <x:v>471</x:v>
      </x:c>
      <x:c r="C479" s="6" t="n">
        <x:f>H478</x:f>
        <x:v>0</x:v>
      </x:c>
      <x:c r="D479" s="6" t="n">
        <x:f>ROUND(C479*'Debt strategy'!$D$9/12,2)</x:f>
        <x:v>0</x:v>
      </x:c>
      <x:c r="E479" s="6" t="n">
        <x:f>MIN(C479+D479,'Debt strategy'!$E$9)</x:f>
        <x:v>0</x:v>
      </x:c>
      <x:c r="F479" s="27" t="n">
        <x:f>IF(C479+D479-E479&lt;=0,99,1+SUM(IF(AND(I479+J479-K479&gt;0,OR(I479+J479-K479&lt;C479+D479-E479,AND(I479+J479-K479=C479+D479-E479,1&lt;0))),1,0),IF(AND(O479+P479-Q479&gt;0,OR(O479+P479-Q479&lt;C479+D479-E479,AND(O479+P479-Q479=C479+D479-E479,2&lt;0))),1,0),IF(AND(U479+V479-W479&gt;0,OR(U479+V479-W479&lt;C479+D479-E479,AND(U479+V479-W479=C479+D479-E479,3&lt;0))),1,0),IF(AND(AA479+AB479-AC479&gt;0,OR(AA479+AB479-AC479&lt;C479+D479-E479,AND(AA479+AB479-AC479=C479+D479-E479,4&lt;0))),1,0)))</x:f>
        <x:v>99</x:v>
      </x:c>
      <x:c r="G479" s="6" t="n">
        <x:f>IF('Debt strategy'!$C$16&gt;0,0,MIN(C479+D479-E479,MAX(0,'Debt strategy'!$C$5-SUM(E479,K479,Q479,W479,AC479)-SUM(IF(L479&lt;F479,I479+J479-K479,0),IF(R479&lt;F479,O479+P479-Q479,0),IF(X479&lt;F479,U479+V479-W479,0),IF(AD479&lt;F479,AA479+AB479-AC479,0)))))</x:f>
        <x:v>0</x:v>
      </x:c>
      <x:c r="H479" s="6" t="n">
        <x:f>ROUND(MAX(0,C479+D479-E479-G479),2)</x:f>
        <x:v>0</x:v>
      </x:c>
      <x:c r="I479" s="6" t="n">
        <x:f>N478</x:f>
        <x:v>0</x:v>
      </x:c>
      <x:c r="J479" s="6" t="n">
        <x:f>ROUND(I479*'Debt strategy'!$D$10/12,2)</x:f>
        <x:v>0</x:v>
      </x:c>
      <x:c r="K479" s="6" t="n">
        <x:f>MIN(I479+J479,'Debt strategy'!$E$10)</x:f>
        <x:v>0</x:v>
      </x:c>
      <x:c r="L479" s="27" t="n">
        <x:f>IF(I479+J479-K479&lt;=0,99,1+SUM(IF(AND(C479+D479-E479&gt;0,OR(C479+D479-E479&lt;I479+J479-K479,AND(C479+D479-E479=I479+J479-K479,0&lt;1))),1,0),IF(AND(O479+P479-Q479&gt;0,OR(O479+P479-Q479&lt;I479+J479-K479,AND(O479+P479-Q479=I479+J479-K479,2&lt;1))),1,0),IF(AND(U479+V479-W479&gt;0,OR(U479+V479-W479&lt;I479+J479-K479,AND(U479+V479-W479=I479+J479-K479,3&lt;1))),1,0),IF(AND(AA479+AB479-AC479&gt;0,OR(AA479+AB479-AC479&lt;I479+J479-K479,AND(AA479+AB479-AC479=I479+J479-K479,4&lt;1))),1,0)))</x:f>
        <x:v>99</x:v>
      </x:c>
      <x:c r="M479" s="6" t="n">
        <x:f>IF('Debt strategy'!$C$16&gt;0,0,MIN(I479+J479-K479,MAX(0,'Debt strategy'!$C$5-SUM(E479,K479,Q479,W479,AC479)-SUM(IF(F479&lt;L479,C479+D479-E479,0),IF(R479&lt;L479,O479+P479-Q479,0),IF(X479&lt;L479,U479+V479-W479,0),IF(AD479&lt;L479,AA479+AB479-AC479,0)))))</x:f>
        <x:v>0</x:v>
      </x:c>
      <x:c r="N479" s="6" t="n">
        <x:f>ROUND(MAX(0,I479+J479-K479-M479),2)</x:f>
        <x:v>0</x:v>
      </x:c>
      <x:c r="O479" s="6" t="n">
        <x:f>T478</x:f>
        <x:v>0</x:v>
      </x:c>
      <x:c r="P479" s="6" t="n">
        <x:f>ROUND(O479*'Debt strategy'!$D$11/12,2)</x:f>
        <x:v>0</x:v>
      </x:c>
      <x:c r="Q479" s="6" t="n">
        <x:f>MIN(O479+P479,'Debt strategy'!$E$11)</x:f>
        <x:v>0</x:v>
      </x:c>
      <x:c r="R479" s="27" t="n">
        <x:f>IF(O479+P479-Q479&lt;=0,99,1+SUM(IF(AND(C479+D479-E479&gt;0,OR(C479+D479-E479&lt;O479+P479-Q479,AND(C479+D479-E479=O479+P479-Q479,0&lt;2))),1,0),IF(AND(I479+J479-K479&gt;0,OR(I479+J479-K479&lt;O479+P479-Q479,AND(I479+J479-K479=O479+P479-Q479,1&lt;2))),1,0),IF(AND(U479+V479-W479&gt;0,OR(U479+V479-W479&lt;O479+P479-Q479,AND(U479+V479-W479=O479+P479-Q479,3&lt;2))),1,0),IF(AND(AA479+AB479-AC479&gt;0,OR(AA479+AB479-AC479&lt;O479+P479-Q479,AND(AA479+AB479-AC479=O479+P479-Q479,4&lt;2))),1,0)))</x:f>
        <x:v>99</x:v>
      </x:c>
      <x:c r="S479" s="6" t="n">
        <x:f>IF('Debt strategy'!$C$16&gt;0,0,MIN(O479+P479-Q479,MAX(0,'Debt strategy'!$C$5-SUM(E479,K479,Q479,W479,AC479)-SUM(IF(F479&lt;R479,C479+D479-E479,0),IF(L479&lt;R479,I479+J479-K479,0),IF(X479&lt;R479,U479+V479-W479,0),IF(AD479&lt;R479,AA479+AB479-AC479,0)))))</x:f>
        <x:v>0</x:v>
      </x:c>
      <x:c r="T479" s="6" t="n">
        <x:f>ROUND(MAX(0,O479+P479-Q479-S479),2)</x:f>
        <x:v>0</x:v>
      </x:c>
      <x:c r="U479" s="6" t="n">
        <x:f>Z478</x:f>
        <x:v>0</x:v>
      </x:c>
      <x:c r="V479" s="6" t="n">
        <x:f>ROUND(U479*'Debt strategy'!$D$12/12,2)</x:f>
        <x:v>0</x:v>
      </x:c>
      <x:c r="W479" s="6" t="n">
        <x:f>MIN(U479+V479,'Debt strategy'!$E$12)</x:f>
        <x:v>0</x:v>
      </x:c>
      <x:c r="X479" s="27" t="n">
        <x:f>IF(U479+V479-W479&lt;=0,99,1+SUM(IF(AND(C479+D479-E479&gt;0,OR(C479+D479-E479&lt;U479+V479-W479,AND(C479+D479-E479=U479+V479-W479,0&lt;3))),1,0),IF(AND(I479+J479-K479&gt;0,OR(I479+J479-K479&lt;U479+V479-W479,AND(I479+J479-K479=U479+V479-W479,1&lt;3))),1,0),IF(AND(O479+P479-Q479&gt;0,OR(O479+P479-Q479&lt;U479+V479-W479,AND(O479+P479-Q479=U479+V479-W479,2&lt;3))),1,0),IF(AND(AA479+AB479-AC479&gt;0,OR(AA479+AB479-AC479&lt;U479+V479-W479,AND(AA479+AB479-AC479=U479+V479-W479,4&lt;3))),1,0)))</x:f>
        <x:v>99</x:v>
      </x:c>
      <x:c r="Y479" s="6" t="n">
        <x:f>IF('Debt strategy'!$C$16&gt;0,0,MIN(U479+V479-W479,MAX(0,'Debt strategy'!$C$5-SUM(E479,K479,Q479,W479,AC479)-SUM(IF(F479&lt;X479,C479+D479-E479,0),IF(L479&lt;X479,I479+J479-K479,0),IF(R479&lt;X479,O479+P479-Q479,0),IF(AD479&lt;X479,AA479+AB479-AC479,0)))))</x:f>
        <x:v>0</x:v>
      </x:c>
      <x:c r="Z479" s="6" t="n">
        <x:f>ROUND(MAX(0,U479+V479-W479-Y479),2)</x:f>
        <x:v>0</x:v>
      </x:c>
      <x:c r="AA479" s="6" t="n">
        <x:f>AF478</x:f>
        <x:v>0</x:v>
      </x:c>
      <x:c r="AB479" s="6" t="n">
        <x:f>ROUND(AA479*'Debt strategy'!$D$13/12,2)</x:f>
        <x:v>0</x:v>
      </x:c>
      <x:c r="AC479" s="6" t="n">
        <x:f>MIN(AA479+AB479,'Debt strategy'!$E$13)</x:f>
        <x:v>0</x:v>
      </x:c>
      <x:c r="AD479" s="27" t="n">
        <x:f>IF(AA479+AB479-AC479&lt;=0,99,1+SUM(IF(AND(C479+D479-E479&gt;0,OR(C479+D479-E479&lt;AA479+AB479-AC479,AND(C479+D479-E479=AA479+AB479-AC479,0&lt;4))),1,0),IF(AND(I479+J479-K479&gt;0,OR(I479+J479-K479&lt;AA479+AB479-AC479,AND(I479+J479-K479=AA479+AB479-AC479,1&lt;4))),1,0),IF(AND(O479+P479-Q479&gt;0,OR(O479+P479-Q479&lt;AA479+AB479-AC479,AND(O479+P479-Q479=AA479+AB479-AC479,2&lt;4))),1,0),IF(AND(U479+V479-W479&gt;0,OR(U479+V479-W479&lt;AA479+AB479-AC479,AND(U479+V479-W479=AA479+AB479-AC479,3&lt;4))),1,0)))</x:f>
        <x:v>99</x:v>
      </x:c>
      <x:c r="AE479" s="6" t="n">
        <x:f>IF('Debt strategy'!$C$16&gt;0,0,MIN(AA479+AB479-AC479,MAX(0,'Debt strategy'!$C$5-SUM(E479,K479,Q479,W479,AC479)-SUM(IF(F479&lt;AD479,C479+D479-E479,0),IF(L479&lt;AD479,I479+J479-K479,0),IF(R479&lt;AD479,O479+P479-Q479,0),IF(X479&lt;AD479,U479+V479-W479,0)))))</x:f>
        <x:v>0</x:v>
      </x:c>
      <x:c r="AF479" s="6" t="n">
        <x:f>ROUND(MAX(0,AA479+AB479-AC479-AE479),2)</x:f>
        <x:v>0</x:v>
      </x:c>
      <x:c r="AG479" s="6" t="n">
        <x:f>SUM(H479,N479,T479,Z479,AF479)</x:f>
        <x:v>0</x:v>
      </x:c>
      <x:c r="AH479" s="6" t="n">
        <x:f>SUM(D479,J479,P479,V479,AB479)+AH478</x:f>
        <x:v>1353.9499999999996</x:v>
      </x:c>
      <x:c r="AI479" s="2"/>
    </x:row>
    <x:row r="480" ht="23" customHeight="1">
      <x:c r="B480" s="2" t="n">
        <x:f>472</x:f>
        <x:v>472</x:v>
      </x:c>
      <x:c r="C480" s="6" t="n">
        <x:f>H479</x:f>
        <x:v>0</x:v>
      </x:c>
      <x:c r="D480" s="6" t="n">
        <x:f>ROUND(C480*'Debt strategy'!$D$9/12,2)</x:f>
        <x:v>0</x:v>
      </x:c>
      <x:c r="E480" s="6" t="n">
        <x:f>MIN(C480+D480,'Debt strategy'!$E$9)</x:f>
        <x:v>0</x:v>
      </x:c>
      <x:c r="F480" s="27" t="n">
        <x:f>IF(C480+D480-E480&lt;=0,99,1+SUM(IF(AND(I480+J480-K480&gt;0,OR(I480+J480-K480&lt;C480+D480-E480,AND(I480+J480-K480=C480+D480-E480,1&lt;0))),1,0),IF(AND(O480+P480-Q480&gt;0,OR(O480+P480-Q480&lt;C480+D480-E480,AND(O480+P480-Q480=C480+D480-E480,2&lt;0))),1,0),IF(AND(U480+V480-W480&gt;0,OR(U480+V480-W480&lt;C480+D480-E480,AND(U480+V480-W480=C480+D480-E480,3&lt;0))),1,0),IF(AND(AA480+AB480-AC480&gt;0,OR(AA480+AB480-AC480&lt;C480+D480-E480,AND(AA480+AB480-AC480=C480+D480-E480,4&lt;0))),1,0)))</x:f>
        <x:v>99</x:v>
      </x:c>
      <x:c r="G480" s="6" t="n">
        <x:f>IF('Debt strategy'!$C$16&gt;0,0,MIN(C480+D480-E480,MAX(0,'Debt strategy'!$C$5-SUM(E480,K480,Q480,W480,AC480)-SUM(IF(L480&lt;F480,I480+J480-K480,0),IF(R480&lt;F480,O480+P480-Q480,0),IF(X480&lt;F480,U480+V480-W480,0),IF(AD480&lt;F480,AA480+AB480-AC480,0)))))</x:f>
        <x:v>0</x:v>
      </x:c>
      <x:c r="H480" s="6" t="n">
        <x:f>ROUND(MAX(0,C480+D480-E480-G480),2)</x:f>
        <x:v>0</x:v>
      </x:c>
      <x:c r="I480" s="6" t="n">
        <x:f>N479</x:f>
        <x:v>0</x:v>
      </x:c>
      <x:c r="J480" s="6" t="n">
        <x:f>ROUND(I480*'Debt strategy'!$D$10/12,2)</x:f>
        <x:v>0</x:v>
      </x:c>
      <x:c r="K480" s="6" t="n">
        <x:f>MIN(I480+J480,'Debt strategy'!$E$10)</x:f>
        <x:v>0</x:v>
      </x:c>
      <x:c r="L480" s="27" t="n">
        <x:f>IF(I480+J480-K480&lt;=0,99,1+SUM(IF(AND(C480+D480-E480&gt;0,OR(C480+D480-E480&lt;I480+J480-K480,AND(C480+D480-E480=I480+J480-K480,0&lt;1))),1,0),IF(AND(O480+P480-Q480&gt;0,OR(O480+P480-Q480&lt;I480+J480-K480,AND(O480+P480-Q480=I480+J480-K480,2&lt;1))),1,0),IF(AND(U480+V480-W480&gt;0,OR(U480+V480-W480&lt;I480+J480-K480,AND(U480+V480-W480=I480+J480-K480,3&lt;1))),1,0),IF(AND(AA480+AB480-AC480&gt;0,OR(AA480+AB480-AC480&lt;I480+J480-K480,AND(AA480+AB480-AC480=I480+J480-K480,4&lt;1))),1,0)))</x:f>
        <x:v>99</x:v>
      </x:c>
      <x:c r="M480" s="6" t="n">
        <x:f>IF('Debt strategy'!$C$16&gt;0,0,MIN(I480+J480-K480,MAX(0,'Debt strategy'!$C$5-SUM(E480,K480,Q480,W480,AC480)-SUM(IF(F480&lt;L480,C480+D480-E480,0),IF(R480&lt;L480,O480+P480-Q480,0),IF(X480&lt;L480,U480+V480-W480,0),IF(AD480&lt;L480,AA480+AB480-AC480,0)))))</x:f>
        <x:v>0</x:v>
      </x:c>
      <x:c r="N480" s="6" t="n">
        <x:f>ROUND(MAX(0,I480+J480-K480-M480),2)</x:f>
        <x:v>0</x:v>
      </x:c>
      <x:c r="O480" s="6" t="n">
        <x:f>T479</x:f>
        <x:v>0</x:v>
      </x:c>
      <x:c r="P480" s="6" t="n">
        <x:f>ROUND(O480*'Debt strategy'!$D$11/12,2)</x:f>
        <x:v>0</x:v>
      </x:c>
      <x:c r="Q480" s="6" t="n">
        <x:f>MIN(O480+P480,'Debt strategy'!$E$11)</x:f>
        <x:v>0</x:v>
      </x:c>
      <x:c r="R480" s="27" t="n">
        <x:f>IF(O480+P480-Q480&lt;=0,99,1+SUM(IF(AND(C480+D480-E480&gt;0,OR(C480+D480-E480&lt;O480+P480-Q480,AND(C480+D480-E480=O480+P480-Q480,0&lt;2))),1,0),IF(AND(I480+J480-K480&gt;0,OR(I480+J480-K480&lt;O480+P480-Q480,AND(I480+J480-K480=O480+P480-Q480,1&lt;2))),1,0),IF(AND(U480+V480-W480&gt;0,OR(U480+V480-W480&lt;O480+P480-Q480,AND(U480+V480-W480=O480+P480-Q480,3&lt;2))),1,0),IF(AND(AA480+AB480-AC480&gt;0,OR(AA480+AB480-AC480&lt;O480+P480-Q480,AND(AA480+AB480-AC480=O480+P480-Q480,4&lt;2))),1,0)))</x:f>
        <x:v>99</x:v>
      </x:c>
      <x:c r="S480" s="6" t="n">
        <x:f>IF('Debt strategy'!$C$16&gt;0,0,MIN(O480+P480-Q480,MAX(0,'Debt strategy'!$C$5-SUM(E480,K480,Q480,W480,AC480)-SUM(IF(F480&lt;R480,C480+D480-E480,0),IF(L480&lt;R480,I480+J480-K480,0),IF(X480&lt;R480,U480+V480-W480,0),IF(AD480&lt;R480,AA480+AB480-AC480,0)))))</x:f>
        <x:v>0</x:v>
      </x:c>
      <x:c r="T480" s="6" t="n">
        <x:f>ROUND(MAX(0,O480+P480-Q480-S480),2)</x:f>
        <x:v>0</x:v>
      </x:c>
      <x:c r="U480" s="6" t="n">
        <x:f>Z479</x:f>
        <x:v>0</x:v>
      </x:c>
      <x:c r="V480" s="6" t="n">
        <x:f>ROUND(U480*'Debt strategy'!$D$12/12,2)</x:f>
        <x:v>0</x:v>
      </x:c>
      <x:c r="W480" s="6" t="n">
        <x:f>MIN(U480+V480,'Debt strategy'!$E$12)</x:f>
        <x:v>0</x:v>
      </x:c>
      <x:c r="X480" s="27" t="n">
        <x:f>IF(U480+V480-W480&lt;=0,99,1+SUM(IF(AND(C480+D480-E480&gt;0,OR(C480+D480-E480&lt;U480+V480-W480,AND(C480+D480-E480=U480+V480-W480,0&lt;3))),1,0),IF(AND(I480+J480-K480&gt;0,OR(I480+J480-K480&lt;U480+V480-W480,AND(I480+J480-K480=U480+V480-W480,1&lt;3))),1,0),IF(AND(O480+P480-Q480&gt;0,OR(O480+P480-Q480&lt;U480+V480-W480,AND(O480+P480-Q480=U480+V480-W480,2&lt;3))),1,0),IF(AND(AA480+AB480-AC480&gt;0,OR(AA480+AB480-AC480&lt;U480+V480-W480,AND(AA480+AB480-AC480=U480+V480-W480,4&lt;3))),1,0)))</x:f>
        <x:v>99</x:v>
      </x:c>
      <x:c r="Y480" s="6" t="n">
        <x:f>IF('Debt strategy'!$C$16&gt;0,0,MIN(U480+V480-W480,MAX(0,'Debt strategy'!$C$5-SUM(E480,K480,Q480,W480,AC480)-SUM(IF(F480&lt;X480,C480+D480-E480,0),IF(L480&lt;X480,I480+J480-K480,0),IF(R480&lt;X480,O480+P480-Q480,0),IF(AD480&lt;X480,AA480+AB480-AC480,0)))))</x:f>
        <x:v>0</x:v>
      </x:c>
      <x:c r="Z480" s="6" t="n">
        <x:f>ROUND(MAX(0,U480+V480-W480-Y480),2)</x:f>
        <x:v>0</x:v>
      </x:c>
      <x:c r="AA480" s="6" t="n">
        <x:f>AF479</x:f>
        <x:v>0</x:v>
      </x:c>
      <x:c r="AB480" s="6" t="n">
        <x:f>ROUND(AA480*'Debt strategy'!$D$13/12,2)</x:f>
        <x:v>0</x:v>
      </x:c>
      <x:c r="AC480" s="6" t="n">
        <x:f>MIN(AA480+AB480,'Debt strategy'!$E$13)</x:f>
        <x:v>0</x:v>
      </x:c>
      <x:c r="AD480" s="27" t="n">
        <x:f>IF(AA480+AB480-AC480&lt;=0,99,1+SUM(IF(AND(C480+D480-E480&gt;0,OR(C480+D480-E480&lt;AA480+AB480-AC480,AND(C480+D480-E480=AA480+AB480-AC480,0&lt;4))),1,0),IF(AND(I480+J480-K480&gt;0,OR(I480+J480-K480&lt;AA480+AB480-AC480,AND(I480+J480-K480=AA480+AB480-AC480,1&lt;4))),1,0),IF(AND(O480+P480-Q480&gt;0,OR(O480+P480-Q480&lt;AA480+AB480-AC480,AND(O480+P480-Q480=AA480+AB480-AC480,2&lt;4))),1,0),IF(AND(U480+V480-W480&gt;0,OR(U480+V480-W480&lt;AA480+AB480-AC480,AND(U480+V480-W480=AA480+AB480-AC480,3&lt;4))),1,0)))</x:f>
        <x:v>99</x:v>
      </x:c>
      <x:c r="AE480" s="6" t="n">
        <x:f>IF('Debt strategy'!$C$16&gt;0,0,MIN(AA480+AB480-AC480,MAX(0,'Debt strategy'!$C$5-SUM(E480,K480,Q480,W480,AC480)-SUM(IF(F480&lt;AD480,C480+D480-E480,0),IF(L480&lt;AD480,I480+J480-K480,0),IF(R480&lt;AD480,O480+P480-Q480,0),IF(X480&lt;AD480,U480+V480-W480,0)))))</x:f>
        <x:v>0</x:v>
      </x:c>
      <x:c r="AF480" s="6" t="n">
        <x:f>ROUND(MAX(0,AA480+AB480-AC480-AE480),2)</x:f>
        <x:v>0</x:v>
      </x:c>
      <x:c r="AG480" s="6" t="n">
        <x:f>SUM(H480,N480,T480,Z480,AF480)</x:f>
        <x:v>0</x:v>
      </x:c>
      <x:c r="AH480" s="6" t="n">
        <x:f>SUM(D480,J480,P480,V480,AB480)+AH479</x:f>
        <x:v>1353.9499999999996</x:v>
      </x:c>
      <x:c r="AI480" s="2"/>
    </x:row>
    <x:row r="481" ht="23" customHeight="1">
      <x:c r="B481" s="2" t="n">
        <x:f>473</x:f>
        <x:v>473</x:v>
      </x:c>
      <x:c r="C481" s="6" t="n">
        <x:f>H480</x:f>
        <x:v>0</x:v>
      </x:c>
      <x:c r="D481" s="6" t="n">
        <x:f>ROUND(C481*'Debt strategy'!$D$9/12,2)</x:f>
        <x:v>0</x:v>
      </x:c>
      <x:c r="E481" s="6" t="n">
        <x:f>MIN(C481+D481,'Debt strategy'!$E$9)</x:f>
        <x:v>0</x:v>
      </x:c>
      <x:c r="F481" s="27" t="n">
        <x:f>IF(C481+D481-E481&lt;=0,99,1+SUM(IF(AND(I481+J481-K481&gt;0,OR(I481+J481-K481&lt;C481+D481-E481,AND(I481+J481-K481=C481+D481-E481,1&lt;0))),1,0),IF(AND(O481+P481-Q481&gt;0,OR(O481+P481-Q481&lt;C481+D481-E481,AND(O481+P481-Q481=C481+D481-E481,2&lt;0))),1,0),IF(AND(U481+V481-W481&gt;0,OR(U481+V481-W481&lt;C481+D481-E481,AND(U481+V481-W481=C481+D481-E481,3&lt;0))),1,0),IF(AND(AA481+AB481-AC481&gt;0,OR(AA481+AB481-AC481&lt;C481+D481-E481,AND(AA481+AB481-AC481=C481+D481-E481,4&lt;0))),1,0)))</x:f>
        <x:v>99</x:v>
      </x:c>
      <x:c r="G481" s="6" t="n">
        <x:f>IF('Debt strategy'!$C$16&gt;0,0,MIN(C481+D481-E481,MAX(0,'Debt strategy'!$C$5-SUM(E481,K481,Q481,W481,AC481)-SUM(IF(L481&lt;F481,I481+J481-K481,0),IF(R481&lt;F481,O481+P481-Q481,0),IF(X481&lt;F481,U481+V481-W481,0),IF(AD481&lt;F481,AA481+AB481-AC481,0)))))</x:f>
        <x:v>0</x:v>
      </x:c>
      <x:c r="H481" s="6" t="n">
        <x:f>ROUND(MAX(0,C481+D481-E481-G481),2)</x:f>
        <x:v>0</x:v>
      </x:c>
      <x:c r="I481" s="6" t="n">
        <x:f>N480</x:f>
        <x:v>0</x:v>
      </x:c>
      <x:c r="J481" s="6" t="n">
        <x:f>ROUND(I481*'Debt strategy'!$D$10/12,2)</x:f>
        <x:v>0</x:v>
      </x:c>
      <x:c r="K481" s="6" t="n">
        <x:f>MIN(I481+J481,'Debt strategy'!$E$10)</x:f>
        <x:v>0</x:v>
      </x:c>
      <x:c r="L481" s="27" t="n">
        <x:f>IF(I481+J481-K481&lt;=0,99,1+SUM(IF(AND(C481+D481-E481&gt;0,OR(C481+D481-E481&lt;I481+J481-K481,AND(C481+D481-E481=I481+J481-K481,0&lt;1))),1,0),IF(AND(O481+P481-Q481&gt;0,OR(O481+P481-Q481&lt;I481+J481-K481,AND(O481+P481-Q481=I481+J481-K481,2&lt;1))),1,0),IF(AND(U481+V481-W481&gt;0,OR(U481+V481-W481&lt;I481+J481-K481,AND(U481+V481-W481=I481+J481-K481,3&lt;1))),1,0),IF(AND(AA481+AB481-AC481&gt;0,OR(AA481+AB481-AC481&lt;I481+J481-K481,AND(AA481+AB481-AC481=I481+J481-K481,4&lt;1))),1,0)))</x:f>
        <x:v>99</x:v>
      </x:c>
      <x:c r="M481" s="6" t="n">
        <x:f>IF('Debt strategy'!$C$16&gt;0,0,MIN(I481+J481-K481,MAX(0,'Debt strategy'!$C$5-SUM(E481,K481,Q481,W481,AC481)-SUM(IF(F481&lt;L481,C481+D481-E481,0),IF(R481&lt;L481,O481+P481-Q481,0),IF(X481&lt;L481,U481+V481-W481,0),IF(AD481&lt;L481,AA481+AB481-AC481,0)))))</x:f>
        <x:v>0</x:v>
      </x:c>
      <x:c r="N481" s="6" t="n">
        <x:f>ROUND(MAX(0,I481+J481-K481-M481),2)</x:f>
        <x:v>0</x:v>
      </x:c>
      <x:c r="O481" s="6" t="n">
        <x:f>T480</x:f>
        <x:v>0</x:v>
      </x:c>
      <x:c r="P481" s="6" t="n">
        <x:f>ROUND(O481*'Debt strategy'!$D$11/12,2)</x:f>
        <x:v>0</x:v>
      </x:c>
      <x:c r="Q481" s="6" t="n">
        <x:f>MIN(O481+P481,'Debt strategy'!$E$11)</x:f>
        <x:v>0</x:v>
      </x:c>
      <x:c r="R481" s="27" t="n">
        <x:f>IF(O481+P481-Q481&lt;=0,99,1+SUM(IF(AND(C481+D481-E481&gt;0,OR(C481+D481-E481&lt;O481+P481-Q481,AND(C481+D481-E481=O481+P481-Q481,0&lt;2))),1,0),IF(AND(I481+J481-K481&gt;0,OR(I481+J481-K481&lt;O481+P481-Q481,AND(I481+J481-K481=O481+P481-Q481,1&lt;2))),1,0),IF(AND(U481+V481-W481&gt;0,OR(U481+V481-W481&lt;O481+P481-Q481,AND(U481+V481-W481=O481+P481-Q481,3&lt;2))),1,0),IF(AND(AA481+AB481-AC481&gt;0,OR(AA481+AB481-AC481&lt;O481+P481-Q481,AND(AA481+AB481-AC481=O481+P481-Q481,4&lt;2))),1,0)))</x:f>
        <x:v>99</x:v>
      </x:c>
      <x:c r="S481" s="6" t="n">
        <x:f>IF('Debt strategy'!$C$16&gt;0,0,MIN(O481+P481-Q481,MAX(0,'Debt strategy'!$C$5-SUM(E481,K481,Q481,W481,AC481)-SUM(IF(F481&lt;R481,C481+D481-E481,0),IF(L481&lt;R481,I481+J481-K481,0),IF(X481&lt;R481,U481+V481-W481,0),IF(AD481&lt;R481,AA481+AB481-AC481,0)))))</x:f>
        <x:v>0</x:v>
      </x:c>
      <x:c r="T481" s="6" t="n">
        <x:f>ROUND(MAX(0,O481+P481-Q481-S481),2)</x:f>
        <x:v>0</x:v>
      </x:c>
      <x:c r="U481" s="6" t="n">
        <x:f>Z480</x:f>
        <x:v>0</x:v>
      </x:c>
      <x:c r="V481" s="6" t="n">
        <x:f>ROUND(U481*'Debt strategy'!$D$12/12,2)</x:f>
        <x:v>0</x:v>
      </x:c>
      <x:c r="W481" s="6" t="n">
        <x:f>MIN(U481+V481,'Debt strategy'!$E$12)</x:f>
        <x:v>0</x:v>
      </x:c>
      <x:c r="X481" s="27" t="n">
        <x:f>IF(U481+V481-W481&lt;=0,99,1+SUM(IF(AND(C481+D481-E481&gt;0,OR(C481+D481-E481&lt;U481+V481-W481,AND(C481+D481-E481=U481+V481-W481,0&lt;3))),1,0),IF(AND(I481+J481-K481&gt;0,OR(I481+J481-K481&lt;U481+V481-W481,AND(I481+J481-K481=U481+V481-W481,1&lt;3))),1,0),IF(AND(O481+P481-Q481&gt;0,OR(O481+P481-Q481&lt;U481+V481-W481,AND(O481+P481-Q481=U481+V481-W481,2&lt;3))),1,0),IF(AND(AA481+AB481-AC481&gt;0,OR(AA481+AB481-AC481&lt;U481+V481-W481,AND(AA481+AB481-AC481=U481+V481-W481,4&lt;3))),1,0)))</x:f>
        <x:v>99</x:v>
      </x:c>
      <x:c r="Y481" s="6" t="n">
        <x:f>IF('Debt strategy'!$C$16&gt;0,0,MIN(U481+V481-W481,MAX(0,'Debt strategy'!$C$5-SUM(E481,K481,Q481,W481,AC481)-SUM(IF(F481&lt;X481,C481+D481-E481,0),IF(L481&lt;X481,I481+J481-K481,0),IF(R481&lt;X481,O481+P481-Q481,0),IF(AD481&lt;X481,AA481+AB481-AC481,0)))))</x:f>
        <x:v>0</x:v>
      </x:c>
      <x:c r="Z481" s="6" t="n">
        <x:f>ROUND(MAX(0,U481+V481-W481-Y481),2)</x:f>
        <x:v>0</x:v>
      </x:c>
      <x:c r="AA481" s="6" t="n">
        <x:f>AF480</x:f>
        <x:v>0</x:v>
      </x:c>
      <x:c r="AB481" s="6" t="n">
        <x:f>ROUND(AA481*'Debt strategy'!$D$13/12,2)</x:f>
        <x:v>0</x:v>
      </x:c>
      <x:c r="AC481" s="6" t="n">
        <x:f>MIN(AA481+AB481,'Debt strategy'!$E$13)</x:f>
        <x:v>0</x:v>
      </x:c>
      <x:c r="AD481" s="27" t="n">
        <x:f>IF(AA481+AB481-AC481&lt;=0,99,1+SUM(IF(AND(C481+D481-E481&gt;0,OR(C481+D481-E481&lt;AA481+AB481-AC481,AND(C481+D481-E481=AA481+AB481-AC481,0&lt;4))),1,0),IF(AND(I481+J481-K481&gt;0,OR(I481+J481-K481&lt;AA481+AB481-AC481,AND(I481+J481-K481=AA481+AB481-AC481,1&lt;4))),1,0),IF(AND(O481+P481-Q481&gt;0,OR(O481+P481-Q481&lt;AA481+AB481-AC481,AND(O481+P481-Q481=AA481+AB481-AC481,2&lt;4))),1,0),IF(AND(U481+V481-W481&gt;0,OR(U481+V481-W481&lt;AA481+AB481-AC481,AND(U481+V481-W481=AA481+AB481-AC481,3&lt;4))),1,0)))</x:f>
        <x:v>99</x:v>
      </x:c>
      <x:c r="AE481" s="6" t="n">
        <x:f>IF('Debt strategy'!$C$16&gt;0,0,MIN(AA481+AB481-AC481,MAX(0,'Debt strategy'!$C$5-SUM(E481,K481,Q481,W481,AC481)-SUM(IF(F481&lt;AD481,C481+D481-E481,0),IF(L481&lt;AD481,I481+J481-K481,0),IF(R481&lt;AD481,O481+P481-Q481,0),IF(X481&lt;AD481,U481+V481-W481,0)))))</x:f>
        <x:v>0</x:v>
      </x:c>
      <x:c r="AF481" s="6" t="n">
        <x:f>ROUND(MAX(0,AA481+AB481-AC481-AE481),2)</x:f>
        <x:v>0</x:v>
      </x:c>
      <x:c r="AG481" s="6" t="n">
        <x:f>SUM(H481,N481,T481,Z481,AF481)</x:f>
        <x:v>0</x:v>
      </x:c>
      <x:c r="AH481" s="6" t="n">
        <x:f>SUM(D481,J481,P481,V481,AB481)+AH480</x:f>
        <x:v>1353.9499999999996</x:v>
      </x:c>
      <x:c r="AI481" s="2"/>
    </x:row>
    <x:row r="482" ht="23" customHeight="1">
      <x:c r="B482" s="2" t="n">
        <x:f>474</x:f>
        <x:v>474</x:v>
      </x:c>
      <x:c r="C482" s="6" t="n">
        <x:f>H481</x:f>
        <x:v>0</x:v>
      </x:c>
      <x:c r="D482" s="6" t="n">
        <x:f>ROUND(C482*'Debt strategy'!$D$9/12,2)</x:f>
        <x:v>0</x:v>
      </x:c>
      <x:c r="E482" s="6" t="n">
        <x:f>MIN(C482+D482,'Debt strategy'!$E$9)</x:f>
        <x:v>0</x:v>
      </x:c>
      <x:c r="F482" s="27" t="n">
        <x:f>IF(C482+D482-E482&lt;=0,99,1+SUM(IF(AND(I482+J482-K482&gt;0,OR(I482+J482-K482&lt;C482+D482-E482,AND(I482+J482-K482=C482+D482-E482,1&lt;0))),1,0),IF(AND(O482+P482-Q482&gt;0,OR(O482+P482-Q482&lt;C482+D482-E482,AND(O482+P482-Q482=C482+D482-E482,2&lt;0))),1,0),IF(AND(U482+V482-W482&gt;0,OR(U482+V482-W482&lt;C482+D482-E482,AND(U482+V482-W482=C482+D482-E482,3&lt;0))),1,0),IF(AND(AA482+AB482-AC482&gt;0,OR(AA482+AB482-AC482&lt;C482+D482-E482,AND(AA482+AB482-AC482=C482+D482-E482,4&lt;0))),1,0)))</x:f>
        <x:v>99</x:v>
      </x:c>
      <x:c r="G482" s="6" t="n">
        <x:f>IF('Debt strategy'!$C$16&gt;0,0,MIN(C482+D482-E482,MAX(0,'Debt strategy'!$C$5-SUM(E482,K482,Q482,W482,AC482)-SUM(IF(L482&lt;F482,I482+J482-K482,0),IF(R482&lt;F482,O482+P482-Q482,0),IF(X482&lt;F482,U482+V482-W482,0),IF(AD482&lt;F482,AA482+AB482-AC482,0)))))</x:f>
        <x:v>0</x:v>
      </x:c>
      <x:c r="H482" s="6" t="n">
        <x:f>ROUND(MAX(0,C482+D482-E482-G482),2)</x:f>
        <x:v>0</x:v>
      </x:c>
      <x:c r="I482" s="6" t="n">
        <x:f>N481</x:f>
        <x:v>0</x:v>
      </x:c>
      <x:c r="J482" s="6" t="n">
        <x:f>ROUND(I482*'Debt strategy'!$D$10/12,2)</x:f>
        <x:v>0</x:v>
      </x:c>
      <x:c r="K482" s="6" t="n">
        <x:f>MIN(I482+J482,'Debt strategy'!$E$10)</x:f>
        <x:v>0</x:v>
      </x:c>
      <x:c r="L482" s="27" t="n">
        <x:f>IF(I482+J482-K482&lt;=0,99,1+SUM(IF(AND(C482+D482-E482&gt;0,OR(C482+D482-E482&lt;I482+J482-K482,AND(C482+D482-E482=I482+J482-K482,0&lt;1))),1,0),IF(AND(O482+P482-Q482&gt;0,OR(O482+P482-Q482&lt;I482+J482-K482,AND(O482+P482-Q482=I482+J482-K482,2&lt;1))),1,0),IF(AND(U482+V482-W482&gt;0,OR(U482+V482-W482&lt;I482+J482-K482,AND(U482+V482-W482=I482+J482-K482,3&lt;1))),1,0),IF(AND(AA482+AB482-AC482&gt;0,OR(AA482+AB482-AC482&lt;I482+J482-K482,AND(AA482+AB482-AC482=I482+J482-K482,4&lt;1))),1,0)))</x:f>
        <x:v>99</x:v>
      </x:c>
      <x:c r="M482" s="6" t="n">
        <x:f>IF('Debt strategy'!$C$16&gt;0,0,MIN(I482+J482-K482,MAX(0,'Debt strategy'!$C$5-SUM(E482,K482,Q482,W482,AC482)-SUM(IF(F482&lt;L482,C482+D482-E482,0),IF(R482&lt;L482,O482+P482-Q482,0),IF(X482&lt;L482,U482+V482-W482,0),IF(AD482&lt;L482,AA482+AB482-AC482,0)))))</x:f>
        <x:v>0</x:v>
      </x:c>
      <x:c r="N482" s="6" t="n">
        <x:f>ROUND(MAX(0,I482+J482-K482-M482),2)</x:f>
        <x:v>0</x:v>
      </x:c>
      <x:c r="O482" s="6" t="n">
        <x:f>T481</x:f>
        <x:v>0</x:v>
      </x:c>
      <x:c r="P482" s="6" t="n">
        <x:f>ROUND(O482*'Debt strategy'!$D$11/12,2)</x:f>
        <x:v>0</x:v>
      </x:c>
      <x:c r="Q482" s="6" t="n">
        <x:f>MIN(O482+P482,'Debt strategy'!$E$11)</x:f>
        <x:v>0</x:v>
      </x:c>
      <x:c r="R482" s="27" t="n">
        <x:f>IF(O482+P482-Q482&lt;=0,99,1+SUM(IF(AND(C482+D482-E482&gt;0,OR(C482+D482-E482&lt;O482+P482-Q482,AND(C482+D482-E482=O482+P482-Q482,0&lt;2))),1,0),IF(AND(I482+J482-K482&gt;0,OR(I482+J482-K482&lt;O482+P482-Q482,AND(I482+J482-K482=O482+P482-Q482,1&lt;2))),1,0),IF(AND(U482+V482-W482&gt;0,OR(U482+V482-W482&lt;O482+P482-Q482,AND(U482+V482-W482=O482+P482-Q482,3&lt;2))),1,0),IF(AND(AA482+AB482-AC482&gt;0,OR(AA482+AB482-AC482&lt;O482+P482-Q482,AND(AA482+AB482-AC482=O482+P482-Q482,4&lt;2))),1,0)))</x:f>
        <x:v>99</x:v>
      </x:c>
      <x:c r="S482" s="6" t="n">
        <x:f>IF('Debt strategy'!$C$16&gt;0,0,MIN(O482+P482-Q482,MAX(0,'Debt strategy'!$C$5-SUM(E482,K482,Q482,W482,AC482)-SUM(IF(F482&lt;R482,C482+D482-E482,0),IF(L482&lt;R482,I482+J482-K482,0),IF(X482&lt;R482,U482+V482-W482,0),IF(AD482&lt;R482,AA482+AB482-AC482,0)))))</x:f>
        <x:v>0</x:v>
      </x:c>
      <x:c r="T482" s="6" t="n">
        <x:f>ROUND(MAX(0,O482+P482-Q482-S482),2)</x:f>
        <x:v>0</x:v>
      </x:c>
      <x:c r="U482" s="6" t="n">
        <x:f>Z481</x:f>
        <x:v>0</x:v>
      </x:c>
      <x:c r="V482" s="6" t="n">
        <x:f>ROUND(U482*'Debt strategy'!$D$12/12,2)</x:f>
        <x:v>0</x:v>
      </x:c>
      <x:c r="W482" s="6" t="n">
        <x:f>MIN(U482+V482,'Debt strategy'!$E$12)</x:f>
        <x:v>0</x:v>
      </x:c>
      <x:c r="X482" s="27" t="n">
        <x:f>IF(U482+V482-W482&lt;=0,99,1+SUM(IF(AND(C482+D482-E482&gt;0,OR(C482+D482-E482&lt;U482+V482-W482,AND(C482+D482-E482=U482+V482-W482,0&lt;3))),1,0),IF(AND(I482+J482-K482&gt;0,OR(I482+J482-K482&lt;U482+V482-W482,AND(I482+J482-K482=U482+V482-W482,1&lt;3))),1,0),IF(AND(O482+P482-Q482&gt;0,OR(O482+P482-Q482&lt;U482+V482-W482,AND(O482+P482-Q482=U482+V482-W482,2&lt;3))),1,0),IF(AND(AA482+AB482-AC482&gt;0,OR(AA482+AB482-AC482&lt;U482+V482-W482,AND(AA482+AB482-AC482=U482+V482-W482,4&lt;3))),1,0)))</x:f>
        <x:v>99</x:v>
      </x:c>
      <x:c r="Y482" s="6" t="n">
        <x:f>IF('Debt strategy'!$C$16&gt;0,0,MIN(U482+V482-W482,MAX(0,'Debt strategy'!$C$5-SUM(E482,K482,Q482,W482,AC482)-SUM(IF(F482&lt;X482,C482+D482-E482,0),IF(L482&lt;X482,I482+J482-K482,0),IF(R482&lt;X482,O482+P482-Q482,0),IF(AD482&lt;X482,AA482+AB482-AC482,0)))))</x:f>
        <x:v>0</x:v>
      </x:c>
      <x:c r="Z482" s="6" t="n">
        <x:f>ROUND(MAX(0,U482+V482-W482-Y482),2)</x:f>
        <x:v>0</x:v>
      </x:c>
      <x:c r="AA482" s="6" t="n">
        <x:f>AF481</x:f>
        <x:v>0</x:v>
      </x:c>
      <x:c r="AB482" s="6" t="n">
        <x:f>ROUND(AA482*'Debt strategy'!$D$13/12,2)</x:f>
        <x:v>0</x:v>
      </x:c>
      <x:c r="AC482" s="6" t="n">
        <x:f>MIN(AA482+AB482,'Debt strategy'!$E$13)</x:f>
        <x:v>0</x:v>
      </x:c>
      <x:c r="AD482" s="27" t="n">
        <x:f>IF(AA482+AB482-AC482&lt;=0,99,1+SUM(IF(AND(C482+D482-E482&gt;0,OR(C482+D482-E482&lt;AA482+AB482-AC482,AND(C482+D482-E482=AA482+AB482-AC482,0&lt;4))),1,0),IF(AND(I482+J482-K482&gt;0,OR(I482+J482-K482&lt;AA482+AB482-AC482,AND(I482+J482-K482=AA482+AB482-AC482,1&lt;4))),1,0),IF(AND(O482+P482-Q482&gt;0,OR(O482+P482-Q482&lt;AA482+AB482-AC482,AND(O482+P482-Q482=AA482+AB482-AC482,2&lt;4))),1,0),IF(AND(U482+V482-W482&gt;0,OR(U482+V482-W482&lt;AA482+AB482-AC482,AND(U482+V482-W482=AA482+AB482-AC482,3&lt;4))),1,0)))</x:f>
        <x:v>99</x:v>
      </x:c>
      <x:c r="AE482" s="6" t="n">
        <x:f>IF('Debt strategy'!$C$16&gt;0,0,MIN(AA482+AB482-AC482,MAX(0,'Debt strategy'!$C$5-SUM(E482,K482,Q482,W482,AC482)-SUM(IF(F482&lt;AD482,C482+D482-E482,0),IF(L482&lt;AD482,I482+J482-K482,0),IF(R482&lt;AD482,O482+P482-Q482,0),IF(X482&lt;AD482,U482+V482-W482,0)))))</x:f>
        <x:v>0</x:v>
      </x:c>
      <x:c r="AF482" s="6" t="n">
        <x:f>ROUND(MAX(0,AA482+AB482-AC482-AE482),2)</x:f>
        <x:v>0</x:v>
      </x:c>
      <x:c r="AG482" s="6" t="n">
        <x:f>SUM(H482,N482,T482,Z482,AF482)</x:f>
        <x:v>0</x:v>
      </x:c>
      <x:c r="AH482" s="6" t="n">
        <x:f>SUM(D482,J482,P482,V482,AB482)+AH481</x:f>
        <x:v>1353.9499999999996</x:v>
      </x:c>
      <x:c r="AI482" s="2"/>
    </x:row>
    <x:row r="483" ht="23" customHeight="1">
      <x:c r="B483" s="2" t="n">
        <x:f>475</x:f>
        <x:v>475</x:v>
      </x:c>
      <x:c r="C483" s="6" t="n">
        <x:f>H482</x:f>
        <x:v>0</x:v>
      </x:c>
      <x:c r="D483" s="6" t="n">
        <x:f>ROUND(C483*'Debt strategy'!$D$9/12,2)</x:f>
        <x:v>0</x:v>
      </x:c>
      <x:c r="E483" s="6" t="n">
        <x:f>MIN(C483+D483,'Debt strategy'!$E$9)</x:f>
        <x:v>0</x:v>
      </x:c>
      <x:c r="F483" s="27" t="n">
        <x:f>IF(C483+D483-E483&lt;=0,99,1+SUM(IF(AND(I483+J483-K483&gt;0,OR(I483+J483-K483&lt;C483+D483-E483,AND(I483+J483-K483=C483+D483-E483,1&lt;0))),1,0),IF(AND(O483+P483-Q483&gt;0,OR(O483+P483-Q483&lt;C483+D483-E483,AND(O483+P483-Q483=C483+D483-E483,2&lt;0))),1,0),IF(AND(U483+V483-W483&gt;0,OR(U483+V483-W483&lt;C483+D483-E483,AND(U483+V483-W483=C483+D483-E483,3&lt;0))),1,0),IF(AND(AA483+AB483-AC483&gt;0,OR(AA483+AB483-AC483&lt;C483+D483-E483,AND(AA483+AB483-AC483=C483+D483-E483,4&lt;0))),1,0)))</x:f>
        <x:v>99</x:v>
      </x:c>
      <x:c r="G483" s="6" t="n">
        <x:f>IF('Debt strategy'!$C$16&gt;0,0,MIN(C483+D483-E483,MAX(0,'Debt strategy'!$C$5-SUM(E483,K483,Q483,W483,AC483)-SUM(IF(L483&lt;F483,I483+J483-K483,0),IF(R483&lt;F483,O483+P483-Q483,0),IF(X483&lt;F483,U483+V483-W483,0),IF(AD483&lt;F483,AA483+AB483-AC483,0)))))</x:f>
        <x:v>0</x:v>
      </x:c>
      <x:c r="H483" s="6" t="n">
        <x:f>ROUND(MAX(0,C483+D483-E483-G483),2)</x:f>
        <x:v>0</x:v>
      </x:c>
      <x:c r="I483" s="6" t="n">
        <x:f>N482</x:f>
        <x:v>0</x:v>
      </x:c>
      <x:c r="J483" s="6" t="n">
        <x:f>ROUND(I483*'Debt strategy'!$D$10/12,2)</x:f>
        <x:v>0</x:v>
      </x:c>
      <x:c r="K483" s="6" t="n">
        <x:f>MIN(I483+J483,'Debt strategy'!$E$10)</x:f>
        <x:v>0</x:v>
      </x:c>
      <x:c r="L483" s="27" t="n">
        <x:f>IF(I483+J483-K483&lt;=0,99,1+SUM(IF(AND(C483+D483-E483&gt;0,OR(C483+D483-E483&lt;I483+J483-K483,AND(C483+D483-E483=I483+J483-K483,0&lt;1))),1,0),IF(AND(O483+P483-Q483&gt;0,OR(O483+P483-Q483&lt;I483+J483-K483,AND(O483+P483-Q483=I483+J483-K483,2&lt;1))),1,0),IF(AND(U483+V483-W483&gt;0,OR(U483+V483-W483&lt;I483+J483-K483,AND(U483+V483-W483=I483+J483-K483,3&lt;1))),1,0),IF(AND(AA483+AB483-AC483&gt;0,OR(AA483+AB483-AC483&lt;I483+J483-K483,AND(AA483+AB483-AC483=I483+J483-K483,4&lt;1))),1,0)))</x:f>
        <x:v>99</x:v>
      </x:c>
      <x:c r="M483" s="6" t="n">
        <x:f>IF('Debt strategy'!$C$16&gt;0,0,MIN(I483+J483-K483,MAX(0,'Debt strategy'!$C$5-SUM(E483,K483,Q483,W483,AC483)-SUM(IF(F483&lt;L483,C483+D483-E483,0),IF(R483&lt;L483,O483+P483-Q483,0),IF(X483&lt;L483,U483+V483-W483,0),IF(AD483&lt;L483,AA483+AB483-AC483,0)))))</x:f>
        <x:v>0</x:v>
      </x:c>
      <x:c r="N483" s="6" t="n">
        <x:f>ROUND(MAX(0,I483+J483-K483-M483),2)</x:f>
        <x:v>0</x:v>
      </x:c>
      <x:c r="O483" s="6" t="n">
        <x:f>T482</x:f>
        <x:v>0</x:v>
      </x:c>
      <x:c r="P483" s="6" t="n">
        <x:f>ROUND(O483*'Debt strategy'!$D$11/12,2)</x:f>
        <x:v>0</x:v>
      </x:c>
      <x:c r="Q483" s="6" t="n">
        <x:f>MIN(O483+P483,'Debt strategy'!$E$11)</x:f>
        <x:v>0</x:v>
      </x:c>
      <x:c r="R483" s="27" t="n">
        <x:f>IF(O483+P483-Q483&lt;=0,99,1+SUM(IF(AND(C483+D483-E483&gt;0,OR(C483+D483-E483&lt;O483+P483-Q483,AND(C483+D483-E483=O483+P483-Q483,0&lt;2))),1,0),IF(AND(I483+J483-K483&gt;0,OR(I483+J483-K483&lt;O483+P483-Q483,AND(I483+J483-K483=O483+P483-Q483,1&lt;2))),1,0),IF(AND(U483+V483-W483&gt;0,OR(U483+V483-W483&lt;O483+P483-Q483,AND(U483+V483-W483=O483+P483-Q483,3&lt;2))),1,0),IF(AND(AA483+AB483-AC483&gt;0,OR(AA483+AB483-AC483&lt;O483+P483-Q483,AND(AA483+AB483-AC483=O483+P483-Q483,4&lt;2))),1,0)))</x:f>
        <x:v>99</x:v>
      </x:c>
      <x:c r="S483" s="6" t="n">
        <x:f>IF('Debt strategy'!$C$16&gt;0,0,MIN(O483+P483-Q483,MAX(0,'Debt strategy'!$C$5-SUM(E483,K483,Q483,W483,AC483)-SUM(IF(F483&lt;R483,C483+D483-E483,0),IF(L483&lt;R483,I483+J483-K483,0),IF(X483&lt;R483,U483+V483-W483,0),IF(AD483&lt;R483,AA483+AB483-AC483,0)))))</x:f>
        <x:v>0</x:v>
      </x:c>
      <x:c r="T483" s="6" t="n">
        <x:f>ROUND(MAX(0,O483+P483-Q483-S483),2)</x:f>
        <x:v>0</x:v>
      </x:c>
      <x:c r="U483" s="6" t="n">
        <x:f>Z482</x:f>
        <x:v>0</x:v>
      </x:c>
      <x:c r="V483" s="6" t="n">
        <x:f>ROUND(U483*'Debt strategy'!$D$12/12,2)</x:f>
        <x:v>0</x:v>
      </x:c>
      <x:c r="W483" s="6" t="n">
        <x:f>MIN(U483+V483,'Debt strategy'!$E$12)</x:f>
        <x:v>0</x:v>
      </x:c>
      <x:c r="X483" s="27" t="n">
        <x:f>IF(U483+V483-W483&lt;=0,99,1+SUM(IF(AND(C483+D483-E483&gt;0,OR(C483+D483-E483&lt;U483+V483-W483,AND(C483+D483-E483=U483+V483-W483,0&lt;3))),1,0),IF(AND(I483+J483-K483&gt;0,OR(I483+J483-K483&lt;U483+V483-W483,AND(I483+J483-K483=U483+V483-W483,1&lt;3))),1,0),IF(AND(O483+P483-Q483&gt;0,OR(O483+P483-Q483&lt;U483+V483-W483,AND(O483+P483-Q483=U483+V483-W483,2&lt;3))),1,0),IF(AND(AA483+AB483-AC483&gt;0,OR(AA483+AB483-AC483&lt;U483+V483-W483,AND(AA483+AB483-AC483=U483+V483-W483,4&lt;3))),1,0)))</x:f>
        <x:v>99</x:v>
      </x:c>
      <x:c r="Y483" s="6" t="n">
        <x:f>IF('Debt strategy'!$C$16&gt;0,0,MIN(U483+V483-W483,MAX(0,'Debt strategy'!$C$5-SUM(E483,K483,Q483,W483,AC483)-SUM(IF(F483&lt;X483,C483+D483-E483,0),IF(L483&lt;X483,I483+J483-K483,0),IF(R483&lt;X483,O483+P483-Q483,0),IF(AD483&lt;X483,AA483+AB483-AC483,0)))))</x:f>
        <x:v>0</x:v>
      </x:c>
      <x:c r="Z483" s="6" t="n">
        <x:f>ROUND(MAX(0,U483+V483-W483-Y483),2)</x:f>
        <x:v>0</x:v>
      </x:c>
      <x:c r="AA483" s="6" t="n">
        <x:f>AF482</x:f>
        <x:v>0</x:v>
      </x:c>
      <x:c r="AB483" s="6" t="n">
        <x:f>ROUND(AA483*'Debt strategy'!$D$13/12,2)</x:f>
        <x:v>0</x:v>
      </x:c>
      <x:c r="AC483" s="6" t="n">
        <x:f>MIN(AA483+AB483,'Debt strategy'!$E$13)</x:f>
        <x:v>0</x:v>
      </x:c>
      <x:c r="AD483" s="27" t="n">
        <x:f>IF(AA483+AB483-AC483&lt;=0,99,1+SUM(IF(AND(C483+D483-E483&gt;0,OR(C483+D483-E483&lt;AA483+AB483-AC483,AND(C483+D483-E483=AA483+AB483-AC483,0&lt;4))),1,0),IF(AND(I483+J483-K483&gt;0,OR(I483+J483-K483&lt;AA483+AB483-AC483,AND(I483+J483-K483=AA483+AB483-AC483,1&lt;4))),1,0),IF(AND(O483+P483-Q483&gt;0,OR(O483+P483-Q483&lt;AA483+AB483-AC483,AND(O483+P483-Q483=AA483+AB483-AC483,2&lt;4))),1,0),IF(AND(U483+V483-W483&gt;0,OR(U483+V483-W483&lt;AA483+AB483-AC483,AND(U483+V483-W483=AA483+AB483-AC483,3&lt;4))),1,0)))</x:f>
        <x:v>99</x:v>
      </x:c>
      <x:c r="AE483" s="6" t="n">
        <x:f>IF('Debt strategy'!$C$16&gt;0,0,MIN(AA483+AB483-AC483,MAX(0,'Debt strategy'!$C$5-SUM(E483,K483,Q483,W483,AC483)-SUM(IF(F483&lt;AD483,C483+D483-E483,0),IF(L483&lt;AD483,I483+J483-K483,0),IF(R483&lt;AD483,O483+P483-Q483,0),IF(X483&lt;AD483,U483+V483-W483,0)))))</x:f>
        <x:v>0</x:v>
      </x:c>
      <x:c r="AF483" s="6" t="n">
        <x:f>ROUND(MAX(0,AA483+AB483-AC483-AE483),2)</x:f>
        <x:v>0</x:v>
      </x:c>
      <x:c r="AG483" s="6" t="n">
        <x:f>SUM(H483,N483,T483,Z483,AF483)</x:f>
        <x:v>0</x:v>
      </x:c>
      <x:c r="AH483" s="6" t="n">
        <x:f>SUM(D483,J483,P483,V483,AB483)+AH482</x:f>
        <x:v>1353.9499999999996</x:v>
      </x:c>
      <x:c r="AI483" s="2"/>
    </x:row>
    <x:row r="484" ht="23" customHeight="1">
      <x:c r="B484" s="2" t="n">
        <x:f>476</x:f>
        <x:v>476</x:v>
      </x:c>
      <x:c r="C484" s="6" t="n">
        <x:f>H483</x:f>
        <x:v>0</x:v>
      </x:c>
      <x:c r="D484" s="6" t="n">
        <x:f>ROUND(C484*'Debt strategy'!$D$9/12,2)</x:f>
        <x:v>0</x:v>
      </x:c>
      <x:c r="E484" s="6" t="n">
        <x:f>MIN(C484+D484,'Debt strategy'!$E$9)</x:f>
        <x:v>0</x:v>
      </x:c>
      <x:c r="F484" s="27" t="n">
        <x:f>IF(C484+D484-E484&lt;=0,99,1+SUM(IF(AND(I484+J484-K484&gt;0,OR(I484+J484-K484&lt;C484+D484-E484,AND(I484+J484-K484=C484+D484-E484,1&lt;0))),1,0),IF(AND(O484+P484-Q484&gt;0,OR(O484+P484-Q484&lt;C484+D484-E484,AND(O484+P484-Q484=C484+D484-E484,2&lt;0))),1,0),IF(AND(U484+V484-W484&gt;0,OR(U484+V484-W484&lt;C484+D484-E484,AND(U484+V484-W484=C484+D484-E484,3&lt;0))),1,0),IF(AND(AA484+AB484-AC484&gt;0,OR(AA484+AB484-AC484&lt;C484+D484-E484,AND(AA484+AB484-AC484=C484+D484-E484,4&lt;0))),1,0)))</x:f>
        <x:v>99</x:v>
      </x:c>
      <x:c r="G484" s="6" t="n">
        <x:f>IF('Debt strategy'!$C$16&gt;0,0,MIN(C484+D484-E484,MAX(0,'Debt strategy'!$C$5-SUM(E484,K484,Q484,W484,AC484)-SUM(IF(L484&lt;F484,I484+J484-K484,0),IF(R484&lt;F484,O484+P484-Q484,0),IF(X484&lt;F484,U484+V484-W484,0),IF(AD484&lt;F484,AA484+AB484-AC484,0)))))</x:f>
        <x:v>0</x:v>
      </x:c>
      <x:c r="H484" s="6" t="n">
        <x:f>ROUND(MAX(0,C484+D484-E484-G484),2)</x:f>
        <x:v>0</x:v>
      </x:c>
      <x:c r="I484" s="6" t="n">
        <x:f>N483</x:f>
        <x:v>0</x:v>
      </x:c>
      <x:c r="J484" s="6" t="n">
        <x:f>ROUND(I484*'Debt strategy'!$D$10/12,2)</x:f>
        <x:v>0</x:v>
      </x:c>
      <x:c r="K484" s="6" t="n">
        <x:f>MIN(I484+J484,'Debt strategy'!$E$10)</x:f>
        <x:v>0</x:v>
      </x:c>
      <x:c r="L484" s="27" t="n">
        <x:f>IF(I484+J484-K484&lt;=0,99,1+SUM(IF(AND(C484+D484-E484&gt;0,OR(C484+D484-E484&lt;I484+J484-K484,AND(C484+D484-E484=I484+J484-K484,0&lt;1))),1,0),IF(AND(O484+P484-Q484&gt;0,OR(O484+P484-Q484&lt;I484+J484-K484,AND(O484+P484-Q484=I484+J484-K484,2&lt;1))),1,0),IF(AND(U484+V484-W484&gt;0,OR(U484+V484-W484&lt;I484+J484-K484,AND(U484+V484-W484=I484+J484-K484,3&lt;1))),1,0),IF(AND(AA484+AB484-AC484&gt;0,OR(AA484+AB484-AC484&lt;I484+J484-K484,AND(AA484+AB484-AC484=I484+J484-K484,4&lt;1))),1,0)))</x:f>
        <x:v>99</x:v>
      </x:c>
      <x:c r="M484" s="6" t="n">
        <x:f>IF('Debt strategy'!$C$16&gt;0,0,MIN(I484+J484-K484,MAX(0,'Debt strategy'!$C$5-SUM(E484,K484,Q484,W484,AC484)-SUM(IF(F484&lt;L484,C484+D484-E484,0),IF(R484&lt;L484,O484+P484-Q484,0),IF(X484&lt;L484,U484+V484-W484,0),IF(AD484&lt;L484,AA484+AB484-AC484,0)))))</x:f>
        <x:v>0</x:v>
      </x:c>
      <x:c r="N484" s="6" t="n">
        <x:f>ROUND(MAX(0,I484+J484-K484-M484),2)</x:f>
        <x:v>0</x:v>
      </x:c>
      <x:c r="O484" s="6" t="n">
        <x:f>T483</x:f>
        <x:v>0</x:v>
      </x:c>
      <x:c r="P484" s="6" t="n">
        <x:f>ROUND(O484*'Debt strategy'!$D$11/12,2)</x:f>
        <x:v>0</x:v>
      </x:c>
      <x:c r="Q484" s="6" t="n">
        <x:f>MIN(O484+P484,'Debt strategy'!$E$11)</x:f>
        <x:v>0</x:v>
      </x:c>
      <x:c r="R484" s="27" t="n">
        <x:f>IF(O484+P484-Q484&lt;=0,99,1+SUM(IF(AND(C484+D484-E484&gt;0,OR(C484+D484-E484&lt;O484+P484-Q484,AND(C484+D484-E484=O484+P484-Q484,0&lt;2))),1,0),IF(AND(I484+J484-K484&gt;0,OR(I484+J484-K484&lt;O484+P484-Q484,AND(I484+J484-K484=O484+P484-Q484,1&lt;2))),1,0),IF(AND(U484+V484-W484&gt;0,OR(U484+V484-W484&lt;O484+P484-Q484,AND(U484+V484-W484=O484+P484-Q484,3&lt;2))),1,0),IF(AND(AA484+AB484-AC484&gt;0,OR(AA484+AB484-AC484&lt;O484+P484-Q484,AND(AA484+AB484-AC484=O484+P484-Q484,4&lt;2))),1,0)))</x:f>
        <x:v>99</x:v>
      </x:c>
      <x:c r="S484" s="6" t="n">
        <x:f>IF('Debt strategy'!$C$16&gt;0,0,MIN(O484+P484-Q484,MAX(0,'Debt strategy'!$C$5-SUM(E484,K484,Q484,W484,AC484)-SUM(IF(F484&lt;R484,C484+D484-E484,0),IF(L484&lt;R484,I484+J484-K484,0),IF(X484&lt;R484,U484+V484-W484,0),IF(AD484&lt;R484,AA484+AB484-AC484,0)))))</x:f>
        <x:v>0</x:v>
      </x:c>
      <x:c r="T484" s="6" t="n">
        <x:f>ROUND(MAX(0,O484+P484-Q484-S484),2)</x:f>
        <x:v>0</x:v>
      </x:c>
      <x:c r="U484" s="6" t="n">
        <x:f>Z483</x:f>
        <x:v>0</x:v>
      </x:c>
      <x:c r="V484" s="6" t="n">
        <x:f>ROUND(U484*'Debt strategy'!$D$12/12,2)</x:f>
        <x:v>0</x:v>
      </x:c>
      <x:c r="W484" s="6" t="n">
        <x:f>MIN(U484+V484,'Debt strategy'!$E$12)</x:f>
        <x:v>0</x:v>
      </x:c>
      <x:c r="X484" s="27" t="n">
        <x:f>IF(U484+V484-W484&lt;=0,99,1+SUM(IF(AND(C484+D484-E484&gt;0,OR(C484+D484-E484&lt;U484+V484-W484,AND(C484+D484-E484=U484+V484-W484,0&lt;3))),1,0),IF(AND(I484+J484-K484&gt;0,OR(I484+J484-K484&lt;U484+V484-W484,AND(I484+J484-K484=U484+V484-W484,1&lt;3))),1,0),IF(AND(O484+P484-Q484&gt;0,OR(O484+P484-Q484&lt;U484+V484-W484,AND(O484+P484-Q484=U484+V484-W484,2&lt;3))),1,0),IF(AND(AA484+AB484-AC484&gt;0,OR(AA484+AB484-AC484&lt;U484+V484-W484,AND(AA484+AB484-AC484=U484+V484-W484,4&lt;3))),1,0)))</x:f>
        <x:v>99</x:v>
      </x:c>
      <x:c r="Y484" s="6" t="n">
        <x:f>IF('Debt strategy'!$C$16&gt;0,0,MIN(U484+V484-W484,MAX(0,'Debt strategy'!$C$5-SUM(E484,K484,Q484,W484,AC484)-SUM(IF(F484&lt;X484,C484+D484-E484,0),IF(L484&lt;X484,I484+J484-K484,0),IF(R484&lt;X484,O484+P484-Q484,0),IF(AD484&lt;X484,AA484+AB484-AC484,0)))))</x:f>
        <x:v>0</x:v>
      </x:c>
      <x:c r="Z484" s="6" t="n">
        <x:f>ROUND(MAX(0,U484+V484-W484-Y484),2)</x:f>
        <x:v>0</x:v>
      </x:c>
      <x:c r="AA484" s="6" t="n">
        <x:f>AF483</x:f>
        <x:v>0</x:v>
      </x:c>
      <x:c r="AB484" s="6" t="n">
        <x:f>ROUND(AA484*'Debt strategy'!$D$13/12,2)</x:f>
        <x:v>0</x:v>
      </x:c>
      <x:c r="AC484" s="6" t="n">
        <x:f>MIN(AA484+AB484,'Debt strategy'!$E$13)</x:f>
        <x:v>0</x:v>
      </x:c>
      <x:c r="AD484" s="27" t="n">
        <x:f>IF(AA484+AB484-AC484&lt;=0,99,1+SUM(IF(AND(C484+D484-E484&gt;0,OR(C484+D484-E484&lt;AA484+AB484-AC484,AND(C484+D484-E484=AA484+AB484-AC484,0&lt;4))),1,0),IF(AND(I484+J484-K484&gt;0,OR(I484+J484-K484&lt;AA484+AB484-AC484,AND(I484+J484-K484=AA484+AB484-AC484,1&lt;4))),1,0),IF(AND(O484+P484-Q484&gt;0,OR(O484+P484-Q484&lt;AA484+AB484-AC484,AND(O484+P484-Q484=AA484+AB484-AC484,2&lt;4))),1,0),IF(AND(U484+V484-W484&gt;0,OR(U484+V484-W484&lt;AA484+AB484-AC484,AND(U484+V484-W484=AA484+AB484-AC484,3&lt;4))),1,0)))</x:f>
        <x:v>99</x:v>
      </x:c>
      <x:c r="AE484" s="6" t="n">
        <x:f>IF('Debt strategy'!$C$16&gt;0,0,MIN(AA484+AB484-AC484,MAX(0,'Debt strategy'!$C$5-SUM(E484,K484,Q484,W484,AC484)-SUM(IF(F484&lt;AD484,C484+D484-E484,0),IF(L484&lt;AD484,I484+J484-K484,0),IF(R484&lt;AD484,O484+P484-Q484,0),IF(X484&lt;AD484,U484+V484-W484,0)))))</x:f>
        <x:v>0</x:v>
      </x:c>
      <x:c r="AF484" s="6" t="n">
        <x:f>ROUND(MAX(0,AA484+AB484-AC484-AE484),2)</x:f>
        <x:v>0</x:v>
      </x:c>
      <x:c r="AG484" s="6" t="n">
        <x:f>SUM(H484,N484,T484,Z484,AF484)</x:f>
        <x:v>0</x:v>
      </x:c>
      <x:c r="AH484" s="6" t="n">
        <x:f>SUM(D484,J484,P484,V484,AB484)+AH483</x:f>
        <x:v>1353.9499999999996</x:v>
      </x:c>
      <x:c r="AI484" s="2"/>
    </x:row>
    <x:row r="485" ht="23" customHeight="1">
      <x:c r="B485" s="2" t="n">
        <x:f>477</x:f>
        <x:v>477</x:v>
      </x:c>
      <x:c r="C485" s="6" t="n">
        <x:f>H484</x:f>
        <x:v>0</x:v>
      </x:c>
      <x:c r="D485" s="6" t="n">
        <x:f>ROUND(C485*'Debt strategy'!$D$9/12,2)</x:f>
        <x:v>0</x:v>
      </x:c>
      <x:c r="E485" s="6" t="n">
        <x:f>MIN(C485+D485,'Debt strategy'!$E$9)</x:f>
        <x:v>0</x:v>
      </x:c>
      <x:c r="F485" s="27" t="n">
        <x:f>IF(C485+D485-E485&lt;=0,99,1+SUM(IF(AND(I485+J485-K485&gt;0,OR(I485+J485-K485&lt;C485+D485-E485,AND(I485+J485-K485=C485+D485-E485,1&lt;0))),1,0),IF(AND(O485+P485-Q485&gt;0,OR(O485+P485-Q485&lt;C485+D485-E485,AND(O485+P485-Q485=C485+D485-E485,2&lt;0))),1,0),IF(AND(U485+V485-W485&gt;0,OR(U485+V485-W485&lt;C485+D485-E485,AND(U485+V485-W485=C485+D485-E485,3&lt;0))),1,0),IF(AND(AA485+AB485-AC485&gt;0,OR(AA485+AB485-AC485&lt;C485+D485-E485,AND(AA485+AB485-AC485=C485+D485-E485,4&lt;0))),1,0)))</x:f>
        <x:v>99</x:v>
      </x:c>
      <x:c r="G485" s="6" t="n">
        <x:f>IF('Debt strategy'!$C$16&gt;0,0,MIN(C485+D485-E485,MAX(0,'Debt strategy'!$C$5-SUM(E485,K485,Q485,W485,AC485)-SUM(IF(L485&lt;F485,I485+J485-K485,0),IF(R485&lt;F485,O485+P485-Q485,0),IF(X485&lt;F485,U485+V485-W485,0),IF(AD485&lt;F485,AA485+AB485-AC485,0)))))</x:f>
        <x:v>0</x:v>
      </x:c>
      <x:c r="H485" s="6" t="n">
        <x:f>ROUND(MAX(0,C485+D485-E485-G485),2)</x:f>
        <x:v>0</x:v>
      </x:c>
      <x:c r="I485" s="6" t="n">
        <x:f>N484</x:f>
        <x:v>0</x:v>
      </x:c>
      <x:c r="J485" s="6" t="n">
        <x:f>ROUND(I485*'Debt strategy'!$D$10/12,2)</x:f>
        <x:v>0</x:v>
      </x:c>
      <x:c r="K485" s="6" t="n">
        <x:f>MIN(I485+J485,'Debt strategy'!$E$10)</x:f>
        <x:v>0</x:v>
      </x:c>
      <x:c r="L485" s="27" t="n">
        <x:f>IF(I485+J485-K485&lt;=0,99,1+SUM(IF(AND(C485+D485-E485&gt;0,OR(C485+D485-E485&lt;I485+J485-K485,AND(C485+D485-E485=I485+J485-K485,0&lt;1))),1,0),IF(AND(O485+P485-Q485&gt;0,OR(O485+P485-Q485&lt;I485+J485-K485,AND(O485+P485-Q485=I485+J485-K485,2&lt;1))),1,0),IF(AND(U485+V485-W485&gt;0,OR(U485+V485-W485&lt;I485+J485-K485,AND(U485+V485-W485=I485+J485-K485,3&lt;1))),1,0),IF(AND(AA485+AB485-AC485&gt;0,OR(AA485+AB485-AC485&lt;I485+J485-K485,AND(AA485+AB485-AC485=I485+J485-K485,4&lt;1))),1,0)))</x:f>
        <x:v>99</x:v>
      </x:c>
      <x:c r="M485" s="6" t="n">
        <x:f>IF('Debt strategy'!$C$16&gt;0,0,MIN(I485+J485-K485,MAX(0,'Debt strategy'!$C$5-SUM(E485,K485,Q485,W485,AC485)-SUM(IF(F485&lt;L485,C485+D485-E485,0),IF(R485&lt;L485,O485+P485-Q485,0),IF(X485&lt;L485,U485+V485-W485,0),IF(AD485&lt;L485,AA485+AB485-AC485,0)))))</x:f>
        <x:v>0</x:v>
      </x:c>
      <x:c r="N485" s="6" t="n">
        <x:f>ROUND(MAX(0,I485+J485-K485-M485),2)</x:f>
        <x:v>0</x:v>
      </x:c>
      <x:c r="O485" s="6" t="n">
        <x:f>T484</x:f>
        <x:v>0</x:v>
      </x:c>
      <x:c r="P485" s="6" t="n">
        <x:f>ROUND(O485*'Debt strategy'!$D$11/12,2)</x:f>
        <x:v>0</x:v>
      </x:c>
      <x:c r="Q485" s="6" t="n">
        <x:f>MIN(O485+P485,'Debt strategy'!$E$11)</x:f>
        <x:v>0</x:v>
      </x:c>
      <x:c r="R485" s="27" t="n">
        <x:f>IF(O485+P485-Q485&lt;=0,99,1+SUM(IF(AND(C485+D485-E485&gt;0,OR(C485+D485-E485&lt;O485+P485-Q485,AND(C485+D485-E485=O485+P485-Q485,0&lt;2))),1,0),IF(AND(I485+J485-K485&gt;0,OR(I485+J485-K485&lt;O485+P485-Q485,AND(I485+J485-K485=O485+P485-Q485,1&lt;2))),1,0),IF(AND(U485+V485-W485&gt;0,OR(U485+V485-W485&lt;O485+P485-Q485,AND(U485+V485-W485=O485+P485-Q485,3&lt;2))),1,0),IF(AND(AA485+AB485-AC485&gt;0,OR(AA485+AB485-AC485&lt;O485+P485-Q485,AND(AA485+AB485-AC485=O485+P485-Q485,4&lt;2))),1,0)))</x:f>
        <x:v>99</x:v>
      </x:c>
      <x:c r="S485" s="6" t="n">
        <x:f>IF('Debt strategy'!$C$16&gt;0,0,MIN(O485+P485-Q485,MAX(0,'Debt strategy'!$C$5-SUM(E485,K485,Q485,W485,AC485)-SUM(IF(F485&lt;R485,C485+D485-E485,0),IF(L485&lt;R485,I485+J485-K485,0),IF(X485&lt;R485,U485+V485-W485,0),IF(AD485&lt;R485,AA485+AB485-AC485,0)))))</x:f>
        <x:v>0</x:v>
      </x:c>
      <x:c r="T485" s="6" t="n">
        <x:f>ROUND(MAX(0,O485+P485-Q485-S485),2)</x:f>
        <x:v>0</x:v>
      </x:c>
      <x:c r="U485" s="6" t="n">
        <x:f>Z484</x:f>
        <x:v>0</x:v>
      </x:c>
      <x:c r="V485" s="6" t="n">
        <x:f>ROUND(U485*'Debt strategy'!$D$12/12,2)</x:f>
        <x:v>0</x:v>
      </x:c>
      <x:c r="W485" s="6" t="n">
        <x:f>MIN(U485+V485,'Debt strategy'!$E$12)</x:f>
        <x:v>0</x:v>
      </x:c>
      <x:c r="X485" s="27" t="n">
        <x:f>IF(U485+V485-W485&lt;=0,99,1+SUM(IF(AND(C485+D485-E485&gt;0,OR(C485+D485-E485&lt;U485+V485-W485,AND(C485+D485-E485=U485+V485-W485,0&lt;3))),1,0),IF(AND(I485+J485-K485&gt;0,OR(I485+J485-K485&lt;U485+V485-W485,AND(I485+J485-K485=U485+V485-W485,1&lt;3))),1,0),IF(AND(O485+P485-Q485&gt;0,OR(O485+P485-Q485&lt;U485+V485-W485,AND(O485+P485-Q485=U485+V485-W485,2&lt;3))),1,0),IF(AND(AA485+AB485-AC485&gt;0,OR(AA485+AB485-AC485&lt;U485+V485-W485,AND(AA485+AB485-AC485=U485+V485-W485,4&lt;3))),1,0)))</x:f>
        <x:v>99</x:v>
      </x:c>
      <x:c r="Y485" s="6" t="n">
        <x:f>IF('Debt strategy'!$C$16&gt;0,0,MIN(U485+V485-W485,MAX(0,'Debt strategy'!$C$5-SUM(E485,K485,Q485,W485,AC485)-SUM(IF(F485&lt;X485,C485+D485-E485,0),IF(L485&lt;X485,I485+J485-K485,0),IF(R485&lt;X485,O485+P485-Q485,0),IF(AD485&lt;X485,AA485+AB485-AC485,0)))))</x:f>
        <x:v>0</x:v>
      </x:c>
      <x:c r="Z485" s="6" t="n">
        <x:f>ROUND(MAX(0,U485+V485-W485-Y485),2)</x:f>
        <x:v>0</x:v>
      </x:c>
      <x:c r="AA485" s="6" t="n">
        <x:f>AF484</x:f>
        <x:v>0</x:v>
      </x:c>
      <x:c r="AB485" s="6" t="n">
        <x:f>ROUND(AA485*'Debt strategy'!$D$13/12,2)</x:f>
        <x:v>0</x:v>
      </x:c>
      <x:c r="AC485" s="6" t="n">
        <x:f>MIN(AA485+AB485,'Debt strategy'!$E$13)</x:f>
        <x:v>0</x:v>
      </x:c>
      <x:c r="AD485" s="27" t="n">
        <x:f>IF(AA485+AB485-AC485&lt;=0,99,1+SUM(IF(AND(C485+D485-E485&gt;0,OR(C485+D485-E485&lt;AA485+AB485-AC485,AND(C485+D485-E485=AA485+AB485-AC485,0&lt;4))),1,0),IF(AND(I485+J485-K485&gt;0,OR(I485+J485-K485&lt;AA485+AB485-AC485,AND(I485+J485-K485=AA485+AB485-AC485,1&lt;4))),1,0),IF(AND(O485+P485-Q485&gt;0,OR(O485+P485-Q485&lt;AA485+AB485-AC485,AND(O485+P485-Q485=AA485+AB485-AC485,2&lt;4))),1,0),IF(AND(U485+V485-W485&gt;0,OR(U485+V485-W485&lt;AA485+AB485-AC485,AND(U485+V485-W485=AA485+AB485-AC485,3&lt;4))),1,0)))</x:f>
        <x:v>99</x:v>
      </x:c>
      <x:c r="AE485" s="6" t="n">
        <x:f>IF('Debt strategy'!$C$16&gt;0,0,MIN(AA485+AB485-AC485,MAX(0,'Debt strategy'!$C$5-SUM(E485,K485,Q485,W485,AC485)-SUM(IF(F485&lt;AD485,C485+D485-E485,0),IF(L485&lt;AD485,I485+J485-K485,0),IF(R485&lt;AD485,O485+P485-Q485,0),IF(X485&lt;AD485,U485+V485-W485,0)))))</x:f>
        <x:v>0</x:v>
      </x:c>
      <x:c r="AF485" s="6" t="n">
        <x:f>ROUND(MAX(0,AA485+AB485-AC485-AE485),2)</x:f>
        <x:v>0</x:v>
      </x:c>
      <x:c r="AG485" s="6" t="n">
        <x:f>SUM(H485,N485,T485,Z485,AF485)</x:f>
        <x:v>0</x:v>
      </x:c>
      <x:c r="AH485" s="6" t="n">
        <x:f>SUM(D485,J485,P485,V485,AB485)+AH484</x:f>
        <x:v>1353.9499999999996</x:v>
      </x:c>
      <x:c r="AI485" s="2"/>
    </x:row>
    <x:row r="486" ht="23" customHeight="1">
      <x:c r="B486" s="2" t="n">
        <x:f>478</x:f>
        <x:v>478</x:v>
      </x:c>
      <x:c r="C486" s="6" t="n">
        <x:f>H485</x:f>
        <x:v>0</x:v>
      </x:c>
      <x:c r="D486" s="6" t="n">
        <x:f>ROUND(C486*'Debt strategy'!$D$9/12,2)</x:f>
        <x:v>0</x:v>
      </x:c>
      <x:c r="E486" s="6" t="n">
        <x:f>MIN(C486+D486,'Debt strategy'!$E$9)</x:f>
        <x:v>0</x:v>
      </x:c>
      <x:c r="F486" s="27" t="n">
        <x:f>IF(C486+D486-E486&lt;=0,99,1+SUM(IF(AND(I486+J486-K486&gt;0,OR(I486+J486-K486&lt;C486+D486-E486,AND(I486+J486-K486=C486+D486-E486,1&lt;0))),1,0),IF(AND(O486+P486-Q486&gt;0,OR(O486+P486-Q486&lt;C486+D486-E486,AND(O486+P486-Q486=C486+D486-E486,2&lt;0))),1,0),IF(AND(U486+V486-W486&gt;0,OR(U486+V486-W486&lt;C486+D486-E486,AND(U486+V486-W486=C486+D486-E486,3&lt;0))),1,0),IF(AND(AA486+AB486-AC486&gt;0,OR(AA486+AB486-AC486&lt;C486+D486-E486,AND(AA486+AB486-AC486=C486+D486-E486,4&lt;0))),1,0)))</x:f>
        <x:v>99</x:v>
      </x:c>
      <x:c r="G486" s="6" t="n">
        <x:f>IF('Debt strategy'!$C$16&gt;0,0,MIN(C486+D486-E486,MAX(0,'Debt strategy'!$C$5-SUM(E486,K486,Q486,W486,AC486)-SUM(IF(L486&lt;F486,I486+J486-K486,0),IF(R486&lt;F486,O486+P486-Q486,0),IF(X486&lt;F486,U486+V486-W486,0),IF(AD486&lt;F486,AA486+AB486-AC486,0)))))</x:f>
        <x:v>0</x:v>
      </x:c>
      <x:c r="H486" s="6" t="n">
        <x:f>ROUND(MAX(0,C486+D486-E486-G486),2)</x:f>
        <x:v>0</x:v>
      </x:c>
      <x:c r="I486" s="6" t="n">
        <x:f>N485</x:f>
        <x:v>0</x:v>
      </x:c>
      <x:c r="J486" s="6" t="n">
        <x:f>ROUND(I486*'Debt strategy'!$D$10/12,2)</x:f>
        <x:v>0</x:v>
      </x:c>
      <x:c r="K486" s="6" t="n">
        <x:f>MIN(I486+J486,'Debt strategy'!$E$10)</x:f>
        <x:v>0</x:v>
      </x:c>
      <x:c r="L486" s="27" t="n">
        <x:f>IF(I486+J486-K486&lt;=0,99,1+SUM(IF(AND(C486+D486-E486&gt;0,OR(C486+D486-E486&lt;I486+J486-K486,AND(C486+D486-E486=I486+J486-K486,0&lt;1))),1,0),IF(AND(O486+P486-Q486&gt;0,OR(O486+P486-Q486&lt;I486+J486-K486,AND(O486+P486-Q486=I486+J486-K486,2&lt;1))),1,0),IF(AND(U486+V486-W486&gt;0,OR(U486+V486-W486&lt;I486+J486-K486,AND(U486+V486-W486=I486+J486-K486,3&lt;1))),1,0),IF(AND(AA486+AB486-AC486&gt;0,OR(AA486+AB486-AC486&lt;I486+J486-K486,AND(AA486+AB486-AC486=I486+J486-K486,4&lt;1))),1,0)))</x:f>
        <x:v>99</x:v>
      </x:c>
      <x:c r="M486" s="6" t="n">
        <x:f>IF('Debt strategy'!$C$16&gt;0,0,MIN(I486+J486-K486,MAX(0,'Debt strategy'!$C$5-SUM(E486,K486,Q486,W486,AC486)-SUM(IF(F486&lt;L486,C486+D486-E486,0),IF(R486&lt;L486,O486+P486-Q486,0),IF(X486&lt;L486,U486+V486-W486,0),IF(AD486&lt;L486,AA486+AB486-AC486,0)))))</x:f>
        <x:v>0</x:v>
      </x:c>
      <x:c r="N486" s="6" t="n">
        <x:f>ROUND(MAX(0,I486+J486-K486-M486),2)</x:f>
        <x:v>0</x:v>
      </x:c>
      <x:c r="O486" s="6" t="n">
        <x:f>T485</x:f>
        <x:v>0</x:v>
      </x:c>
      <x:c r="P486" s="6" t="n">
        <x:f>ROUND(O486*'Debt strategy'!$D$11/12,2)</x:f>
        <x:v>0</x:v>
      </x:c>
      <x:c r="Q486" s="6" t="n">
        <x:f>MIN(O486+P486,'Debt strategy'!$E$11)</x:f>
        <x:v>0</x:v>
      </x:c>
      <x:c r="R486" s="27" t="n">
        <x:f>IF(O486+P486-Q486&lt;=0,99,1+SUM(IF(AND(C486+D486-E486&gt;0,OR(C486+D486-E486&lt;O486+P486-Q486,AND(C486+D486-E486=O486+P486-Q486,0&lt;2))),1,0),IF(AND(I486+J486-K486&gt;0,OR(I486+J486-K486&lt;O486+P486-Q486,AND(I486+J486-K486=O486+P486-Q486,1&lt;2))),1,0),IF(AND(U486+V486-W486&gt;0,OR(U486+V486-W486&lt;O486+P486-Q486,AND(U486+V486-W486=O486+P486-Q486,3&lt;2))),1,0),IF(AND(AA486+AB486-AC486&gt;0,OR(AA486+AB486-AC486&lt;O486+P486-Q486,AND(AA486+AB486-AC486=O486+P486-Q486,4&lt;2))),1,0)))</x:f>
        <x:v>99</x:v>
      </x:c>
      <x:c r="S486" s="6" t="n">
        <x:f>IF('Debt strategy'!$C$16&gt;0,0,MIN(O486+P486-Q486,MAX(0,'Debt strategy'!$C$5-SUM(E486,K486,Q486,W486,AC486)-SUM(IF(F486&lt;R486,C486+D486-E486,0),IF(L486&lt;R486,I486+J486-K486,0),IF(X486&lt;R486,U486+V486-W486,0),IF(AD486&lt;R486,AA486+AB486-AC486,0)))))</x:f>
        <x:v>0</x:v>
      </x:c>
      <x:c r="T486" s="6" t="n">
        <x:f>ROUND(MAX(0,O486+P486-Q486-S486),2)</x:f>
        <x:v>0</x:v>
      </x:c>
      <x:c r="U486" s="6" t="n">
        <x:f>Z485</x:f>
        <x:v>0</x:v>
      </x:c>
      <x:c r="V486" s="6" t="n">
        <x:f>ROUND(U486*'Debt strategy'!$D$12/12,2)</x:f>
        <x:v>0</x:v>
      </x:c>
      <x:c r="W486" s="6" t="n">
        <x:f>MIN(U486+V486,'Debt strategy'!$E$12)</x:f>
        <x:v>0</x:v>
      </x:c>
      <x:c r="X486" s="27" t="n">
        <x:f>IF(U486+V486-W486&lt;=0,99,1+SUM(IF(AND(C486+D486-E486&gt;0,OR(C486+D486-E486&lt;U486+V486-W486,AND(C486+D486-E486=U486+V486-W486,0&lt;3))),1,0),IF(AND(I486+J486-K486&gt;0,OR(I486+J486-K486&lt;U486+V486-W486,AND(I486+J486-K486=U486+V486-W486,1&lt;3))),1,0),IF(AND(O486+P486-Q486&gt;0,OR(O486+P486-Q486&lt;U486+V486-W486,AND(O486+P486-Q486=U486+V486-W486,2&lt;3))),1,0),IF(AND(AA486+AB486-AC486&gt;0,OR(AA486+AB486-AC486&lt;U486+V486-W486,AND(AA486+AB486-AC486=U486+V486-W486,4&lt;3))),1,0)))</x:f>
        <x:v>99</x:v>
      </x:c>
      <x:c r="Y486" s="6" t="n">
        <x:f>IF('Debt strategy'!$C$16&gt;0,0,MIN(U486+V486-W486,MAX(0,'Debt strategy'!$C$5-SUM(E486,K486,Q486,W486,AC486)-SUM(IF(F486&lt;X486,C486+D486-E486,0),IF(L486&lt;X486,I486+J486-K486,0),IF(R486&lt;X486,O486+P486-Q486,0),IF(AD486&lt;X486,AA486+AB486-AC486,0)))))</x:f>
        <x:v>0</x:v>
      </x:c>
      <x:c r="Z486" s="6" t="n">
        <x:f>ROUND(MAX(0,U486+V486-W486-Y486),2)</x:f>
        <x:v>0</x:v>
      </x:c>
      <x:c r="AA486" s="6" t="n">
        <x:f>AF485</x:f>
        <x:v>0</x:v>
      </x:c>
      <x:c r="AB486" s="6" t="n">
        <x:f>ROUND(AA486*'Debt strategy'!$D$13/12,2)</x:f>
        <x:v>0</x:v>
      </x:c>
      <x:c r="AC486" s="6" t="n">
        <x:f>MIN(AA486+AB486,'Debt strategy'!$E$13)</x:f>
        <x:v>0</x:v>
      </x:c>
      <x:c r="AD486" s="27" t="n">
        <x:f>IF(AA486+AB486-AC486&lt;=0,99,1+SUM(IF(AND(C486+D486-E486&gt;0,OR(C486+D486-E486&lt;AA486+AB486-AC486,AND(C486+D486-E486=AA486+AB486-AC486,0&lt;4))),1,0),IF(AND(I486+J486-K486&gt;0,OR(I486+J486-K486&lt;AA486+AB486-AC486,AND(I486+J486-K486=AA486+AB486-AC486,1&lt;4))),1,0),IF(AND(O486+P486-Q486&gt;0,OR(O486+P486-Q486&lt;AA486+AB486-AC486,AND(O486+P486-Q486=AA486+AB486-AC486,2&lt;4))),1,0),IF(AND(U486+V486-W486&gt;0,OR(U486+V486-W486&lt;AA486+AB486-AC486,AND(U486+V486-W486=AA486+AB486-AC486,3&lt;4))),1,0)))</x:f>
        <x:v>99</x:v>
      </x:c>
      <x:c r="AE486" s="6" t="n">
        <x:f>IF('Debt strategy'!$C$16&gt;0,0,MIN(AA486+AB486-AC486,MAX(0,'Debt strategy'!$C$5-SUM(E486,K486,Q486,W486,AC486)-SUM(IF(F486&lt;AD486,C486+D486-E486,0),IF(L486&lt;AD486,I486+J486-K486,0),IF(R486&lt;AD486,O486+P486-Q486,0),IF(X486&lt;AD486,U486+V486-W486,0)))))</x:f>
        <x:v>0</x:v>
      </x:c>
      <x:c r="AF486" s="6" t="n">
        <x:f>ROUND(MAX(0,AA486+AB486-AC486-AE486),2)</x:f>
        <x:v>0</x:v>
      </x:c>
      <x:c r="AG486" s="6" t="n">
        <x:f>SUM(H486,N486,T486,Z486,AF486)</x:f>
        <x:v>0</x:v>
      </x:c>
      <x:c r="AH486" s="6" t="n">
        <x:f>SUM(D486,J486,P486,V486,AB486)+AH485</x:f>
        <x:v>1353.9499999999996</x:v>
      </x:c>
      <x:c r="AI486" s="2"/>
    </x:row>
    <x:row r="487" ht="23" customHeight="1">
      <x:c r="B487" s="2" t="n">
        <x:f>479</x:f>
        <x:v>479</x:v>
      </x:c>
      <x:c r="C487" s="6" t="n">
        <x:f>H486</x:f>
        <x:v>0</x:v>
      </x:c>
      <x:c r="D487" s="6" t="n">
        <x:f>ROUND(C487*'Debt strategy'!$D$9/12,2)</x:f>
        <x:v>0</x:v>
      </x:c>
      <x:c r="E487" s="6" t="n">
        <x:f>MIN(C487+D487,'Debt strategy'!$E$9)</x:f>
        <x:v>0</x:v>
      </x:c>
      <x:c r="F487" s="27" t="n">
        <x:f>IF(C487+D487-E487&lt;=0,99,1+SUM(IF(AND(I487+J487-K487&gt;0,OR(I487+J487-K487&lt;C487+D487-E487,AND(I487+J487-K487=C487+D487-E487,1&lt;0))),1,0),IF(AND(O487+P487-Q487&gt;0,OR(O487+P487-Q487&lt;C487+D487-E487,AND(O487+P487-Q487=C487+D487-E487,2&lt;0))),1,0),IF(AND(U487+V487-W487&gt;0,OR(U487+V487-W487&lt;C487+D487-E487,AND(U487+V487-W487=C487+D487-E487,3&lt;0))),1,0),IF(AND(AA487+AB487-AC487&gt;0,OR(AA487+AB487-AC487&lt;C487+D487-E487,AND(AA487+AB487-AC487=C487+D487-E487,4&lt;0))),1,0)))</x:f>
        <x:v>99</x:v>
      </x:c>
      <x:c r="G487" s="6" t="n">
        <x:f>IF('Debt strategy'!$C$16&gt;0,0,MIN(C487+D487-E487,MAX(0,'Debt strategy'!$C$5-SUM(E487,K487,Q487,W487,AC487)-SUM(IF(L487&lt;F487,I487+J487-K487,0),IF(R487&lt;F487,O487+P487-Q487,0),IF(X487&lt;F487,U487+V487-W487,0),IF(AD487&lt;F487,AA487+AB487-AC487,0)))))</x:f>
        <x:v>0</x:v>
      </x:c>
      <x:c r="H487" s="6" t="n">
        <x:f>ROUND(MAX(0,C487+D487-E487-G487),2)</x:f>
        <x:v>0</x:v>
      </x:c>
      <x:c r="I487" s="6" t="n">
        <x:f>N486</x:f>
        <x:v>0</x:v>
      </x:c>
      <x:c r="J487" s="6" t="n">
        <x:f>ROUND(I487*'Debt strategy'!$D$10/12,2)</x:f>
        <x:v>0</x:v>
      </x:c>
      <x:c r="K487" s="6" t="n">
        <x:f>MIN(I487+J487,'Debt strategy'!$E$10)</x:f>
        <x:v>0</x:v>
      </x:c>
      <x:c r="L487" s="27" t="n">
        <x:f>IF(I487+J487-K487&lt;=0,99,1+SUM(IF(AND(C487+D487-E487&gt;0,OR(C487+D487-E487&lt;I487+J487-K487,AND(C487+D487-E487=I487+J487-K487,0&lt;1))),1,0),IF(AND(O487+P487-Q487&gt;0,OR(O487+P487-Q487&lt;I487+J487-K487,AND(O487+P487-Q487=I487+J487-K487,2&lt;1))),1,0),IF(AND(U487+V487-W487&gt;0,OR(U487+V487-W487&lt;I487+J487-K487,AND(U487+V487-W487=I487+J487-K487,3&lt;1))),1,0),IF(AND(AA487+AB487-AC487&gt;0,OR(AA487+AB487-AC487&lt;I487+J487-K487,AND(AA487+AB487-AC487=I487+J487-K487,4&lt;1))),1,0)))</x:f>
        <x:v>99</x:v>
      </x:c>
      <x:c r="M487" s="6" t="n">
        <x:f>IF('Debt strategy'!$C$16&gt;0,0,MIN(I487+J487-K487,MAX(0,'Debt strategy'!$C$5-SUM(E487,K487,Q487,W487,AC487)-SUM(IF(F487&lt;L487,C487+D487-E487,0),IF(R487&lt;L487,O487+P487-Q487,0),IF(X487&lt;L487,U487+V487-W487,0),IF(AD487&lt;L487,AA487+AB487-AC487,0)))))</x:f>
        <x:v>0</x:v>
      </x:c>
      <x:c r="N487" s="6" t="n">
        <x:f>ROUND(MAX(0,I487+J487-K487-M487),2)</x:f>
        <x:v>0</x:v>
      </x:c>
      <x:c r="O487" s="6" t="n">
        <x:f>T486</x:f>
        <x:v>0</x:v>
      </x:c>
      <x:c r="P487" s="6" t="n">
        <x:f>ROUND(O487*'Debt strategy'!$D$11/12,2)</x:f>
        <x:v>0</x:v>
      </x:c>
      <x:c r="Q487" s="6" t="n">
        <x:f>MIN(O487+P487,'Debt strategy'!$E$11)</x:f>
        <x:v>0</x:v>
      </x:c>
      <x:c r="R487" s="27" t="n">
        <x:f>IF(O487+P487-Q487&lt;=0,99,1+SUM(IF(AND(C487+D487-E487&gt;0,OR(C487+D487-E487&lt;O487+P487-Q487,AND(C487+D487-E487=O487+P487-Q487,0&lt;2))),1,0),IF(AND(I487+J487-K487&gt;0,OR(I487+J487-K487&lt;O487+P487-Q487,AND(I487+J487-K487=O487+P487-Q487,1&lt;2))),1,0),IF(AND(U487+V487-W487&gt;0,OR(U487+V487-W487&lt;O487+P487-Q487,AND(U487+V487-W487=O487+P487-Q487,3&lt;2))),1,0),IF(AND(AA487+AB487-AC487&gt;0,OR(AA487+AB487-AC487&lt;O487+P487-Q487,AND(AA487+AB487-AC487=O487+P487-Q487,4&lt;2))),1,0)))</x:f>
        <x:v>99</x:v>
      </x:c>
      <x:c r="S487" s="6" t="n">
        <x:f>IF('Debt strategy'!$C$16&gt;0,0,MIN(O487+P487-Q487,MAX(0,'Debt strategy'!$C$5-SUM(E487,K487,Q487,W487,AC487)-SUM(IF(F487&lt;R487,C487+D487-E487,0),IF(L487&lt;R487,I487+J487-K487,0),IF(X487&lt;R487,U487+V487-W487,0),IF(AD487&lt;R487,AA487+AB487-AC487,0)))))</x:f>
        <x:v>0</x:v>
      </x:c>
      <x:c r="T487" s="6" t="n">
        <x:f>ROUND(MAX(0,O487+P487-Q487-S487),2)</x:f>
        <x:v>0</x:v>
      </x:c>
      <x:c r="U487" s="6" t="n">
        <x:f>Z486</x:f>
        <x:v>0</x:v>
      </x:c>
      <x:c r="V487" s="6" t="n">
        <x:f>ROUND(U487*'Debt strategy'!$D$12/12,2)</x:f>
        <x:v>0</x:v>
      </x:c>
      <x:c r="W487" s="6" t="n">
        <x:f>MIN(U487+V487,'Debt strategy'!$E$12)</x:f>
        <x:v>0</x:v>
      </x:c>
      <x:c r="X487" s="27" t="n">
        <x:f>IF(U487+V487-W487&lt;=0,99,1+SUM(IF(AND(C487+D487-E487&gt;0,OR(C487+D487-E487&lt;U487+V487-W487,AND(C487+D487-E487=U487+V487-W487,0&lt;3))),1,0),IF(AND(I487+J487-K487&gt;0,OR(I487+J487-K487&lt;U487+V487-W487,AND(I487+J487-K487=U487+V487-W487,1&lt;3))),1,0),IF(AND(O487+P487-Q487&gt;0,OR(O487+P487-Q487&lt;U487+V487-W487,AND(O487+P487-Q487=U487+V487-W487,2&lt;3))),1,0),IF(AND(AA487+AB487-AC487&gt;0,OR(AA487+AB487-AC487&lt;U487+V487-W487,AND(AA487+AB487-AC487=U487+V487-W487,4&lt;3))),1,0)))</x:f>
        <x:v>99</x:v>
      </x:c>
      <x:c r="Y487" s="6" t="n">
        <x:f>IF('Debt strategy'!$C$16&gt;0,0,MIN(U487+V487-W487,MAX(0,'Debt strategy'!$C$5-SUM(E487,K487,Q487,W487,AC487)-SUM(IF(F487&lt;X487,C487+D487-E487,0),IF(L487&lt;X487,I487+J487-K487,0),IF(R487&lt;X487,O487+P487-Q487,0),IF(AD487&lt;X487,AA487+AB487-AC487,0)))))</x:f>
        <x:v>0</x:v>
      </x:c>
      <x:c r="Z487" s="6" t="n">
        <x:f>ROUND(MAX(0,U487+V487-W487-Y487),2)</x:f>
        <x:v>0</x:v>
      </x:c>
      <x:c r="AA487" s="6" t="n">
        <x:f>AF486</x:f>
        <x:v>0</x:v>
      </x:c>
      <x:c r="AB487" s="6" t="n">
        <x:f>ROUND(AA487*'Debt strategy'!$D$13/12,2)</x:f>
        <x:v>0</x:v>
      </x:c>
      <x:c r="AC487" s="6" t="n">
        <x:f>MIN(AA487+AB487,'Debt strategy'!$E$13)</x:f>
        <x:v>0</x:v>
      </x:c>
      <x:c r="AD487" s="27" t="n">
        <x:f>IF(AA487+AB487-AC487&lt;=0,99,1+SUM(IF(AND(C487+D487-E487&gt;0,OR(C487+D487-E487&lt;AA487+AB487-AC487,AND(C487+D487-E487=AA487+AB487-AC487,0&lt;4))),1,0),IF(AND(I487+J487-K487&gt;0,OR(I487+J487-K487&lt;AA487+AB487-AC487,AND(I487+J487-K487=AA487+AB487-AC487,1&lt;4))),1,0),IF(AND(O487+P487-Q487&gt;0,OR(O487+P487-Q487&lt;AA487+AB487-AC487,AND(O487+P487-Q487=AA487+AB487-AC487,2&lt;4))),1,0),IF(AND(U487+V487-W487&gt;0,OR(U487+V487-W487&lt;AA487+AB487-AC487,AND(U487+V487-W487=AA487+AB487-AC487,3&lt;4))),1,0)))</x:f>
        <x:v>99</x:v>
      </x:c>
      <x:c r="AE487" s="6" t="n">
        <x:f>IF('Debt strategy'!$C$16&gt;0,0,MIN(AA487+AB487-AC487,MAX(0,'Debt strategy'!$C$5-SUM(E487,K487,Q487,W487,AC487)-SUM(IF(F487&lt;AD487,C487+D487-E487,0),IF(L487&lt;AD487,I487+J487-K487,0),IF(R487&lt;AD487,O487+P487-Q487,0),IF(X487&lt;AD487,U487+V487-W487,0)))))</x:f>
        <x:v>0</x:v>
      </x:c>
      <x:c r="AF487" s="6" t="n">
        <x:f>ROUND(MAX(0,AA487+AB487-AC487-AE487),2)</x:f>
        <x:v>0</x:v>
      </x:c>
      <x:c r="AG487" s="6" t="n">
        <x:f>SUM(H487,N487,T487,Z487,AF487)</x:f>
        <x:v>0</x:v>
      </x:c>
      <x:c r="AH487" s="6" t="n">
        <x:f>SUM(D487,J487,P487,V487,AB487)+AH486</x:f>
        <x:v>1353.9499999999996</x:v>
      </x:c>
      <x:c r="AI487" s="2"/>
    </x:row>
    <x:row r="488" ht="23" customHeight="1">
      <x:c r="B488" s="2" t="n">
        <x:f>480</x:f>
        <x:v>480</x:v>
      </x:c>
      <x:c r="C488" s="6" t="n">
        <x:f>H487</x:f>
        <x:v>0</x:v>
      </x:c>
      <x:c r="D488" s="6" t="n">
        <x:f>ROUND(C488*'Debt strategy'!$D$9/12,2)</x:f>
        <x:v>0</x:v>
      </x:c>
      <x:c r="E488" s="6" t="n">
        <x:f>MIN(C488+D488,'Debt strategy'!$E$9)</x:f>
        <x:v>0</x:v>
      </x:c>
      <x:c r="F488" s="27" t="n">
        <x:f>IF(C488+D488-E488&lt;=0,99,1+SUM(IF(AND(I488+J488-K488&gt;0,OR(I488+J488-K488&lt;C488+D488-E488,AND(I488+J488-K488=C488+D488-E488,1&lt;0))),1,0),IF(AND(O488+P488-Q488&gt;0,OR(O488+P488-Q488&lt;C488+D488-E488,AND(O488+P488-Q488=C488+D488-E488,2&lt;0))),1,0),IF(AND(U488+V488-W488&gt;0,OR(U488+V488-W488&lt;C488+D488-E488,AND(U488+V488-W488=C488+D488-E488,3&lt;0))),1,0),IF(AND(AA488+AB488-AC488&gt;0,OR(AA488+AB488-AC488&lt;C488+D488-E488,AND(AA488+AB488-AC488=C488+D488-E488,4&lt;0))),1,0)))</x:f>
        <x:v>99</x:v>
      </x:c>
      <x:c r="G488" s="6" t="n">
        <x:f>IF('Debt strategy'!$C$16&gt;0,0,MIN(C488+D488-E488,MAX(0,'Debt strategy'!$C$5-SUM(E488,K488,Q488,W488,AC488)-SUM(IF(L488&lt;F488,I488+J488-K488,0),IF(R488&lt;F488,O488+P488-Q488,0),IF(X488&lt;F488,U488+V488-W488,0),IF(AD488&lt;F488,AA488+AB488-AC488,0)))))</x:f>
        <x:v>0</x:v>
      </x:c>
      <x:c r="H488" s="6" t="n">
        <x:f>ROUND(MAX(0,C488+D488-E488-G488),2)</x:f>
        <x:v>0</x:v>
      </x:c>
      <x:c r="I488" s="6" t="n">
        <x:f>N487</x:f>
        <x:v>0</x:v>
      </x:c>
      <x:c r="J488" s="6" t="n">
        <x:f>ROUND(I488*'Debt strategy'!$D$10/12,2)</x:f>
        <x:v>0</x:v>
      </x:c>
      <x:c r="K488" s="6" t="n">
        <x:f>MIN(I488+J488,'Debt strategy'!$E$10)</x:f>
        <x:v>0</x:v>
      </x:c>
      <x:c r="L488" s="27" t="n">
        <x:f>IF(I488+J488-K488&lt;=0,99,1+SUM(IF(AND(C488+D488-E488&gt;0,OR(C488+D488-E488&lt;I488+J488-K488,AND(C488+D488-E488=I488+J488-K488,0&lt;1))),1,0),IF(AND(O488+P488-Q488&gt;0,OR(O488+P488-Q488&lt;I488+J488-K488,AND(O488+P488-Q488=I488+J488-K488,2&lt;1))),1,0),IF(AND(U488+V488-W488&gt;0,OR(U488+V488-W488&lt;I488+J488-K488,AND(U488+V488-W488=I488+J488-K488,3&lt;1))),1,0),IF(AND(AA488+AB488-AC488&gt;0,OR(AA488+AB488-AC488&lt;I488+J488-K488,AND(AA488+AB488-AC488=I488+J488-K488,4&lt;1))),1,0)))</x:f>
        <x:v>99</x:v>
      </x:c>
      <x:c r="M488" s="6" t="n">
        <x:f>IF('Debt strategy'!$C$16&gt;0,0,MIN(I488+J488-K488,MAX(0,'Debt strategy'!$C$5-SUM(E488,K488,Q488,W488,AC488)-SUM(IF(F488&lt;L488,C488+D488-E488,0),IF(R488&lt;L488,O488+P488-Q488,0),IF(X488&lt;L488,U488+V488-W488,0),IF(AD488&lt;L488,AA488+AB488-AC488,0)))))</x:f>
        <x:v>0</x:v>
      </x:c>
      <x:c r="N488" s="6" t="n">
        <x:f>ROUND(MAX(0,I488+J488-K488-M488),2)</x:f>
        <x:v>0</x:v>
      </x:c>
      <x:c r="O488" s="6" t="n">
        <x:f>T487</x:f>
        <x:v>0</x:v>
      </x:c>
      <x:c r="P488" s="6" t="n">
        <x:f>ROUND(O488*'Debt strategy'!$D$11/12,2)</x:f>
        <x:v>0</x:v>
      </x:c>
      <x:c r="Q488" s="6" t="n">
        <x:f>MIN(O488+P488,'Debt strategy'!$E$11)</x:f>
        <x:v>0</x:v>
      </x:c>
      <x:c r="R488" s="27" t="n">
        <x:f>IF(O488+P488-Q488&lt;=0,99,1+SUM(IF(AND(C488+D488-E488&gt;0,OR(C488+D488-E488&lt;O488+P488-Q488,AND(C488+D488-E488=O488+P488-Q488,0&lt;2))),1,0),IF(AND(I488+J488-K488&gt;0,OR(I488+J488-K488&lt;O488+P488-Q488,AND(I488+J488-K488=O488+P488-Q488,1&lt;2))),1,0),IF(AND(U488+V488-W488&gt;0,OR(U488+V488-W488&lt;O488+P488-Q488,AND(U488+V488-W488=O488+P488-Q488,3&lt;2))),1,0),IF(AND(AA488+AB488-AC488&gt;0,OR(AA488+AB488-AC488&lt;O488+P488-Q488,AND(AA488+AB488-AC488=O488+P488-Q488,4&lt;2))),1,0)))</x:f>
        <x:v>99</x:v>
      </x:c>
      <x:c r="S488" s="6" t="n">
        <x:f>IF('Debt strategy'!$C$16&gt;0,0,MIN(O488+P488-Q488,MAX(0,'Debt strategy'!$C$5-SUM(E488,K488,Q488,W488,AC488)-SUM(IF(F488&lt;R488,C488+D488-E488,0),IF(L488&lt;R488,I488+J488-K488,0),IF(X488&lt;R488,U488+V488-W488,0),IF(AD488&lt;R488,AA488+AB488-AC488,0)))))</x:f>
        <x:v>0</x:v>
      </x:c>
      <x:c r="T488" s="6" t="n">
        <x:f>ROUND(MAX(0,O488+P488-Q488-S488),2)</x:f>
        <x:v>0</x:v>
      </x:c>
      <x:c r="U488" s="6" t="n">
        <x:f>Z487</x:f>
        <x:v>0</x:v>
      </x:c>
      <x:c r="V488" s="6" t="n">
        <x:f>ROUND(U488*'Debt strategy'!$D$12/12,2)</x:f>
        <x:v>0</x:v>
      </x:c>
      <x:c r="W488" s="6" t="n">
        <x:f>MIN(U488+V488,'Debt strategy'!$E$12)</x:f>
        <x:v>0</x:v>
      </x:c>
      <x:c r="X488" s="27" t="n">
        <x:f>IF(U488+V488-W488&lt;=0,99,1+SUM(IF(AND(C488+D488-E488&gt;0,OR(C488+D488-E488&lt;U488+V488-W488,AND(C488+D488-E488=U488+V488-W488,0&lt;3))),1,0),IF(AND(I488+J488-K488&gt;0,OR(I488+J488-K488&lt;U488+V488-W488,AND(I488+J488-K488=U488+V488-W488,1&lt;3))),1,0),IF(AND(O488+P488-Q488&gt;0,OR(O488+P488-Q488&lt;U488+V488-W488,AND(O488+P488-Q488=U488+V488-W488,2&lt;3))),1,0),IF(AND(AA488+AB488-AC488&gt;0,OR(AA488+AB488-AC488&lt;U488+V488-W488,AND(AA488+AB488-AC488=U488+V488-W488,4&lt;3))),1,0)))</x:f>
        <x:v>99</x:v>
      </x:c>
      <x:c r="Y488" s="6" t="n">
        <x:f>IF('Debt strategy'!$C$16&gt;0,0,MIN(U488+V488-W488,MAX(0,'Debt strategy'!$C$5-SUM(E488,K488,Q488,W488,AC488)-SUM(IF(F488&lt;X488,C488+D488-E488,0),IF(L488&lt;X488,I488+J488-K488,0),IF(R488&lt;X488,O488+P488-Q488,0),IF(AD488&lt;X488,AA488+AB488-AC488,0)))))</x:f>
        <x:v>0</x:v>
      </x:c>
      <x:c r="Z488" s="6" t="n">
        <x:f>ROUND(MAX(0,U488+V488-W488-Y488),2)</x:f>
        <x:v>0</x:v>
      </x:c>
      <x:c r="AA488" s="6" t="n">
        <x:f>AF487</x:f>
        <x:v>0</x:v>
      </x:c>
      <x:c r="AB488" s="6" t="n">
        <x:f>ROUND(AA488*'Debt strategy'!$D$13/12,2)</x:f>
        <x:v>0</x:v>
      </x:c>
      <x:c r="AC488" s="6" t="n">
        <x:f>MIN(AA488+AB488,'Debt strategy'!$E$13)</x:f>
        <x:v>0</x:v>
      </x:c>
      <x:c r="AD488" s="27" t="n">
        <x:f>IF(AA488+AB488-AC488&lt;=0,99,1+SUM(IF(AND(C488+D488-E488&gt;0,OR(C488+D488-E488&lt;AA488+AB488-AC488,AND(C488+D488-E488=AA488+AB488-AC488,0&lt;4))),1,0),IF(AND(I488+J488-K488&gt;0,OR(I488+J488-K488&lt;AA488+AB488-AC488,AND(I488+J488-K488=AA488+AB488-AC488,1&lt;4))),1,0),IF(AND(O488+P488-Q488&gt;0,OR(O488+P488-Q488&lt;AA488+AB488-AC488,AND(O488+P488-Q488=AA488+AB488-AC488,2&lt;4))),1,0),IF(AND(U488+V488-W488&gt;0,OR(U488+V488-W488&lt;AA488+AB488-AC488,AND(U488+V488-W488=AA488+AB488-AC488,3&lt;4))),1,0)))</x:f>
        <x:v>99</x:v>
      </x:c>
      <x:c r="AE488" s="6" t="n">
        <x:f>IF('Debt strategy'!$C$16&gt;0,0,MIN(AA488+AB488-AC488,MAX(0,'Debt strategy'!$C$5-SUM(E488,K488,Q488,W488,AC488)-SUM(IF(F488&lt;AD488,C488+D488-E488,0),IF(L488&lt;AD488,I488+J488-K488,0),IF(R488&lt;AD488,O488+P488-Q488,0),IF(X488&lt;AD488,U488+V488-W488,0)))))</x:f>
        <x:v>0</x:v>
      </x:c>
      <x:c r="AF488" s="6" t="n">
        <x:f>ROUND(MAX(0,AA488+AB488-AC488-AE488),2)</x:f>
        <x:v>0</x:v>
      </x:c>
      <x:c r="AG488" s="6" t="n">
        <x:f>SUM(H488,N488,T488,Z488,AF488)</x:f>
        <x:v>0</x:v>
      </x:c>
      <x:c r="AH488" s="6" t="n">
        <x:f>SUM(D488,J488,P488,V488,AB488)+AH487</x:f>
        <x:v>1353.9499999999996</x:v>
      </x:c>
      <x:c r="AI488" s="2"/>
    </x:row>
    <x:row r="489" ht="23" customHeight="1"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  <x:c r="AA489" s="2"/>
      <x:c r="AB489" s="2"/>
      <x:c r="AC489" s="2"/>
      <x:c r="AD489" s="2"/>
      <x:c r="AE489" s="2"/>
      <x:c r="AF489" s="2"/>
      <x:c r="AG489" s="2"/>
      <x:c r="AH489" s="2"/>
      <x:c r="AI489" s="2"/>
    </x:row>
  </x:sheetData>
  <x:sheetProtection sheet="1" objects="1" scenarios="1" selectLockedCells="0" selectUnlockedCells="0"/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657D5D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3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  <x:col min="25" max="25" width="14" hidden="0" customWidth="1"/>
    <x:col min="26" max="26" width="14" hidden="0" customWidth="1"/>
    <x:col min="27" max="27" width="14" hidden="0" customWidth="1"/>
    <x:col min="28" max="28" width="14" hidden="0" customWidth="1"/>
    <x:col min="29" max="29" width="14" hidden="0" customWidth="1"/>
    <x:col min="30" max="30" width="14" hidden="0" customWidth="1"/>
    <x:col min="31" max="31" width="14" hidden="0" customWidth="1"/>
    <x:col min="32" max="32" width="14" hidden="0" customWidth="1"/>
    <x:col min="33" max="33" width="14" hidden="0" customWidth="1"/>
    <x:col min="34" max="34" width="14" hidden="0" customWidth="1"/>
    <x:col min="35" max="35" width="14" hidden="0" customWidth="1"/>
  </x:cols>
  <x:sheetData>
    <x:row r="2" ht="23" customHeight="1">
      <x:c r="B2" s="3" t="str">
        <x:v>Avalanche monthly schedule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</x:row>
    <x:row r="3" ht="23" customHeight="1">
      <x:c r="B3" s="4" t="str">
        <x:v>40-year limit. Read-only formula schedule; edit inputs on Debt strategy.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</x:row>
    <x:row r="4" ht="23" customHeight="1"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</x:row>
    <x:row r="5" ht="23" customHeight="1"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  <x:c r="AG5" s="2"/>
      <x:c r="AH5" s="2"/>
      <x:c r="AI5" s="2"/>
    </x:row>
    <x:row r="6" ht="23" customHeight="1"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  <x:c r="AG6" s="2"/>
      <x:c r="AH6" s="2"/>
      <x:c r="AI6" s="2"/>
    </x:row>
    <x:row r="7" ht="23" customHeight="1"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  <x:c r="AG7" s="2"/>
      <x:c r="AH7" s="2"/>
      <x:c r="AI7" s="2"/>
    </x:row>
    <x:row r="8" ht="36" customHeight="1">
      <x:c r="B8" s="26" t="str">
        <x:v>Month</x:v>
      </x:c>
      <x:c r="C8" s="26" t="str">
        <x:v>Debt 1 opening</x:v>
      </x:c>
      <x:c r="D8" s="26" t="str">
        <x:v>Interest</x:v>
      </x:c>
      <x:c r="E8" s="26" t="str">
        <x:v>Minimum paid</x:v>
      </x:c>
      <x:c r="F8" s="26" t="str">
        <x:v>Priority</x:v>
      </x:c>
      <x:c r="G8" s="26" t="str">
        <x:v>Extra paid</x:v>
      </x:c>
      <x:c r="H8" s="26" t="str">
        <x:v>Closing</x:v>
      </x:c>
      <x:c r="I8" s="26" t="str">
        <x:v>Debt 2 opening</x:v>
      </x:c>
      <x:c r="J8" s="26" t="str">
        <x:v>Interest</x:v>
      </x:c>
      <x:c r="K8" s="26" t="str">
        <x:v>Minimum paid</x:v>
      </x:c>
      <x:c r="L8" s="26" t="str">
        <x:v>Priority</x:v>
      </x:c>
      <x:c r="M8" s="26" t="str">
        <x:v>Extra paid</x:v>
      </x:c>
      <x:c r="N8" s="26" t="str">
        <x:v>Closing</x:v>
      </x:c>
      <x:c r="O8" s="26" t="str">
        <x:v>Debt 3 opening</x:v>
      </x:c>
      <x:c r="P8" s="26" t="str">
        <x:v>Interest</x:v>
      </x:c>
      <x:c r="Q8" s="26" t="str">
        <x:v>Minimum paid</x:v>
      </x:c>
      <x:c r="R8" s="26" t="str">
        <x:v>Priority</x:v>
      </x:c>
      <x:c r="S8" s="26" t="str">
        <x:v>Extra paid</x:v>
      </x:c>
      <x:c r="T8" s="26" t="str">
        <x:v>Closing</x:v>
      </x:c>
      <x:c r="U8" s="26" t="str">
        <x:v>Debt 4 opening</x:v>
      </x:c>
      <x:c r="V8" s="26" t="str">
        <x:v>Interest</x:v>
      </x:c>
      <x:c r="W8" s="26" t="str">
        <x:v>Minimum paid</x:v>
      </x:c>
      <x:c r="X8" s="26" t="str">
        <x:v>Priority</x:v>
      </x:c>
      <x:c r="Y8" s="26" t="str">
        <x:v>Extra paid</x:v>
      </x:c>
      <x:c r="Z8" s="26" t="str">
        <x:v>Closing</x:v>
      </x:c>
      <x:c r="AA8" s="26" t="str">
        <x:v>Debt 5 opening</x:v>
      </x:c>
      <x:c r="AB8" s="26" t="str">
        <x:v>Interest</x:v>
      </x:c>
      <x:c r="AC8" s="26" t="str">
        <x:v>Minimum paid</x:v>
      </x:c>
      <x:c r="AD8" s="26" t="str">
        <x:v>Priority</x:v>
      </x:c>
      <x:c r="AE8" s="26" t="str">
        <x:v>Extra paid</x:v>
      </x:c>
      <x:c r="AF8" s="26" t="str">
        <x:v>Closing</x:v>
      </x:c>
      <x:c r="AG8" s="26" t="str">
        <x:v>Total balance</x:v>
      </x:c>
      <x:c r="AH8" s="26" t="str">
        <x:v>Interest to date</x:v>
      </x:c>
      <x:c r="AI8" s="2"/>
    </x:row>
    <x:row r="9" ht="23" customHeight="1">
      <x:c r="B9" s="2" t="n">
        <x:f>1</x:f>
        <x:v>1</x:v>
      </x:c>
      <x:c r="C9" s="6" t="n">
        <x:f>'Debt strategy'!$C$9</x:f>
        <x:v>3500</x:v>
      </x:c>
      <x:c r="D9" s="6" t="n">
        <x:f>ROUND(C9*'Debt strategy'!$D$9/12,2)</x:f>
        <x:v>64.17</x:v>
      </x:c>
      <x:c r="E9" s="6" t="n">
        <x:f>MIN(C9+D9,'Debt strategy'!$E$9)</x:f>
        <x:v>100</x:v>
      </x:c>
      <x:c r="F9" s="27" t="n">
        <x:f>IF(C9+D9-E9&lt;=0,99,1+SUM(IF(AND(I9+J9-K9&gt;0,OR('Debt strategy'!$D$10&gt;'Debt strategy'!$D$9,AND('Debt strategy'!$D$10='Debt strategy'!$D$9,1&lt;0))),1,0),IF(AND(O9+P9-Q9&gt;0,OR('Debt strategy'!$D$11&gt;'Debt strategy'!$D$9,AND('Debt strategy'!$D$11='Debt strategy'!$D$9,2&lt;0))),1,0),IF(AND(U9+V9-W9&gt;0,OR('Debt strategy'!$D$12&gt;'Debt strategy'!$D$9,AND('Debt strategy'!$D$12='Debt strategy'!$D$9,3&lt;0))),1,0),IF(AND(AA9+AB9-AC9&gt;0,OR('Debt strategy'!$D$13&gt;'Debt strategy'!$D$9,AND('Debt strategy'!$D$13='Debt strategy'!$D$9,4&lt;0))),1,0)))</x:f>
        <x:v>1</x:v>
      </x:c>
      <x:c r="G9" s="6" t="n">
        <x:f>IF('Debt strategy'!$C$16&gt;0,0,MIN(C9+D9-E9,MAX(0,'Debt strategy'!$C$5-SUM(E9,K9,Q9,W9,AC9)-SUM(IF(L9&lt;F9,I9+J9-K9,0),IF(R9&lt;F9,O9+P9-Q9,0),IF(X9&lt;F9,U9+V9-W9,0),IF(AD9&lt;F9,AA9+AB9-AC9,0)))))</x:f>
        <x:v>125</x:v>
      </x:c>
      <x:c r="H9" s="6" t="n">
        <x:f>ROUND(MAX(0,C9+D9-E9-G9),2)</x:f>
        <x:v>3339.17</x:v>
      </x:c>
      <x:c r="I9" s="6" t="n">
        <x:f>'Debt strategy'!$C$10</x:f>
        <x:v>5000</x:v>
      </x:c>
      <x:c r="J9" s="6" t="n">
        <x:f>ROUND(I9*'Debt strategy'!$D$10/12,2)</x:f>
        <x:v>33.33</x:v>
      </x:c>
      <x:c r="K9" s="6" t="n">
        <x:f>MIN(I9+J9,'Debt strategy'!$E$10)</x:f>
        <x:v>150</x:v>
      </x:c>
      <x:c r="L9" s="27" t="n">
        <x:f>IF(I9+J9-K9&lt;=0,99,1+SUM(IF(AND(C9+D9-E9&gt;0,OR('Debt strategy'!$D$9&gt;'Debt strategy'!$D$10,AND('Debt strategy'!$D$9='Debt strategy'!$D$10,0&lt;1))),1,0),IF(AND(O9+P9-Q9&gt;0,OR('Debt strategy'!$D$11&gt;'Debt strategy'!$D$10,AND('Debt strategy'!$D$11='Debt strategy'!$D$10,2&lt;1))),1,0),IF(AND(U9+V9-W9&gt;0,OR('Debt strategy'!$D$12&gt;'Debt strategy'!$D$10,AND('Debt strategy'!$D$12='Debt strategy'!$D$10,3&lt;1))),1,0),IF(AND(AA9+AB9-AC9&gt;0,OR('Debt strategy'!$D$13&gt;'Debt strategy'!$D$10,AND('Debt strategy'!$D$13='Debt strategy'!$D$10,4&lt;1))),1,0)))</x:f>
        <x:v>2</x:v>
      </x:c>
      <x:c r="M9" s="6" t="n">
        <x:f>IF('Debt strategy'!$C$16&gt;0,0,MIN(I9+J9-K9,MAX(0,'Debt strategy'!$C$5-SUM(E9,K9,Q9,W9,AC9)-SUM(IF(F9&lt;L9,C9+D9-E9,0),IF(R9&lt;L9,O9+P9-Q9,0),IF(X9&lt;L9,U9+V9-W9,0),IF(AD9&lt;L9,AA9+AB9-AC9,0)))))</x:f>
        <x:v>0</x:v>
      </x:c>
      <x:c r="N9" s="6" t="n">
        <x:f>ROUND(MAX(0,I9+J9-K9-M9),2)</x:f>
        <x:v>4883.33</x:v>
      </x:c>
      <x:c r="O9" s="6" t="n">
        <x:f>'Debt strategy'!$C$11</x:f>
        <x:v>600</x:v>
      </x:c>
      <x:c r="P9" s="6" t="n">
        <x:f>ROUND(O9*'Debt strategy'!$D$11/12,2)</x:f>
        <x:v>0</x:v>
      </x:c>
      <x:c r="Q9" s="6" t="n">
        <x:f>MIN(O9+P9,'Debt strategy'!$E$11)</x:f>
        <x:v>25</x:v>
      </x:c>
      <x:c r="R9" s="27" t="n">
        <x:f>IF(O9+P9-Q9&lt;=0,99,1+SUM(IF(AND(C9+D9-E9&gt;0,OR('Debt strategy'!$D$9&gt;'Debt strategy'!$D$11,AND('Debt strategy'!$D$9='Debt strategy'!$D$11,0&lt;2))),1,0),IF(AND(I9+J9-K9&gt;0,OR('Debt strategy'!$D$10&gt;'Debt strategy'!$D$11,AND('Debt strategy'!$D$10='Debt strategy'!$D$11,1&lt;2))),1,0),IF(AND(U9+V9-W9&gt;0,OR('Debt strategy'!$D$12&gt;'Debt strategy'!$D$11,AND('Debt strategy'!$D$12='Debt strategy'!$D$11,3&lt;2))),1,0),IF(AND(AA9+AB9-AC9&gt;0,OR('Debt strategy'!$D$13&gt;'Debt strategy'!$D$11,AND('Debt strategy'!$D$13='Debt strategy'!$D$11,4&lt;2))),1,0)))</x:f>
        <x:v>3</x:v>
      </x:c>
      <x:c r="S9" s="6" t="n">
        <x:f>IF('Debt strategy'!$C$16&gt;0,0,MIN(O9+P9-Q9,MAX(0,'Debt strategy'!$C$5-SUM(E9,K9,Q9,W9,AC9)-SUM(IF(F9&lt;R9,C9+D9-E9,0),IF(L9&lt;R9,I9+J9-K9,0),IF(X9&lt;R9,U9+V9-W9,0),IF(AD9&lt;R9,AA9+AB9-AC9,0)))))</x:f>
        <x:v>0</x:v>
      </x:c>
      <x:c r="T9" s="6" t="n">
        <x:f>ROUND(MAX(0,O9+P9-Q9-S9),2)</x:f>
        <x:v>575</x:v>
      </x:c>
      <x:c r="U9" s="6" t="n">
        <x:f>'Debt strategy'!$C$12</x:f>
        <x:v>0</x:v>
      </x:c>
      <x:c r="V9" s="6" t="n">
        <x:f>ROUND(U9*'Debt strategy'!$D$12/12,2)</x:f>
        <x:v>0</x:v>
      </x:c>
      <x:c r="W9" s="6" t="n">
        <x:f>MIN(U9+V9,'Debt strategy'!$E$12)</x:f>
        <x:v>0</x:v>
      </x:c>
      <x:c r="X9" s="27" t="n">
        <x:f>IF(U9+V9-W9&lt;=0,99,1+SUM(IF(AND(C9+D9-E9&gt;0,OR('Debt strategy'!$D$9&gt;'Debt strategy'!$D$12,AND('Debt strategy'!$D$9='Debt strategy'!$D$12,0&lt;3))),1,0),IF(AND(I9+J9-K9&gt;0,OR('Debt strategy'!$D$10&gt;'Debt strategy'!$D$12,AND('Debt strategy'!$D$10='Debt strategy'!$D$12,1&lt;3))),1,0),IF(AND(O9+P9-Q9&gt;0,OR('Debt strategy'!$D$11&gt;'Debt strategy'!$D$12,AND('Debt strategy'!$D$11='Debt strategy'!$D$12,2&lt;3))),1,0),IF(AND(AA9+AB9-AC9&gt;0,OR('Debt strategy'!$D$13&gt;'Debt strategy'!$D$12,AND('Debt strategy'!$D$13='Debt strategy'!$D$12,4&lt;3))),1,0)))</x:f>
        <x:v>99</x:v>
      </x:c>
      <x:c r="Y9" s="6" t="n">
        <x:f>IF('Debt strategy'!$C$16&gt;0,0,MIN(U9+V9-W9,MAX(0,'Debt strategy'!$C$5-SUM(E9,K9,Q9,W9,AC9)-SUM(IF(F9&lt;X9,C9+D9-E9,0),IF(L9&lt;X9,I9+J9-K9,0),IF(R9&lt;X9,O9+P9-Q9,0),IF(AD9&lt;X9,AA9+AB9-AC9,0)))))</x:f>
        <x:v>0</x:v>
      </x:c>
      <x:c r="Z9" s="6" t="n">
        <x:f>ROUND(MAX(0,U9+V9-W9-Y9),2)</x:f>
        <x:v>0</x:v>
      </x:c>
      <x:c r="AA9" s="6" t="n">
        <x:f>'Debt strategy'!$C$13</x:f>
        <x:v>0</x:v>
      </x:c>
      <x:c r="AB9" s="6" t="n">
        <x:f>ROUND(AA9*'Debt strategy'!$D$13/12,2)</x:f>
        <x:v>0</x:v>
      </x:c>
      <x:c r="AC9" s="6" t="n">
        <x:f>MIN(AA9+AB9,'Debt strategy'!$E$13)</x:f>
        <x:v>0</x:v>
      </x:c>
      <x:c r="AD9" s="27" t="n">
        <x:f>IF(AA9+AB9-AC9&lt;=0,99,1+SUM(IF(AND(C9+D9-E9&gt;0,OR('Debt strategy'!$D$9&gt;'Debt strategy'!$D$13,AND('Debt strategy'!$D$9='Debt strategy'!$D$13,0&lt;4))),1,0),IF(AND(I9+J9-K9&gt;0,OR('Debt strategy'!$D$10&gt;'Debt strategy'!$D$13,AND('Debt strategy'!$D$10='Debt strategy'!$D$13,1&lt;4))),1,0),IF(AND(O9+P9-Q9&gt;0,OR('Debt strategy'!$D$11&gt;'Debt strategy'!$D$13,AND('Debt strategy'!$D$11='Debt strategy'!$D$13,2&lt;4))),1,0),IF(AND(U9+V9-W9&gt;0,OR('Debt strategy'!$D$12&gt;'Debt strategy'!$D$13,AND('Debt strategy'!$D$12='Debt strategy'!$D$13,3&lt;4))),1,0)))</x:f>
        <x:v>99</x:v>
      </x:c>
      <x:c r="AE9" s="6" t="n">
        <x:f>IF('Debt strategy'!$C$16&gt;0,0,MIN(AA9+AB9-AC9,MAX(0,'Debt strategy'!$C$5-SUM(E9,K9,Q9,W9,AC9)-SUM(IF(F9&lt;AD9,C9+D9-E9,0),IF(L9&lt;AD9,I9+J9-K9,0),IF(R9&lt;AD9,O9+P9-Q9,0),IF(X9&lt;AD9,U9+V9-W9,0)))))</x:f>
        <x:v>0</x:v>
      </x:c>
      <x:c r="AF9" s="6" t="n">
        <x:f>ROUND(MAX(0,AA9+AB9-AC9-AE9),2)</x:f>
        <x:v>0</x:v>
      </x:c>
      <x:c r="AG9" s="6" t="n">
        <x:f>SUM(H9,N9,T9,Z9,AF9)</x:f>
        <x:v>8797.5</x:v>
      </x:c>
      <x:c r="AH9" s="6" t="n">
        <x:f>SUM(D9,J9,P9,V9,AB9)</x:f>
        <x:v>97.5</x:v>
      </x:c>
      <x:c r="AI9" s="2"/>
    </x:row>
    <x:row r="10" ht="23" customHeight="1">
      <x:c r="B10" s="2" t="n">
        <x:f>2</x:f>
        <x:v>2</x:v>
      </x:c>
      <x:c r="C10" s="6" t="n">
        <x:f>H9</x:f>
        <x:v>3339.17</x:v>
      </x:c>
      <x:c r="D10" s="6" t="n">
        <x:f>ROUND(C10*'Debt strategy'!$D$9/12,2)</x:f>
        <x:v>61.22</x:v>
      </x:c>
      <x:c r="E10" s="6" t="n">
        <x:f>MIN(C10+D10,'Debt strategy'!$E$9)</x:f>
        <x:v>100</x:v>
      </x:c>
      <x:c r="F10" s="27" t="n">
        <x:f>IF(C10+D10-E10&lt;=0,99,1+SUM(IF(AND(I10+J10-K10&gt;0,OR('Debt strategy'!$D$10&gt;'Debt strategy'!$D$9,AND('Debt strategy'!$D$10='Debt strategy'!$D$9,1&lt;0))),1,0),IF(AND(O10+P10-Q10&gt;0,OR('Debt strategy'!$D$11&gt;'Debt strategy'!$D$9,AND('Debt strategy'!$D$11='Debt strategy'!$D$9,2&lt;0))),1,0),IF(AND(U10+V10-W10&gt;0,OR('Debt strategy'!$D$12&gt;'Debt strategy'!$D$9,AND('Debt strategy'!$D$12='Debt strategy'!$D$9,3&lt;0))),1,0),IF(AND(AA10+AB10-AC10&gt;0,OR('Debt strategy'!$D$13&gt;'Debt strategy'!$D$9,AND('Debt strategy'!$D$13='Debt strategy'!$D$9,4&lt;0))),1,0)))</x:f>
        <x:v>1</x:v>
      </x:c>
      <x:c r="G10" s="6" t="n">
        <x:f>IF('Debt strategy'!$C$16&gt;0,0,MIN(C10+D10-E10,MAX(0,'Debt strategy'!$C$5-SUM(E10,K10,Q10,W10,AC10)-SUM(IF(L10&lt;F10,I10+J10-K10,0),IF(R10&lt;F10,O10+P10-Q10,0),IF(X10&lt;F10,U10+V10-W10,0),IF(AD10&lt;F10,AA10+AB10-AC10,0)))))</x:f>
        <x:v>125</x:v>
      </x:c>
      <x:c r="H10" s="6" t="n">
        <x:f>ROUND(MAX(0,C10+D10-E10-G10),2)</x:f>
        <x:v>3175.39</x:v>
      </x:c>
      <x:c r="I10" s="6" t="n">
        <x:f>N9</x:f>
        <x:v>4883.33</x:v>
      </x:c>
      <x:c r="J10" s="6" t="n">
        <x:f>ROUND(I10*'Debt strategy'!$D$10/12,2)</x:f>
        <x:v>32.56</x:v>
      </x:c>
      <x:c r="K10" s="6" t="n">
        <x:f>MIN(I10+J10,'Debt strategy'!$E$10)</x:f>
        <x:v>150</x:v>
      </x:c>
      <x:c r="L10" s="27" t="n">
        <x:f>IF(I10+J10-K10&lt;=0,99,1+SUM(IF(AND(C10+D10-E10&gt;0,OR('Debt strategy'!$D$9&gt;'Debt strategy'!$D$10,AND('Debt strategy'!$D$9='Debt strategy'!$D$10,0&lt;1))),1,0),IF(AND(O10+P10-Q10&gt;0,OR('Debt strategy'!$D$11&gt;'Debt strategy'!$D$10,AND('Debt strategy'!$D$11='Debt strategy'!$D$10,2&lt;1))),1,0),IF(AND(U10+V10-W10&gt;0,OR('Debt strategy'!$D$12&gt;'Debt strategy'!$D$10,AND('Debt strategy'!$D$12='Debt strategy'!$D$10,3&lt;1))),1,0),IF(AND(AA10+AB10-AC10&gt;0,OR('Debt strategy'!$D$13&gt;'Debt strategy'!$D$10,AND('Debt strategy'!$D$13='Debt strategy'!$D$10,4&lt;1))),1,0)))</x:f>
        <x:v>2</x:v>
      </x:c>
      <x:c r="M10" s="6" t="n">
        <x:f>IF('Debt strategy'!$C$16&gt;0,0,MIN(I10+J10-K10,MAX(0,'Debt strategy'!$C$5-SUM(E10,K10,Q10,W10,AC10)-SUM(IF(F10&lt;L10,C10+D10-E10,0),IF(R10&lt;L10,O10+P10-Q10,0),IF(X10&lt;L10,U10+V10-W10,0),IF(AD10&lt;L10,AA10+AB10-AC10,0)))))</x:f>
        <x:v>0</x:v>
      </x:c>
      <x:c r="N10" s="6" t="n">
        <x:f>ROUND(MAX(0,I10+J10-K10-M10),2)</x:f>
        <x:v>4765.89</x:v>
      </x:c>
      <x:c r="O10" s="6" t="n">
        <x:f>T9</x:f>
        <x:v>575</x:v>
      </x:c>
      <x:c r="P10" s="6" t="n">
        <x:f>ROUND(O10*'Debt strategy'!$D$11/12,2)</x:f>
        <x:v>0</x:v>
      </x:c>
      <x:c r="Q10" s="6" t="n">
        <x:f>MIN(O10+P10,'Debt strategy'!$E$11)</x:f>
        <x:v>25</x:v>
      </x:c>
      <x:c r="R10" s="27" t="n">
        <x:f>IF(O10+P10-Q10&lt;=0,99,1+SUM(IF(AND(C10+D10-E10&gt;0,OR('Debt strategy'!$D$9&gt;'Debt strategy'!$D$11,AND('Debt strategy'!$D$9='Debt strategy'!$D$11,0&lt;2))),1,0),IF(AND(I10+J10-K10&gt;0,OR('Debt strategy'!$D$10&gt;'Debt strategy'!$D$11,AND('Debt strategy'!$D$10='Debt strategy'!$D$11,1&lt;2))),1,0),IF(AND(U10+V10-W10&gt;0,OR('Debt strategy'!$D$12&gt;'Debt strategy'!$D$11,AND('Debt strategy'!$D$12='Debt strategy'!$D$11,3&lt;2))),1,0),IF(AND(AA10+AB10-AC10&gt;0,OR('Debt strategy'!$D$13&gt;'Debt strategy'!$D$11,AND('Debt strategy'!$D$13='Debt strategy'!$D$11,4&lt;2))),1,0)))</x:f>
        <x:v>3</x:v>
      </x:c>
      <x:c r="S10" s="6" t="n">
        <x:f>IF('Debt strategy'!$C$16&gt;0,0,MIN(O10+P10-Q10,MAX(0,'Debt strategy'!$C$5-SUM(E10,K10,Q10,W10,AC10)-SUM(IF(F10&lt;R10,C10+D10-E10,0),IF(L10&lt;R10,I10+J10-K10,0),IF(X10&lt;R10,U10+V10-W10,0),IF(AD10&lt;R10,AA10+AB10-AC10,0)))))</x:f>
        <x:v>0</x:v>
      </x:c>
      <x:c r="T10" s="6" t="n">
        <x:f>ROUND(MAX(0,O10+P10-Q10-S10),2)</x:f>
        <x:v>550</x:v>
      </x:c>
      <x:c r="U10" s="6" t="n">
        <x:f>Z9</x:f>
        <x:v>0</x:v>
      </x:c>
      <x:c r="V10" s="6" t="n">
        <x:f>ROUND(U10*'Debt strategy'!$D$12/12,2)</x:f>
        <x:v>0</x:v>
      </x:c>
      <x:c r="W10" s="6" t="n">
        <x:f>MIN(U10+V10,'Debt strategy'!$E$12)</x:f>
        <x:v>0</x:v>
      </x:c>
      <x:c r="X10" s="27" t="n">
        <x:f>IF(U10+V10-W10&lt;=0,99,1+SUM(IF(AND(C10+D10-E10&gt;0,OR('Debt strategy'!$D$9&gt;'Debt strategy'!$D$12,AND('Debt strategy'!$D$9='Debt strategy'!$D$12,0&lt;3))),1,0),IF(AND(I10+J10-K10&gt;0,OR('Debt strategy'!$D$10&gt;'Debt strategy'!$D$12,AND('Debt strategy'!$D$10='Debt strategy'!$D$12,1&lt;3))),1,0),IF(AND(O10+P10-Q10&gt;0,OR('Debt strategy'!$D$11&gt;'Debt strategy'!$D$12,AND('Debt strategy'!$D$11='Debt strategy'!$D$12,2&lt;3))),1,0),IF(AND(AA10+AB10-AC10&gt;0,OR('Debt strategy'!$D$13&gt;'Debt strategy'!$D$12,AND('Debt strategy'!$D$13='Debt strategy'!$D$12,4&lt;3))),1,0)))</x:f>
        <x:v>99</x:v>
      </x:c>
      <x:c r="Y10" s="6" t="n">
        <x:f>IF('Debt strategy'!$C$16&gt;0,0,MIN(U10+V10-W10,MAX(0,'Debt strategy'!$C$5-SUM(E10,K10,Q10,W10,AC10)-SUM(IF(F10&lt;X10,C10+D10-E10,0),IF(L10&lt;X10,I10+J10-K10,0),IF(R10&lt;X10,O10+P10-Q10,0),IF(AD10&lt;X10,AA10+AB10-AC10,0)))))</x:f>
        <x:v>0</x:v>
      </x:c>
      <x:c r="Z10" s="6" t="n">
        <x:f>ROUND(MAX(0,U10+V10-W10-Y10),2)</x:f>
        <x:v>0</x:v>
      </x:c>
      <x:c r="AA10" s="6" t="n">
        <x:f>AF9</x:f>
        <x:v>0</x:v>
      </x:c>
      <x:c r="AB10" s="6" t="n">
        <x:f>ROUND(AA10*'Debt strategy'!$D$13/12,2)</x:f>
        <x:v>0</x:v>
      </x:c>
      <x:c r="AC10" s="6" t="n">
        <x:f>MIN(AA10+AB10,'Debt strategy'!$E$13)</x:f>
        <x:v>0</x:v>
      </x:c>
      <x:c r="AD10" s="27" t="n">
        <x:f>IF(AA10+AB10-AC10&lt;=0,99,1+SUM(IF(AND(C10+D10-E10&gt;0,OR('Debt strategy'!$D$9&gt;'Debt strategy'!$D$13,AND('Debt strategy'!$D$9='Debt strategy'!$D$13,0&lt;4))),1,0),IF(AND(I10+J10-K10&gt;0,OR('Debt strategy'!$D$10&gt;'Debt strategy'!$D$13,AND('Debt strategy'!$D$10='Debt strategy'!$D$13,1&lt;4))),1,0),IF(AND(O10+P10-Q10&gt;0,OR('Debt strategy'!$D$11&gt;'Debt strategy'!$D$13,AND('Debt strategy'!$D$11='Debt strategy'!$D$13,2&lt;4))),1,0),IF(AND(U10+V10-W10&gt;0,OR('Debt strategy'!$D$12&gt;'Debt strategy'!$D$13,AND('Debt strategy'!$D$12='Debt strategy'!$D$13,3&lt;4))),1,0)))</x:f>
        <x:v>99</x:v>
      </x:c>
      <x:c r="AE10" s="6" t="n">
        <x:f>IF('Debt strategy'!$C$16&gt;0,0,MIN(AA10+AB10-AC10,MAX(0,'Debt strategy'!$C$5-SUM(E10,K10,Q10,W10,AC10)-SUM(IF(F10&lt;AD10,C10+D10-E10,0),IF(L10&lt;AD10,I10+J10-K10,0),IF(R10&lt;AD10,O10+P10-Q10,0),IF(X10&lt;AD10,U10+V10-W10,0)))))</x:f>
        <x:v>0</x:v>
      </x:c>
      <x:c r="AF10" s="6" t="n">
        <x:f>ROUND(MAX(0,AA10+AB10-AC10-AE10),2)</x:f>
        <x:v>0</x:v>
      </x:c>
      <x:c r="AG10" s="6" t="n">
        <x:f>SUM(H10,N10,T10,Z10,AF10)</x:f>
        <x:v>8491.28</x:v>
      </x:c>
      <x:c r="AH10" s="6" t="n">
        <x:f>SUM(D10,J10,P10,V10,AB10)+AH9</x:f>
        <x:v>191.28</x:v>
      </x:c>
      <x:c r="AI10" s="2"/>
    </x:row>
    <x:row r="11" ht="23" customHeight="1">
      <x:c r="B11" s="2" t="n">
        <x:f>3</x:f>
        <x:v>3</x:v>
      </x:c>
      <x:c r="C11" s="6" t="n">
        <x:f>H10</x:f>
        <x:v>3175.39</x:v>
      </x:c>
      <x:c r="D11" s="6" t="n">
        <x:f>ROUND(C11*'Debt strategy'!$D$9/12,2)</x:f>
        <x:v>58.22</x:v>
      </x:c>
      <x:c r="E11" s="6" t="n">
        <x:f>MIN(C11+D11,'Debt strategy'!$E$9)</x:f>
        <x:v>100</x:v>
      </x:c>
      <x:c r="F11" s="27" t="n">
        <x:f>IF(C11+D11-E11&lt;=0,99,1+SUM(IF(AND(I11+J11-K11&gt;0,OR('Debt strategy'!$D$10&gt;'Debt strategy'!$D$9,AND('Debt strategy'!$D$10='Debt strategy'!$D$9,1&lt;0))),1,0),IF(AND(O11+P11-Q11&gt;0,OR('Debt strategy'!$D$11&gt;'Debt strategy'!$D$9,AND('Debt strategy'!$D$11='Debt strategy'!$D$9,2&lt;0))),1,0),IF(AND(U11+V11-W11&gt;0,OR('Debt strategy'!$D$12&gt;'Debt strategy'!$D$9,AND('Debt strategy'!$D$12='Debt strategy'!$D$9,3&lt;0))),1,0),IF(AND(AA11+AB11-AC11&gt;0,OR('Debt strategy'!$D$13&gt;'Debt strategy'!$D$9,AND('Debt strategy'!$D$13='Debt strategy'!$D$9,4&lt;0))),1,0)))</x:f>
        <x:v>1</x:v>
      </x:c>
      <x:c r="G11" s="6" t="n">
        <x:f>IF('Debt strategy'!$C$16&gt;0,0,MIN(C11+D11-E11,MAX(0,'Debt strategy'!$C$5-SUM(E11,K11,Q11,W11,AC11)-SUM(IF(L11&lt;F11,I11+J11-K11,0),IF(R11&lt;F11,O11+P11-Q11,0),IF(X11&lt;F11,U11+V11-W11,0),IF(AD11&lt;F11,AA11+AB11-AC11,0)))))</x:f>
        <x:v>125</x:v>
      </x:c>
      <x:c r="H11" s="6" t="n">
        <x:f>ROUND(MAX(0,C11+D11-E11-G11),2)</x:f>
        <x:v>3008.61</x:v>
      </x:c>
      <x:c r="I11" s="6" t="n">
        <x:f>N10</x:f>
        <x:v>4765.89</x:v>
      </x:c>
      <x:c r="J11" s="6" t="n">
        <x:f>ROUND(I11*'Debt strategy'!$D$10/12,2)</x:f>
        <x:v>31.77</x:v>
      </x:c>
      <x:c r="K11" s="6" t="n">
        <x:f>MIN(I11+J11,'Debt strategy'!$E$10)</x:f>
        <x:v>150</x:v>
      </x:c>
      <x:c r="L11" s="27" t="n">
        <x:f>IF(I11+J11-K11&lt;=0,99,1+SUM(IF(AND(C11+D11-E11&gt;0,OR('Debt strategy'!$D$9&gt;'Debt strategy'!$D$10,AND('Debt strategy'!$D$9='Debt strategy'!$D$10,0&lt;1))),1,0),IF(AND(O11+P11-Q11&gt;0,OR('Debt strategy'!$D$11&gt;'Debt strategy'!$D$10,AND('Debt strategy'!$D$11='Debt strategy'!$D$10,2&lt;1))),1,0),IF(AND(U11+V11-W11&gt;0,OR('Debt strategy'!$D$12&gt;'Debt strategy'!$D$10,AND('Debt strategy'!$D$12='Debt strategy'!$D$10,3&lt;1))),1,0),IF(AND(AA11+AB11-AC11&gt;0,OR('Debt strategy'!$D$13&gt;'Debt strategy'!$D$10,AND('Debt strategy'!$D$13='Debt strategy'!$D$10,4&lt;1))),1,0)))</x:f>
        <x:v>2</x:v>
      </x:c>
      <x:c r="M11" s="6" t="n">
        <x:f>IF('Debt strategy'!$C$16&gt;0,0,MIN(I11+J11-K11,MAX(0,'Debt strategy'!$C$5-SUM(E11,K11,Q11,W11,AC11)-SUM(IF(F11&lt;L11,C11+D11-E11,0),IF(R11&lt;L11,O11+P11-Q11,0),IF(X11&lt;L11,U11+V11-W11,0),IF(AD11&lt;L11,AA11+AB11-AC11,0)))))</x:f>
        <x:v>0</x:v>
      </x:c>
      <x:c r="N11" s="6" t="n">
        <x:f>ROUND(MAX(0,I11+J11-K11-M11),2)</x:f>
        <x:v>4647.66</x:v>
      </x:c>
      <x:c r="O11" s="6" t="n">
        <x:f>T10</x:f>
        <x:v>550</x:v>
      </x:c>
      <x:c r="P11" s="6" t="n">
        <x:f>ROUND(O11*'Debt strategy'!$D$11/12,2)</x:f>
        <x:v>0</x:v>
      </x:c>
      <x:c r="Q11" s="6" t="n">
        <x:f>MIN(O11+P11,'Debt strategy'!$E$11)</x:f>
        <x:v>25</x:v>
      </x:c>
      <x:c r="R11" s="27" t="n">
        <x:f>IF(O11+P11-Q11&lt;=0,99,1+SUM(IF(AND(C11+D11-E11&gt;0,OR('Debt strategy'!$D$9&gt;'Debt strategy'!$D$11,AND('Debt strategy'!$D$9='Debt strategy'!$D$11,0&lt;2))),1,0),IF(AND(I11+J11-K11&gt;0,OR('Debt strategy'!$D$10&gt;'Debt strategy'!$D$11,AND('Debt strategy'!$D$10='Debt strategy'!$D$11,1&lt;2))),1,0),IF(AND(U11+V11-W11&gt;0,OR('Debt strategy'!$D$12&gt;'Debt strategy'!$D$11,AND('Debt strategy'!$D$12='Debt strategy'!$D$11,3&lt;2))),1,0),IF(AND(AA11+AB11-AC11&gt;0,OR('Debt strategy'!$D$13&gt;'Debt strategy'!$D$11,AND('Debt strategy'!$D$13='Debt strategy'!$D$11,4&lt;2))),1,0)))</x:f>
        <x:v>3</x:v>
      </x:c>
      <x:c r="S11" s="6" t="n">
        <x:f>IF('Debt strategy'!$C$16&gt;0,0,MIN(O11+P11-Q11,MAX(0,'Debt strategy'!$C$5-SUM(E11,K11,Q11,W11,AC11)-SUM(IF(F11&lt;R11,C11+D11-E11,0),IF(L11&lt;R11,I11+J11-K11,0),IF(X11&lt;R11,U11+V11-W11,0),IF(AD11&lt;R11,AA11+AB11-AC11,0)))))</x:f>
        <x:v>0</x:v>
      </x:c>
      <x:c r="T11" s="6" t="n">
        <x:f>ROUND(MAX(0,O11+P11-Q11-S11),2)</x:f>
        <x:v>525</x:v>
      </x:c>
      <x:c r="U11" s="6" t="n">
        <x:f>Z10</x:f>
        <x:v>0</x:v>
      </x:c>
      <x:c r="V11" s="6" t="n">
        <x:f>ROUND(U11*'Debt strategy'!$D$12/12,2)</x:f>
        <x:v>0</x:v>
      </x:c>
      <x:c r="W11" s="6" t="n">
        <x:f>MIN(U11+V11,'Debt strategy'!$E$12)</x:f>
        <x:v>0</x:v>
      </x:c>
      <x:c r="X11" s="27" t="n">
        <x:f>IF(U11+V11-W11&lt;=0,99,1+SUM(IF(AND(C11+D11-E11&gt;0,OR('Debt strategy'!$D$9&gt;'Debt strategy'!$D$12,AND('Debt strategy'!$D$9='Debt strategy'!$D$12,0&lt;3))),1,0),IF(AND(I11+J11-K11&gt;0,OR('Debt strategy'!$D$10&gt;'Debt strategy'!$D$12,AND('Debt strategy'!$D$10='Debt strategy'!$D$12,1&lt;3))),1,0),IF(AND(O11+P11-Q11&gt;0,OR('Debt strategy'!$D$11&gt;'Debt strategy'!$D$12,AND('Debt strategy'!$D$11='Debt strategy'!$D$12,2&lt;3))),1,0),IF(AND(AA11+AB11-AC11&gt;0,OR('Debt strategy'!$D$13&gt;'Debt strategy'!$D$12,AND('Debt strategy'!$D$13='Debt strategy'!$D$12,4&lt;3))),1,0)))</x:f>
        <x:v>99</x:v>
      </x:c>
      <x:c r="Y11" s="6" t="n">
        <x:f>IF('Debt strategy'!$C$16&gt;0,0,MIN(U11+V11-W11,MAX(0,'Debt strategy'!$C$5-SUM(E11,K11,Q11,W11,AC11)-SUM(IF(F11&lt;X11,C11+D11-E11,0),IF(L11&lt;X11,I11+J11-K11,0),IF(R11&lt;X11,O11+P11-Q11,0),IF(AD11&lt;X11,AA11+AB11-AC11,0)))))</x:f>
        <x:v>0</x:v>
      </x:c>
      <x:c r="Z11" s="6" t="n">
        <x:f>ROUND(MAX(0,U11+V11-W11-Y11),2)</x:f>
        <x:v>0</x:v>
      </x:c>
      <x:c r="AA11" s="6" t="n">
        <x:f>AF10</x:f>
        <x:v>0</x:v>
      </x:c>
      <x:c r="AB11" s="6" t="n">
        <x:f>ROUND(AA11*'Debt strategy'!$D$13/12,2)</x:f>
        <x:v>0</x:v>
      </x:c>
      <x:c r="AC11" s="6" t="n">
        <x:f>MIN(AA11+AB11,'Debt strategy'!$E$13)</x:f>
        <x:v>0</x:v>
      </x:c>
      <x:c r="AD11" s="27" t="n">
        <x:f>IF(AA11+AB11-AC11&lt;=0,99,1+SUM(IF(AND(C11+D11-E11&gt;0,OR('Debt strategy'!$D$9&gt;'Debt strategy'!$D$13,AND('Debt strategy'!$D$9='Debt strategy'!$D$13,0&lt;4))),1,0),IF(AND(I11+J11-K11&gt;0,OR('Debt strategy'!$D$10&gt;'Debt strategy'!$D$13,AND('Debt strategy'!$D$10='Debt strategy'!$D$13,1&lt;4))),1,0),IF(AND(O11+P11-Q11&gt;0,OR('Debt strategy'!$D$11&gt;'Debt strategy'!$D$13,AND('Debt strategy'!$D$11='Debt strategy'!$D$13,2&lt;4))),1,0),IF(AND(U11+V11-W11&gt;0,OR('Debt strategy'!$D$12&gt;'Debt strategy'!$D$13,AND('Debt strategy'!$D$12='Debt strategy'!$D$13,3&lt;4))),1,0)))</x:f>
        <x:v>99</x:v>
      </x:c>
      <x:c r="AE11" s="6" t="n">
        <x:f>IF('Debt strategy'!$C$16&gt;0,0,MIN(AA11+AB11-AC11,MAX(0,'Debt strategy'!$C$5-SUM(E11,K11,Q11,W11,AC11)-SUM(IF(F11&lt;AD11,C11+D11-E11,0),IF(L11&lt;AD11,I11+J11-K11,0),IF(R11&lt;AD11,O11+P11-Q11,0),IF(X11&lt;AD11,U11+V11-W11,0)))))</x:f>
        <x:v>0</x:v>
      </x:c>
      <x:c r="AF11" s="6" t="n">
        <x:f>ROUND(MAX(0,AA11+AB11-AC11-AE11),2)</x:f>
        <x:v>0</x:v>
      </x:c>
      <x:c r="AG11" s="6" t="n">
        <x:f>SUM(H11,N11,T11,Z11,AF11)</x:f>
        <x:v>8181.27</x:v>
      </x:c>
      <x:c r="AH11" s="6" t="n">
        <x:f>SUM(D11,J11,P11,V11,AB11)+AH10</x:f>
        <x:v>281.27</x:v>
      </x:c>
      <x:c r="AI11" s="2"/>
    </x:row>
    <x:row r="12" ht="23" customHeight="1">
      <x:c r="B12" s="2" t="n">
        <x:f>4</x:f>
        <x:v>4</x:v>
      </x:c>
      <x:c r="C12" s="6" t="n">
        <x:f>H11</x:f>
        <x:v>3008.61</x:v>
      </x:c>
      <x:c r="D12" s="6" t="n">
        <x:f>ROUND(C12*'Debt strategy'!$D$9/12,2)</x:f>
        <x:v>55.16</x:v>
      </x:c>
      <x:c r="E12" s="6" t="n">
        <x:f>MIN(C12+D12,'Debt strategy'!$E$9)</x:f>
        <x:v>100</x:v>
      </x:c>
      <x:c r="F12" s="27" t="n">
        <x:f>IF(C12+D12-E12&lt;=0,99,1+SUM(IF(AND(I12+J12-K12&gt;0,OR('Debt strategy'!$D$10&gt;'Debt strategy'!$D$9,AND('Debt strategy'!$D$10='Debt strategy'!$D$9,1&lt;0))),1,0),IF(AND(O12+P12-Q12&gt;0,OR('Debt strategy'!$D$11&gt;'Debt strategy'!$D$9,AND('Debt strategy'!$D$11='Debt strategy'!$D$9,2&lt;0))),1,0),IF(AND(U12+V12-W12&gt;0,OR('Debt strategy'!$D$12&gt;'Debt strategy'!$D$9,AND('Debt strategy'!$D$12='Debt strategy'!$D$9,3&lt;0))),1,0),IF(AND(AA12+AB12-AC12&gt;0,OR('Debt strategy'!$D$13&gt;'Debt strategy'!$D$9,AND('Debt strategy'!$D$13='Debt strategy'!$D$9,4&lt;0))),1,0)))</x:f>
        <x:v>1</x:v>
      </x:c>
      <x:c r="G12" s="6" t="n">
        <x:f>IF('Debt strategy'!$C$16&gt;0,0,MIN(C12+D12-E12,MAX(0,'Debt strategy'!$C$5-SUM(E12,K12,Q12,W12,AC12)-SUM(IF(L12&lt;F12,I12+J12-K12,0),IF(R12&lt;F12,O12+P12-Q12,0),IF(X12&lt;F12,U12+V12-W12,0),IF(AD12&lt;F12,AA12+AB12-AC12,0)))))</x:f>
        <x:v>125</x:v>
      </x:c>
      <x:c r="H12" s="6" t="n">
        <x:f>ROUND(MAX(0,C12+D12-E12-G12),2)</x:f>
        <x:v>2838.77</x:v>
      </x:c>
      <x:c r="I12" s="6" t="n">
        <x:f>N11</x:f>
        <x:v>4647.66</x:v>
      </x:c>
      <x:c r="J12" s="6" t="n">
        <x:f>ROUND(I12*'Debt strategy'!$D$10/12,2)</x:f>
        <x:v>30.98</x:v>
      </x:c>
      <x:c r="K12" s="6" t="n">
        <x:f>MIN(I12+J12,'Debt strategy'!$E$10)</x:f>
        <x:v>150</x:v>
      </x:c>
      <x:c r="L12" s="27" t="n">
        <x:f>IF(I12+J12-K12&lt;=0,99,1+SUM(IF(AND(C12+D12-E12&gt;0,OR('Debt strategy'!$D$9&gt;'Debt strategy'!$D$10,AND('Debt strategy'!$D$9='Debt strategy'!$D$10,0&lt;1))),1,0),IF(AND(O12+P12-Q12&gt;0,OR('Debt strategy'!$D$11&gt;'Debt strategy'!$D$10,AND('Debt strategy'!$D$11='Debt strategy'!$D$10,2&lt;1))),1,0),IF(AND(U12+V12-W12&gt;0,OR('Debt strategy'!$D$12&gt;'Debt strategy'!$D$10,AND('Debt strategy'!$D$12='Debt strategy'!$D$10,3&lt;1))),1,0),IF(AND(AA12+AB12-AC12&gt;0,OR('Debt strategy'!$D$13&gt;'Debt strategy'!$D$10,AND('Debt strategy'!$D$13='Debt strategy'!$D$10,4&lt;1))),1,0)))</x:f>
        <x:v>2</x:v>
      </x:c>
      <x:c r="M12" s="6" t="n">
        <x:f>IF('Debt strategy'!$C$16&gt;0,0,MIN(I12+J12-K12,MAX(0,'Debt strategy'!$C$5-SUM(E12,K12,Q12,W12,AC12)-SUM(IF(F12&lt;L12,C12+D12-E12,0),IF(R12&lt;L12,O12+P12-Q12,0),IF(X12&lt;L12,U12+V12-W12,0),IF(AD12&lt;L12,AA12+AB12-AC12,0)))))</x:f>
        <x:v>0</x:v>
      </x:c>
      <x:c r="N12" s="6" t="n">
        <x:f>ROUND(MAX(0,I12+J12-K12-M12),2)</x:f>
        <x:v>4528.64</x:v>
      </x:c>
      <x:c r="O12" s="6" t="n">
        <x:f>T11</x:f>
        <x:v>525</x:v>
      </x:c>
      <x:c r="P12" s="6" t="n">
        <x:f>ROUND(O12*'Debt strategy'!$D$11/12,2)</x:f>
        <x:v>0</x:v>
      </x:c>
      <x:c r="Q12" s="6" t="n">
        <x:f>MIN(O12+P12,'Debt strategy'!$E$11)</x:f>
        <x:v>25</x:v>
      </x:c>
      <x:c r="R12" s="27" t="n">
        <x:f>IF(O12+P12-Q12&lt;=0,99,1+SUM(IF(AND(C12+D12-E12&gt;0,OR('Debt strategy'!$D$9&gt;'Debt strategy'!$D$11,AND('Debt strategy'!$D$9='Debt strategy'!$D$11,0&lt;2))),1,0),IF(AND(I12+J12-K12&gt;0,OR('Debt strategy'!$D$10&gt;'Debt strategy'!$D$11,AND('Debt strategy'!$D$10='Debt strategy'!$D$11,1&lt;2))),1,0),IF(AND(U12+V12-W12&gt;0,OR('Debt strategy'!$D$12&gt;'Debt strategy'!$D$11,AND('Debt strategy'!$D$12='Debt strategy'!$D$11,3&lt;2))),1,0),IF(AND(AA12+AB12-AC12&gt;0,OR('Debt strategy'!$D$13&gt;'Debt strategy'!$D$11,AND('Debt strategy'!$D$13='Debt strategy'!$D$11,4&lt;2))),1,0)))</x:f>
        <x:v>3</x:v>
      </x:c>
      <x:c r="S12" s="6" t="n">
        <x:f>IF('Debt strategy'!$C$16&gt;0,0,MIN(O12+P12-Q12,MAX(0,'Debt strategy'!$C$5-SUM(E12,K12,Q12,W12,AC12)-SUM(IF(F12&lt;R12,C12+D12-E12,0),IF(L12&lt;R12,I12+J12-K12,0),IF(X12&lt;R12,U12+V12-W12,0),IF(AD12&lt;R12,AA12+AB12-AC12,0)))))</x:f>
        <x:v>0</x:v>
      </x:c>
      <x:c r="T12" s="6" t="n">
        <x:f>ROUND(MAX(0,O12+P12-Q12-S12),2)</x:f>
        <x:v>500</x:v>
      </x:c>
      <x:c r="U12" s="6" t="n">
        <x:f>Z11</x:f>
        <x:v>0</x:v>
      </x:c>
      <x:c r="V12" s="6" t="n">
        <x:f>ROUND(U12*'Debt strategy'!$D$12/12,2)</x:f>
        <x:v>0</x:v>
      </x:c>
      <x:c r="W12" s="6" t="n">
        <x:f>MIN(U12+V12,'Debt strategy'!$E$12)</x:f>
        <x:v>0</x:v>
      </x:c>
      <x:c r="X12" s="27" t="n">
        <x:f>IF(U12+V12-W12&lt;=0,99,1+SUM(IF(AND(C12+D12-E12&gt;0,OR('Debt strategy'!$D$9&gt;'Debt strategy'!$D$12,AND('Debt strategy'!$D$9='Debt strategy'!$D$12,0&lt;3))),1,0),IF(AND(I12+J12-K12&gt;0,OR('Debt strategy'!$D$10&gt;'Debt strategy'!$D$12,AND('Debt strategy'!$D$10='Debt strategy'!$D$12,1&lt;3))),1,0),IF(AND(O12+P12-Q12&gt;0,OR('Debt strategy'!$D$11&gt;'Debt strategy'!$D$12,AND('Debt strategy'!$D$11='Debt strategy'!$D$12,2&lt;3))),1,0),IF(AND(AA12+AB12-AC12&gt;0,OR('Debt strategy'!$D$13&gt;'Debt strategy'!$D$12,AND('Debt strategy'!$D$13='Debt strategy'!$D$12,4&lt;3))),1,0)))</x:f>
        <x:v>99</x:v>
      </x:c>
      <x:c r="Y12" s="6" t="n">
        <x:f>IF('Debt strategy'!$C$16&gt;0,0,MIN(U12+V12-W12,MAX(0,'Debt strategy'!$C$5-SUM(E12,K12,Q12,W12,AC12)-SUM(IF(F12&lt;X12,C12+D12-E12,0),IF(L12&lt;X12,I12+J12-K12,0),IF(R12&lt;X12,O12+P12-Q12,0),IF(AD12&lt;X12,AA12+AB12-AC12,0)))))</x:f>
        <x:v>0</x:v>
      </x:c>
      <x:c r="Z12" s="6" t="n">
        <x:f>ROUND(MAX(0,U12+V12-W12-Y12),2)</x:f>
        <x:v>0</x:v>
      </x:c>
      <x:c r="AA12" s="6" t="n">
        <x:f>AF11</x:f>
        <x:v>0</x:v>
      </x:c>
      <x:c r="AB12" s="6" t="n">
        <x:f>ROUND(AA12*'Debt strategy'!$D$13/12,2)</x:f>
        <x:v>0</x:v>
      </x:c>
      <x:c r="AC12" s="6" t="n">
        <x:f>MIN(AA12+AB12,'Debt strategy'!$E$13)</x:f>
        <x:v>0</x:v>
      </x:c>
      <x:c r="AD12" s="27" t="n">
        <x:f>IF(AA12+AB12-AC12&lt;=0,99,1+SUM(IF(AND(C12+D12-E12&gt;0,OR('Debt strategy'!$D$9&gt;'Debt strategy'!$D$13,AND('Debt strategy'!$D$9='Debt strategy'!$D$13,0&lt;4))),1,0),IF(AND(I12+J12-K12&gt;0,OR('Debt strategy'!$D$10&gt;'Debt strategy'!$D$13,AND('Debt strategy'!$D$10='Debt strategy'!$D$13,1&lt;4))),1,0),IF(AND(O12+P12-Q12&gt;0,OR('Debt strategy'!$D$11&gt;'Debt strategy'!$D$13,AND('Debt strategy'!$D$11='Debt strategy'!$D$13,2&lt;4))),1,0),IF(AND(U12+V12-W12&gt;0,OR('Debt strategy'!$D$12&gt;'Debt strategy'!$D$13,AND('Debt strategy'!$D$12='Debt strategy'!$D$13,3&lt;4))),1,0)))</x:f>
        <x:v>99</x:v>
      </x:c>
      <x:c r="AE12" s="6" t="n">
        <x:f>IF('Debt strategy'!$C$16&gt;0,0,MIN(AA12+AB12-AC12,MAX(0,'Debt strategy'!$C$5-SUM(E12,K12,Q12,W12,AC12)-SUM(IF(F12&lt;AD12,C12+D12-E12,0),IF(L12&lt;AD12,I12+J12-K12,0),IF(R12&lt;AD12,O12+P12-Q12,0),IF(X12&lt;AD12,U12+V12-W12,0)))))</x:f>
        <x:v>0</x:v>
      </x:c>
      <x:c r="AF12" s="6" t="n">
        <x:f>ROUND(MAX(0,AA12+AB12-AC12-AE12),2)</x:f>
        <x:v>0</x:v>
      </x:c>
      <x:c r="AG12" s="6" t="n">
        <x:f>SUM(H12,N12,T12,Z12,AF12)</x:f>
        <x:v>7867.41</x:v>
      </x:c>
      <x:c r="AH12" s="6" t="n">
        <x:f>SUM(D12,J12,P12,V12,AB12)+AH11</x:f>
        <x:v>367.40999999999997</x:v>
      </x:c>
      <x:c r="AI12" s="2"/>
    </x:row>
    <x:row r="13" ht="23" customHeight="1">
      <x:c r="B13" s="2" t="n">
        <x:f>5</x:f>
        <x:v>5</x:v>
      </x:c>
      <x:c r="C13" s="6" t="n">
        <x:f>H12</x:f>
        <x:v>2838.77</x:v>
      </x:c>
      <x:c r="D13" s="6" t="n">
        <x:f>ROUND(C13*'Debt strategy'!$D$9/12,2)</x:f>
        <x:v>52.04</x:v>
      </x:c>
      <x:c r="E13" s="6" t="n">
        <x:f>MIN(C13+D13,'Debt strategy'!$E$9)</x:f>
        <x:v>100</x:v>
      </x:c>
      <x:c r="F13" s="27" t="n">
        <x:f>IF(C13+D13-E13&lt;=0,99,1+SUM(IF(AND(I13+J13-K13&gt;0,OR('Debt strategy'!$D$10&gt;'Debt strategy'!$D$9,AND('Debt strategy'!$D$10='Debt strategy'!$D$9,1&lt;0))),1,0),IF(AND(O13+P13-Q13&gt;0,OR('Debt strategy'!$D$11&gt;'Debt strategy'!$D$9,AND('Debt strategy'!$D$11='Debt strategy'!$D$9,2&lt;0))),1,0),IF(AND(U13+V13-W13&gt;0,OR('Debt strategy'!$D$12&gt;'Debt strategy'!$D$9,AND('Debt strategy'!$D$12='Debt strategy'!$D$9,3&lt;0))),1,0),IF(AND(AA13+AB13-AC13&gt;0,OR('Debt strategy'!$D$13&gt;'Debt strategy'!$D$9,AND('Debt strategy'!$D$13='Debt strategy'!$D$9,4&lt;0))),1,0)))</x:f>
        <x:v>1</x:v>
      </x:c>
      <x:c r="G13" s="6" t="n">
        <x:f>IF('Debt strategy'!$C$16&gt;0,0,MIN(C13+D13-E13,MAX(0,'Debt strategy'!$C$5-SUM(E13,K13,Q13,W13,AC13)-SUM(IF(L13&lt;F13,I13+J13-K13,0),IF(R13&lt;F13,O13+P13-Q13,0),IF(X13&lt;F13,U13+V13-W13,0),IF(AD13&lt;F13,AA13+AB13-AC13,0)))))</x:f>
        <x:v>125</x:v>
      </x:c>
      <x:c r="H13" s="6" t="n">
        <x:f>ROUND(MAX(0,C13+D13-E13-G13),2)</x:f>
        <x:v>2665.81</x:v>
      </x:c>
      <x:c r="I13" s="6" t="n">
        <x:f>N12</x:f>
        <x:v>4528.64</x:v>
      </x:c>
      <x:c r="J13" s="6" t="n">
        <x:f>ROUND(I13*'Debt strategy'!$D$10/12,2)</x:f>
        <x:v>30.19</x:v>
      </x:c>
      <x:c r="K13" s="6" t="n">
        <x:f>MIN(I13+J13,'Debt strategy'!$E$10)</x:f>
        <x:v>150</x:v>
      </x:c>
      <x:c r="L13" s="27" t="n">
        <x:f>IF(I13+J13-K13&lt;=0,99,1+SUM(IF(AND(C13+D13-E13&gt;0,OR('Debt strategy'!$D$9&gt;'Debt strategy'!$D$10,AND('Debt strategy'!$D$9='Debt strategy'!$D$10,0&lt;1))),1,0),IF(AND(O13+P13-Q13&gt;0,OR('Debt strategy'!$D$11&gt;'Debt strategy'!$D$10,AND('Debt strategy'!$D$11='Debt strategy'!$D$10,2&lt;1))),1,0),IF(AND(U13+V13-W13&gt;0,OR('Debt strategy'!$D$12&gt;'Debt strategy'!$D$10,AND('Debt strategy'!$D$12='Debt strategy'!$D$10,3&lt;1))),1,0),IF(AND(AA13+AB13-AC13&gt;0,OR('Debt strategy'!$D$13&gt;'Debt strategy'!$D$10,AND('Debt strategy'!$D$13='Debt strategy'!$D$10,4&lt;1))),1,0)))</x:f>
        <x:v>2</x:v>
      </x:c>
      <x:c r="M13" s="6" t="n">
        <x:f>IF('Debt strategy'!$C$16&gt;0,0,MIN(I13+J13-K13,MAX(0,'Debt strategy'!$C$5-SUM(E13,K13,Q13,W13,AC13)-SUM(IF(F13&lt;L13,C13+D13-E13,0),IF(R13&lt;L13,O13+P13-Q13,0),IF(X13&lt;L13,U13+V13-W13,0),IF(AD13&lt;L13,AA13+AB13-AC13,0)))))</x:f>
        <x:v>0</x:v>
      </x:c>
      <x:c r="N13" s="6" t="n">
        <x:f>ROUND(MAX(0,I13+J13-K13-M13),2)</x:f>
        <x:v>4408.83</x:v>
      </x:c>
      <x:c r="O13" s="6" t="n">
        <x:f>T12</x:f>
        <x:v>500</x:v>
      </x:c>
      <x:c r="P13" s="6" t="n">
        <x:f>ROUND(O13*'Debt strategy'!$D$11/12,2)</x:f>
        <x:v>0</x:v>
      </x:c>
      <x:c r="Q13" s="6" t="n">
        <x:f>MIN(O13+P13,'Debt strategy'!$E$11)</x:f>
        <x:v>25</x:v>
      </x:c>
      <x:c r="R13" s="27" t="n">
        <x:f>IF(O13+P13-Q13&lt;=0,99,1+SUM(IF(AND(C13+D13-E13&gt;0,OR('Debt strategy'!$D$9&gt;'Debt strategy'!$D$11,AND('Debt strategy'!$D$9='Debt strategy'!$D$11,0&lt;2))),1,0),IF(AND(I13+J13-K13&gt;0,OR('Debt strategy'!$D$10&gt;'Debt strategy'!$D$11,AND('Debt strategy'!$D$10='Debt strategy'!$D$11,1&lt;2))),1,0),IF(AND(U13+V13-W13&gt;0,OR('Debt strategy'!$D$12&gt;'Debt strategy'!$D$11,AND('Debt strategy'!$D$12='Debt strategy'!$D$11,3&lt;2))),1,0),IF(AND(AA13+AB13-AC13&gt;0,OR('Debt strategy'!$D$13&gt;'Debt strategy'!$D$11,AND('Debt strategy'!$D$13='Debt strategy'!$D$11,4&lt;2))),1,0)))</x:f>
        <x:v>3</x:v>
      </x:c>
      <x:c r="S13" s="6" t="n">
        <x:f>IF('Debt strategy'!$C$16&gt;0,0,MIN(O13+P13-Q13,MAX(0,'Debt strategy'!$C$5-SUM(E13,K13,Q13,W13,AC13)-SUM(IF(F13&lt;R13,C13+D13-E13,0),IF(L13&lt;R13,I13+J13-K13,0),IF(X13&lt;R13,U13+V13-W13,0),IF(AD13&lt;R13,AA13+AB13-AC13,0)))))</x:f>
        <x:v>0</x:v>
      </x:c>
      <x:c r="T13" s="6" t="n">
        <x:f>ROUND(MAX(0,O13+P13-Q13-S13),2)</x:f>
        <x:v>475</x:v>
      </x:c>
      <x:c r="U13" s="6" t="n">
        <x:f>Z12</x:f>
        <x:v>0</x:v>
      </x:c>
      <x:c r="V13" s="6" t="n">
        <x:f>ROUND(U13*'Debt strategy'!$D$12/12,2)</x:f>
        <x:v>0</x:v>
      </x:c>
      <x:c r="W13" s="6" t="n">
        <x:f>MIN(U13+V13,'Debt strategy'!$E$12)</x:f>
        <x:v>0</x:v>
      </x:c>
      <x:c r="X13" s="27" t="n">
        <x:f>IF(U13+V13-W13&lt;=0,99,1+SUM(IF(AND(C13+D13-E13&gt;0,OR('Debt strategy'!$D$9&gt;'Debt strategy'!$D$12,AND('Debt strategy'!$D$9='Debt strategy'!$D$12,0&lt;3))),1,0),IF(AND(I13+J13-K13&gt;0,OR('Debt strategy'!$D$10&gt;'Debt strategy'!$D$12,AND('Debt strategy'!$D$10='Debt strategy'!$D$12,1&lt;3))),1,0),IF(AND(O13+P13-Q13&gt;0,OR('Debt strategy'!$D$11&gt;'Debt strategy'!$D$12,AND('Debt strategy'!$D$11='Debt strategy'!$D$12,2&lt;3))),1,0),IF(AND(AA13+AB13-AC13&gt;0,OR('Debt strategy'!$D$13&gt;'Debt strategy'!$D$12,AND('Debt strategy'!$D$13='Debt strategy'!$D$12,4&lt;3))),1,0)))</x:f>
        <x:v>99</x:v>
      </x:c>
      <x:c r="Y13" s="6" t="n">
        <x:f>IF('Debt strategy'!$C$16&gt;0,0,MIN(U13+V13-W13,MAX(0,'Debt strategy'!$C$5-SUM(E13,K13,Q13,W13,AC13)-SUM(IF(F13&lt;X13,C13+D13-E13,0),IF(L13&lt;X13,I13+J13-K13,0),IF(R13&lt;X13,O13+P13-Q13,0),IF(AD13&lt;X13,AA13+AB13-AC13,0)))))</x:f>
        <x:v>0</x:v>
      </x:c>
      <x:c r="Z13" s="6" t="n">
        <x:f>ROUND(MAX(0,U13+V13-W13-Y13),2)</x:f>
        <x:v>0</x:v>
      </x:c>
      <x:c r="AA13" s="6" t="n">
        <x:f>AF12</x:f>
        <x:v>0</x:v>
      </x:c>
      <x:c r="AB13" s="6" t="n">
        <x:f>ROUND(AA13*'Debt strategy'!$D$13/12,2)</x:f>
        <x:v>0</x:v>
      </x:c>
      <x:c r="AC13" s="6" t="n">
        <x:f>MIN(AA13+AB13,'Debt strategy'!$E$13)</x:f>
        <x:v>0</x:v>
      </x:c>
      <x:c r="AD13" s="27" t="n">
        <x:f>IF(AA13+AB13-AC13&lt;=0,99,1+SUM(IF(AND(C13+D13-E13&gt;0,OR('Debt strategy'!$D$9&gt;'Debt strategy'!$D$13,AND('Debt strategy'!$D$9='Debt strategy'!$D$13,0&lt;4))),1,0),IF(AND(I13+J13-K13&gt;0,OR('Debt strategy'!$D$10&gt;'Debt strategy'!$D$13,AND('Debt strategy'!$D$10='Debt strategy'!$D$13,1&lt;4))),1,0),IF(AND(O13+P13-Q13&gt;0,OR('Debt strategy'!$D$11&gt;'Debt strategy'!$D$13,AND('Debt strategy'!$D$11='Debt strategy'!$D$13,2&lt;4))),1,0),IF(AND(U13+V13-W13&gt;0,OR('Debt strategy'!$D$12&gt;'Debt strategy'!$D$13,AND('Debt strategy'!$D$12='Debt strategy'!$D$13,3&lt;4))),1,0)))</x:f>
        <x:v>99</x:v>
      </x:c>
      <x:c r="AE13" s="6" t="n">
        <x:f>IF('Debt strategy'!$C$16&gt;0,0,MIN(AA13+AB13-AC13,MAX(0,'Debt strategy'!$C$5-SUM(E13,K13,Q13,W13,AC13)-SUM(IF(F13&lt;AD13,C13+D13-E13,0),IF(L13&lt;AD13,I13+J13-K13,0),IF(R13&lt;AD13,O13+P13-Q13,0),IF(X13&lt;AD13,U13+V13-W13,0)))))</x:f>
        <x:v>0</x:v>
      </x:c>
      <x:c r="AF13" s="6" t="n">
        <x:f>ROUND(MAX(0,AA13+AB13-AC13-AE13),2)</x:f>
        <x:v>0</x:v>
      </x:c>
      <x:c r="AG13" s="6" t="n">
        <x:f>SUM(H13,N13,T13,Z13,AF13)</x:f>
        <x:v>7549.639999999999</x:v>
      </x:c>
      <x:c r="AH13" s="6" t="n">
        <x:f>SUM(D13,J13,P13,V13,AB13)+AH12</x:f>
        <x:v>449.64</x:v>
      </x:c>
      <x:c r="AI13" s="2"/>
    </x:row>
    <x:row r="14" ht="23" customHeight="1">
      <x:c r="B14" s="2" t="n">
        <x:f>6</x:f>
        <x:v>6</x:v>
      </x:c>
      <x:c r="C14" s="6" t="n">
        <x:f>H13</x:f>
        <x:v>2665.81</x:v>
      </x:c>
      <x:c r="D14" s="6" t="n">
        <x:f>ROUND(C14*'Debt strategy'!$D$9/12,2)</x:f>
        <x:v>48.87</x:v>
      </x:c>
      <x:c r="E14" s="6" t="n">
        <x:f>MIN(C14+D14,'Debt strategy'!$E$9)</x:f>
        <x:v>100</x:v>
      </x:c>
      <x:c r="F14" s="27" t="n">
        <x:f>IF(C14+D14-E14&lt;=0,99,1+SUM(IF(AND(I14+J14-K14&gt;0,OR('Debt strategy'!$D$10&gt;'Debt strategy'!$D$9,AND('Debt strategy'!$D$10='Debt strategy'!$D$9,1&lt;0))),1,0),IF(AND(O14+P14-Q14&gt;0,OR('Debt strategy'!$D$11&gt;'Debt strategy'!$D$9,AND('Debt strategy'!$D$11='Debt strategy'!$D$9,2&lt;0))),1,0),IF(AND(U14+V14-W14&gt;0,OR('Debt strategy'!$D$12&gt;'Debt strategy'!$D$9,AND('Debt strategy'!$D$12='Debt strategy'!$D$9,3&lt;0))),1,0),IF(AND(AA14+AB14-AC14&gt;0,OR('Debt strategy'!$D$13&gt;'Debt strategy'!$D$9,AND('Debt strategy'!$D$13='Debt strategy'!$D$9,4&lt;0))),1,0)))</x:f>
        <x:v>1</x:v>
      </x:c>
      <x:c r="G14" s="6" t="n">
        <x:f>IF('Debt strategy'!$C$16&gt;0,0,MIN(C14+D14-E14,MAX(0,'Debt strategy'!$C$5-SUM(E14,K14,Q14,W14,AC14)-SUM(IF(L14&lt;F14,I14+J14-K14,0),IF(R14&lt;F14,O14+P14-Q14,0),IF(X14&lt;F14,U14+V14-W14,0),IF(AD14&lt;F14,AA14+AB14-AC14,0)))))</x:f>
        <x:v>125</x:v>
      </x:c>
      <x:c r="H14" s="6" t="n">
        <x:f>ROUND(MAX(0,C14+D14-E14-G14),2)</x:f>
        <x:v>2489.68</x:v>
      </x:c>
      <x:c r="I14" s="6" t="n">
        <x:f>N13</x:f>
        <x:v>4408.83</x:v>
      </x:c>
      <x:c r="J14" s="6" t="n">
        <x:f>ROUND(I14*'Debt strategy'!$D$10/12,2)</x:f>
        <x:v>29.39</x:v>
      </x:c>
      <x:c r="K14" s="6" t="n">
        <x:f>MIN(I14+J14,'Debt strategy'!$E$10)</x:f>
        <x:v>150</x:v>
      </x:c>
      <x:c r="L14" s="27" t="n">
        <x:f>IF(I14+J14-K14&lt;=0,99,1+SUM(IF(AND(C14+D14-E14&gt;0,OR('Debt strategy'!$D$9&gt;'Debt strategy'!$D$10,AND('Debt strategy'!$D$9='Debt strategy'!$D$10,0&lt;1))),1,0),IF(AND(O14+P14-Q14&gt;0,OR('Debt strategy'!$D$11&gt;'Debt strategy'!$D$10,AND('Debt strategy'!$D$11='Debt strategy'!$D$10,2&lt;1))),1,0),IF(AND(U14+V14-W14&gt;0,OR('Debt strategy'!$D$12&gt;'Debt strategy'!$D$10,AND('Debt strategy'!$D$12='Debt strategy'!$D$10,3&lt;1))),1,0),IF(AND(AA14+AB14-AC14&gt;0,OR('Debt strategy'!$D$13&gt;'Debt strategy'!$D$10,AND('Debt strategy'!$D$13='Debt strategy'!$D$10,4&lt;1))),1,0)))</x:f>
        <x:v>2</x:v>
      </x:c>
      <x:c r="M14" s="6" t="n">
        <x:f>IF('Debt strategy'!$C$16&gt;0,0,MIN(I14+J14-K14,MAX(0,'Debt strategy'!$C$5-SUM(E14,K14,Q14,W14,AC14)-SUM(IF(F14&lt;L14,C14+D14-E14,0),IF(R14&lt;L14,O14+P14-Q14,0),IF(X14&lt;L14,U14+V14-W14,0),IF(AD14&lt;L14,AA14+AB14-AC14,0)))))</x:f>
        <x:v>0</x:v>
      </x:c>
      <x:c r="N14" s="6" t="n">
        <x:f>ROUND(MAX(0,I14+J14-K14-M14),2)</x:f>
        <x:v>4288.22</x:v>
      </x:c>
      <x:c r="O14" s="6" t="n">
        <x:f>T13</x:f>
        <x:v>475</x:v>
      </x:c>
      <x:c r="P14" s="6" t="n">
        <x:f>ROUND(O14*'Debt strategy'!$D$11/12,2)</x:f>
        <x:v>0</x:v>
      </x:c>
      <x:c r="Q14" s="6" t="n">
        <x:f>MIN(O14+P14,'Debt strategy'!$E$11)</x:f>
        <x:v>25</x:v>
      </x:c>
      <x:c r="R14" s="27" t="n">
        <x:f>IF(O14+P14-Q14&lt;=0,99,1+SUM(IF(AND(C14+D14-E14&gt;0,OR('Debt strategy'!$D$9&gt;'Debt strategy'!$D$11,AND('Debt strategy'!$D$9='Debt strategy'!$D$11,0&lt;2))),1,0),IF(AND(I14+J14-K14&gt;0,OR('Debt strategy'!$D$10&gt;'Debt strategy'!$D$11,AND('Debt strategy'!$D$10='Debt strategy'!$D$11,1&lt;2))),1,0),IF(AND(U14+V14-W14&gt;0,OR('Debt strategy'!$D$12&gt;'Debt strategy'!$D$11,AND('Debt strategy'!$D$12='Debt strategy'!$D$11,3&lt;2))),1,0),IF(AND(AA14+AB14-AC14&gt;0,OR('Debt strategy'!$D$13&gt;'Debt strategy'!$D$11,AND('Debt strategy'!$D$13='Debt strategy'!$D$11,4&lt;2))),1,0)))</x:f>
        <x:v>3</x:v>
      </x:c>
      <x:c r="S14" s="6" t="n">
        <x:f>IF('Debt strategy'!$C$16&gt;0,0,MIN(O14+P14-Q14,MAX(0,'Debt strategy'!$C$5-SUM(E14,K14,Q14,W14,AC14)-SUM(IF(F14&lt;R14,C14+D14-E14,0),IF(L14&lt;R14,I14+J14-K14,0),IF(X14&lt;R14,U14+V14-W14,0),IF(AD14&lt;R14,AA14+AB14-AC14,0)))))</x:f>
        <x:v>0</x:v>
      </x:c>
      <x:c r="T14" s="6" t="n">
        <x:f>ROUND(MAX(0,O14+P14-Q14-S14),2)</x:f>
        <x:v>450</x:v>
      </x:c>
      <x:c r="U14" s="6" t="n">
        <x:f>Z13</x:f>
        <x:v>0</x:v>
      </x:c>
      <x:c r="V14" s="6" t="n">
        <x:f>ROUND(U14*'Debt strategy'!$D$12/12,2)</x:f>
        <x:v>0</x:v>
      </x:c>
      <x:c r="W14" s="6" t="n">
        <x:f>MIN(U14+V14,'Debt strategy'!$E$12)</x:f>
        <x:v>0</x:v>
      </x:c>
      <x:c r="X14" s="27" t="n">
        <x:f>IF(U14+V14-W14&lt;=0,99,1+SUM(IF(AND(C14+D14-E14&gt;0,OR('Debt strategy'!$D$9&gt;'Debt strategy'!$D$12,AND('Debt strategy'!$D$9='Debt strategy'!$D$12,0&lt;3))),1,0),IF(AND(I14+J14-K14&gt;0,OR('Debt strategy'!$D$10&gt;'Debt strategy'!$D$12,AND('Debt strategy'!$D$10='Debt strategy'!$D$12,1&lt;3))),1,0),IF(AND(O14+P14-Q14&gt;0,OR('Debt strategy'!$D$11&gt;'Debt strategy'!$D$12,AND('Debt strategy'!$D$11='Debt strategy'!$D$12,2&lt;3))),1,0),IF(AND(AA14+AB14-AC14&gt;0,OR('Debt strategy'!$D$13&gt;'Debt strategy'!$D$12,AND('Debt strategy'!$D$13='Debt strategy'!$D$12,4&lt;3))),1,0)))</x:f>
        <x:v>99</x:v>
      </x:c>
      <x:c r="Y14" s="6" t="n">
        <x:f>IF('Debt strategy'!$C$16&gt;0,0,MIN(U14+V14-W14,MAX(0,'Debt strategy'!$C$5-SUM(E14,K14,Q14,W14,AC14)-SUM(IF(F14&lt;X14,C14+D14-E14,0),IF(L14&lt;X14,I14+J14-K14,0),IF(R14&lt;X14,O14+P14-Q14,0),IF(AD14&lt;X14,AA14+AB14-AC14,0)))))</x:f>
        <x:v>0</x:v>
      </x:c>
      <x:c r="Z14" s="6" t="n">
        <x:f>ROUND(MAX(0,U14+V14-W14-Y14),2)</x:f>
        <x:v>0</x:v>
      </x:c>
      <x:c r="AA14" s="6" t="n">
        <x:f>AF13</x:f>
        <x:v>0</x:v>
      </x:c>
      <x:c r="AB14" s="6" t="n">
        <x:f>ROUND(AA14*'Debt strategy'!$D$13/12,2)</x:f>
        <x:v>0</x:v>
      </x:c>
      <x:c r="AC14" s="6" t="n">
        <x:f>MIN(AA14+AB14,'Debt strategy'!$E$13)</x:f>
        <x:v>0</x:v>
      </x:c>
      <x:c r="AD14" s="27" t="n">
        <x:f>IF(AA14+AB14-AC14&lt;=0,99,1+SUM(IF(AND(C14+D14-E14&gt;0,OR('Debt strategy'!$D$9&gt;'Debt strategy'!$D$13,AND('Debt strategy'!$D$9='Debt strategy'!$D$13,0&lt;4))),1,0),IF(AND(I14+J14-K14&gt;0,OR('Debt strategy'!$D$10&gt;'Debt strategy'!$D$13,AND('Debt strategy'!$D$10='Debt strategy'!$D$13,1&lt;4))),1,0),IF(AND(O14+P14-Q14&gt;0,OR('Debt strategy'!$D$11&gt;'Debt strategy'!$D$13,AND('Debt strategy'!$D$11='Debt strategy'!$D$13,2&lt;4))),1,0),IF(AND(U14+V14-W14&gt;0,OR('Debt strategy'!$D$12&gt;'Debt strategy'!$D$13,AND('Debt strategy'!$D$12='Debt strategy'!$D$13,3&lt;4))),1,0)))</x:f>
        <x:v>99</x:v>
      </x:c>
      <x:c r="AE14" s="6" t="n">
        <x:f>IF('Debt strategy'!$C$16&gt;0,0,MIN(AA14+AB14-AC14,MAX(0,'Debt strategy'!$C$5-SUM(E14,K14,Q14,W14,AC14)-SUM(IF(F14&lt;AD14,C14+D14-E14,0),IF(L14&lt;AD14,I14+J14-K14,0),IF(R14&lt;AD14,O14+P14-Q14,0),IF(X14&lt;AD14,U14+V14-W14,0)))))</x:f>
        <x:v>0</x:v>
      </x:c>
      <x:c r="AF14" s="6" t="n">
        <x:f>ROUND(MAX(0,AA14+AB14-AC14-AE14),2)</x:f>
        <x:v>0</x:v>
      </x:c>
      <x:c r="AG14" s="6" t="n">
        <x:f>SUM(H14,N14,T14,Z14,AF14)</x:f>
        <x:v>7227.9</x:v>
      </x:c>
      <x:c r="AH14" s="6" t="n">
        <x:f>SUM(D14,J14,P14,V14,AB14)+AH13</x:f>
        <x:v>527.9</x:v>
      </x:c>
      <x:c r="AI14" s="2"/>
    </x:row>
    <x:row r="15" ht="23" customHeight="1">
      <x:c r="B15" s="2" t="n">
        <x:f>7</x:f>
        <x:v>7</x:v>
      </x:c>
      <x:c r="C15" s="6" t="n">
        <x:f>H14</x:f>
        <x:v>2489.68</x:v>
      </x:c>
      <x:c r="D15" s="6" t="n">
        <x:f>ROUND(C15*'Debt strategy'!$D$9/12,2)</x:f>
        <x:v>45.64</x:v>
      </x:c>
      <x:c r="E15" s="6" t="n">
        <x:f>MIN(C15+D15,'Debt strategy'!$E$9)</x:f>
        <x:v>100</x:v>
      </x:c>
      <x:c r="F15" s="27" t="n">
        <x:f>IF(C15+D15-E15&lt;=0,99,1+SUM(IF(AND(I15+J15-K15&gt;0,OR('Debt strategy'!$D$10&gt;'Debt strategy'!$D$9,AND('Debt strategy'!$D$10='Debt strategy'!$D$9,1&lt;0))),1,0),IF(AND(O15+P15-Q15&gt;0,OR('Debt strategy'!$D$11&gt;'Debt strategy'!$D$9,AND('Debt strategy'!$D$11='Debt strategy'!$D$9,2&lt;0))),1,0),IF(AND(U15+V15-W15&gt;0,OR('Debt strategy'!$D$12&gt;'Debt strategy'!$D$9,AND('Debt strategy'!$D$12='Debt strategy'!$D$9,3&lt;0))),1,0),IF(AND(AA15+AB15-AC15&gt;0,OR('Debt strategy'!$D$13&gt;'Debt strategy'!$D$9,AND('Debt strategy'!$D$13='Debt strategy'!$D$9,4&lt;0))),1,0)))</x:f>
        <x:v>1</x:v>
      </x:c>
      <x:c r="G15" s="6" t="n">
        <x:f>IF('Debt strategy'!$C$16&gt;0,0,MIN(C15+D15-E15,MAX(0,'Debt strategy'!$C$5-SUM(E15,K15,Q15,W15,AC15)-SUM(IF(L15&lt;F15,I15+J15-K15,0),IF(R15&lt;F15,O15+P15-Q15,0),IF(X15&lt;F15,U15+V15-W15,0),IF(AD15&lt;F15,AA15+AB15-AC15,0)))))</x:f>
        <x:v>125</x:v>
      </x:c>
      <x:c r="H15" s="6" t="n">
        <x:f>ROUND(MAX(0,C15+D15-E15-G15),2)</x:f>
        <x:v>2310.32</x:v>
      </x:c>
      <x:c r="I15" s="6" t="n">
        <x:f>N14</x:f>
        <x:v>4288.22</x:v>
      </x:c>
      <x:c r="J15" s="6" t="n">
        <x:f>ROUND(I15*'Debt strategy'!$D$10/12,2)</x:f>
        <x:v>28.59</x:v>
      </x:c>
      <x:c r="K15" s="6" t="n">
        <x:f>MIN(I15+J15,'Debt strategy'!$E$10)</x:f>
        <x:v>150</x:v>
      </x:c>
      <x:c r="L15" s="27" t="n">
        <x:f>IF(I15+J15-K15&lt;=0,99,1+SUM(IF(AND(C15+D15-E15&gt;0,OR('Debt strategy'!$D$9&gt;'Debt strategy'!$D$10,AND('Debt strategy'!$D$9='Debt strategy'!$D$10,0&lt;1))),1,0),IF(AND(O15+P15-Q15&gt;0,OR('Debt strategy'!$D$11&gt;'Debt strategy'!$D$10,AND('Debt strategy'!$D$11='Debt strategy'!$D$10,2&lt;1))),1,0),IF(AND(U15+V15-W15&gt;0,OR('Debt strategy'!$D$12&gt;'Debt strategy'!$D$10,AND('Debt strategy'!$D$12='Debt strategy'!$D$10,3&lt;1))),1,0),IF(AND(AA15+AB15-AC15&gt;0,OR('Debt strategy'!$D$13&gt;'Debt strategy'!$D$10,AND('Debt strategy'!$D$13='Debt strategy'!$D$10,4&lt;1))),1,0)))</x:f>
        <x:v>2</x:v>
      </x:c>
      <x:c r="M15" s="6" t="n">
        <x:f>IF('Debt strategy'!$C$16&gt;0,0,MIN(I15+J15-K15,MAX(0,'Debt strategy'!$C$5-SUM(E15,K15,Q15,W15,AC15)-SUM(IF(F15&lt;L15,C15+D15-E15,0),IF(R15&lt;L15,O15+P15-Q15,0),IF(X15&lt;L15,U15+V15-W15,0),IF(AD15&lt;L15,AA15+AB15-AC15,0)))))</x:f>
        <x:v>0</x:v>
      </x:c>
      <x:c r="N15" s="6" t="n">
        <x:f>ROUND(MAX(0,I15+J15-K15-M15),2)</x:f>
        <x:v>4166.81</x:v>
      </x:c>
      <x:c r="O15" s="6" t="n">
        <x:f>T14</x:f>
        <x:v>450</x:v>
      </x:c>
      <x:c r="P15" s="6" t="n">
        <x:f>ROUND(O15*'Debt strategy'!$D$11/12,2)</x:f>
        <x:v>0</x:v>
      </x:c>
      <x:c r="Q15" s="6" t="n">
        <x:f>MIN(O15+P15,'Debt strategy'!$E$11)</x:f>
        <x:v>25</x:v>
      </x:c>
      <x:c r="R15" s="27" t="n">
        <x:f>IF(O15+P15-Q15&lt;=0,99,1+SUM(IF(AND(C15+D15-E15&gt;0,OR('Debt strategy'!$D$9&gt;'Debt strategy'!$D$11,AND('Debt strategy'!$D$9='Debt strategy'!$D$11,0&lt;2))),1,0),IF(AND(I15+J15-K15&gt;0,OR('Debt strategy'!$D$10&gt;'Debt strategy'!$D$11,AND('Debt strategy'!$D$10='Debt strategy'!$D$11,1&lt;2))),1,0),IF(AND(U15+V15-W15&gt;0,OR('Debt strategy'!$D$12&gt;'Debt strategy'!$D$11,AND('Debt strategy'!$D$12='Debt strategy'!$D$11,3&lt;2))),1,0),IF(AND(AA15+AB15-AC15&gt;0,OR('Debt strategy'!$D$13&gt;'Debt strategy'!$D$11,AND('Debt strategy'!$D$13='Debt strategy'!$D$11,4&lt;2))),1,0)))</x:f>
        <x:v>3</x:v>
      </x:c>
      <x:c r="S15" s="6" t="n">
        <x:f>IF('Debt strategy'!$C$16&gt;0,0,MIN(O15+P15-Q15,MAX(0,'Debt strategy'!$C$5-SUM(E15,K15,Q15,W15,AC15)-SUM(IF(F15&lt;R15,C15+D15-E15,0),IF(L15&lt;R15,I15+J15-K15,0),IF(X15&lt;R15,U15+V15-W15,0),IF(AD15&lt;R15,AA15+AB15-AC15,0)))))</x:f>
        <x:v>0</x:v>
      </x:c>
      <x:c r="T15" s="6" t="n">
        <x:f>ROUND(MAX(0,O15+P15-Q15-S15),2)</x:f>
        <x:v>425</x:v>
      </x:c>
      <x:c r="U15" s="6" t="n">
        <x:f>Z14</x:f>
        <x:v>0</x:v>
      </x:c>
      <x:c r="V15" s="6" t="n">
        <x:f>ROUND(U15*'Debt strategy'!$D$12/12,2)</x:f>
        <x:v>0</x:v>
      </x:c>
      <x:c r="W15" s="6" t="n">
        <x:f>MIN(U15+V15,'Debt strategy'!$E$12)</x:f>
        <x:v>0</x:v>
      </x:c>
      <x:c r="X15" s="27" t="n">
        <x:f>IF(U15+V15-W15&lt;=0,99,1+SUM(IF(AND(C15+D15-E15&gt;0,OR('Debt strategy'!$D$9&gt;'Debt strategy'!$D$12,AND('Debt strategy'!$D$9='Debt strategy'!$D$12,0&lt;3))),1,0),IF(AND(I15+J15-K15&gt;0,OR('Debt strategy'!$D$10&gt;'Debt strategy'!$D$12,AND('Debt strategy'!$D$10='Debt strategy'!$D$12,1&lt;3))),1,0),IF(AND(O15+P15-Q15&gt;0,OR('Debt strategy'!$D$11&gt;'Debt strategy'!$D$12,AND('Debt strategy'!$D$11='Debt strategy'!$D$12,2&lt;3))),1,0),IF(AND(AA15+AB15-AC15&gt;0,OR('Debt strategy'!$D$13&gt;'Debt strategy'!$D$12,AND('Debt strategy'!$D$13='Debt strategy'!$D$12,4&lt;3))),1,0)))</x:f>
        <x:v>99</x:v>
      </x:c>
      <x:c r="Y15" s="6" t="n">
        <x:f>IF('Debt strategy'!$C$16&gt;0,0,MIN(U15+V15-W15,MAX(0,'Debt strategy'!$C$5-SUM(E15,K15,Q15,W15,AC15)-SUM(IF(F15&lt;X15,C15+D15-E15,0),IF(L15&lt;X15,I15+J15-K15,0),IF(R15&lt;X15,O15+P15-Q15,0),IF(AD15&lt;X15,AA15+AB15-AC15,0)))))</x:f>
        <x:v>0</x:v>
      </x:c>
      <x:c r="Z15" s="6" t="n">
        <x:f>ROUND(MAX(0,U15+V15-W15-Y15),2)</x:f>
        <x:v>0</x:v>
      </x:c>
      <x:c r="AA15" s="6" t="n">
        <x:f>AF14</x:f>
        <x:v>0</x:v>
      </x:c>
      <x:c r="AB15" s="6" t="n">
        <x:f>ROUND(AA15*'Debt strategy'!$D$13/12,2)</x:f>
        <x:v>0</x:v>
      </x:c>
      <x:c r="AC15" s="6" t="n">
        <x:f>MIN(AA15+AB15,'Debt strategy'!$E$13)</x:f>
        <x:v>0</x:v>
      </x:c>
      <x:c r="AD15" s="27" t="n">
        <x:f>IF(AA15+AB15-AC15&lt;=0,99,1+SUM(IF(AND(C15+D15-E15&gt;0,OR('Debt strategy'!$D$9&gt;'Debt strategy'!$D$13,AND('Debt strategy'!$D$9='Debt strategy'!$D$13,0&lt;4))),1,0),IF(AND(I15+J15-K15&gt;0,OR('Debt strategy'!$D$10&gt;'Debt strategy'!$D$13,AND('Debt strategy'!$D$10='Debt strategy'!$D$13,1&lt;4))),1,0),IF(AND(O15+P15-Q15&gt;0,OR('Debt strategy'!$D$11&gt;'Debt strategy'!$D$13,AND('Debt strategy'!$D$11='Debt strategy'!$D$13,2&lt;4))),1,0),IF(AND(U15+V15-W15&gt;0,OR('Debt strategy'!$D$12&gt;'Debt strategy'!$D$13,AND('Debt strategy'!$D$12='Debt strategy'!$D$13,3&lt;4))),1,0)))</x:f>
        <x:v>99</x:v>
      </x:c>
      <x:c r="AE15" s="6" t="n">
        <x:f>IF('Debt strategy'!$C$16&gt;0,0,MIN(AA15+AB15-AC15,MAX(0,'Debt strategy'!$C$5-SUM(E15,K15,Q15,W15,AC15)-SUM(IF(F15&lt;AD15,C15+D15-E15,0),IF(L15&lt;AD15,I15+J15-K15,0),IF(R15&lt;AD15,O15+P15-Q15,0),IF(X15&lt;AD15,U15+V15-W15,0)))))</x:f>
        <x:v>0</x:v>
      </x:c>
      <x:c r="AF15" s="6" t="n">
        <x:f>ROUND(MAX(0,AA15+AB15-AC15-AE15),2)</x:f>
        <x:v>0</x:v>
      </x:c>
      <x:c r="AG15" s="6" t="n">
        <x:f>SUM(H15,N15,T15,Z15,AF15)</x:f>
        <x:v>6902.130000000001</x:v>
      </x:c>
      <x:c r="AH15" s="6" t="n">
        <x:f>SUM(D15,J15,P15,V15,AB15)+AH14</x:f>
        <x:v>602.13</x:v>
      </x:c>
      <x:c r="AI15" s="2"/>
    </x:row>
    <x:row r="16" ht="23" customHeight="1">
      <x:c r="B16" s="2" t="n">
        <x:f>8</x:f>
        <x:v>8</x:v>
      </x:c>
      <x:c r="C16" s="6" t="n">
        <x:f>H15</x:f>
        <x:v>2310.32</x:v>
      </x:c>
      <x:c r="D16" s="6" t="n">
        <x:f>ROUND(C16*'Debt strategy'!$D$9/12,2)</x:f>
        <x:v>42.36</x:v>
      </x:c>
      <x:c r="E16" s="6" t="n">
        <x:f>MIN(C16+D16,'Debt strategy'!$E$9)</x:f>
        <x:v>100</x:v>
      </x:c>
      <x:c r="F16" s="27" t="n">
        <x:f>IF(C16+D16-E16&lt;=0,99,1+SUM(IF(AND(I16+J16-K16&gt;0,OR('Debt strategy'!$D$10&gt;'Debt strategy'!$D$9,AND('Debt strategy'!$D$10='Debt strategy'!$D$9,1&lt;0))),1,0),IF(AND(O16+P16-Q16&gt;0,OR('Debt strategy'!$D$11&gt;'Debt strategy'!$D$9,AND('Debt strategy'!$D$11='Debt strategy'!$D$9,2&lt;0))),1,0),IF(AND(U16+V16-W16&gt;0,OR('Debt strategy'!$D$12&gt;'Debt strategy'!$D$9,AND('Debt strategy'!$D$12='Debt strategy'!$D$9,3&lt;0))),1,0),IF(AND(AA16+AB16-AC16&gt;0,OR('Debt strategy'!$D$13&gt;'Debt strategy'!$D$9,AND('Debt strategy'!$D$13='Debt strategy'!$D$9,4&lt;0))),1,0)))</x:f>
        <x:v>1</x:v>
      </x:c>
      <x:c r="G16" s="6" t="n">
        <x:f>IF('Debt strategy'!$C$16&gt;0,0,MIN(C16+D16-E16,MAX(0,'Debt strategy'!$C$5-SUM(E16,K16,Q16,W16,AC16)-SUM(IF(L16&lt;F16,I16+J16-K16,0),IF(R16&lt;F16,O16+P16-Q16,0),IF(X16&lt;F16,U16+V16-W16,0),IF(AD16&lt;F16,AA16+AB16-AC16,0)))))</x:f>
        <x:v>125</x:v>
      </x:c>
      <x:c r="H16" s="6" t="n">
        <x:f>ROUND(MAX(0,C16+D16-E16-G16),2)</x:f>
        <x:v>2127.68</x:v>
      </x:c>
      <x:c r="I16" s="6" t="n">
        <x:f>N15</x:f>
        <x:v>4166.81</x:v>
      </x:c>
      <x:c r="J16" s="6" t="n">
        <x:f>ROUND(I16*'Debt strategy'!$D$10/12,2)</x:f>
        <x:v>27.78</x:v>
      </x:c>
      <x:c r="K16" s="6" t="n">
        <x:f>MIN(I16+J16,'Debt strategy'!$E$10)</x:f>
        <x:v>150</x:v>
      </x:c>
      <x:c r="L16" s="27" t="n">
        <x:f>IF(I16+J16-K16&lt;=0,99,1+SUM(IF(AND(C16+D16-E16&gt;0,OR('Debt strategy'!$D$9&gt;'Debt strategy'!$D$10,AND('Debt strategy'!$D$9='Debt strategy'!$D$10,0&lt;1))),1,0),IF(AND(O16+P16-Q16&gt;0,OR('Debt strategy'!$D$11&gt;'Debt strategy'!$D$10,AND('Debt strategy'!$D$11='Debt strategy'!$D$10,2&lt;1))),1,0),IF(AND(U16+V16-W16&gt;0,OR('Debt strategy'!$D$12&gt;'Debt strategy'!$D$10,AND('Debt strategy'!$D$12='Debt strategy'!$D$10,3&lt;1))),1,0),IF(AND(AA16+AB16-AC16&gt;0,OR('Debt strategy'!$D$13&gt;'Debt strategy'!$D$10,AND('Debt strategy'!$D$13='Debt strategy'!$D$10,4&lt;1))),1,0)))</x:f>
        <x:v>2</x:v>
      </x:c>
      <x:c r="M16" s="6" t="n">
        <x:f>IF('Debt strategy'!$C$16&gt;0,0,MIN(I16+J16-K16,MAX(0,'Debt strategy'!$C$5-SUM(E16,K16,Q16,W16,AC16)-SUM(IF(F16&lt;L16,C16+D16-E16,0),IF(R16&lt;L16,O16+P16-Q16,0),IF(X16&lt;L16,U16+V16-W16,0),IF(AD16&lt;L16,AA16+AB16-AC16,0)))))</x:f>
        <x:v>0</x:v>
      </x:c>
      <x:c r="N16" s="6" t="n">
        <x:f>ROUND(MAX(0,I16+J16-K16-M16),2)</x:f>
        <x:v>4044.59</x:v>
      </x:c>
      <x:c r="O16" s="6" t="n">
        <x:f>T15</x:f>
        <x:v>425</x:v>
      </x:c>
      <x:c r="P16" s="6" t="n">
        <x:f>ROUND(O16*'Debt strategy'!$D$11/12,2)</x:f>
        <x:v>0</x:v>
      </x:c>
      <x:c r="Q16" s="6" t="n">
        <x:f>MIN(O16+P16,'Debt strategy'!$E$11)</x:f>
        <x:v>25</x:v>
      </x:c>
      <x:c r="R16" s="27" t="n">
        <x:f>IF(O16+P16-Q16&lt;=0,99,1+SUM(IF(AND(C16+D16-E16&gt;0,OR('Debt strategy'!$D$9&gt;'Debt strategy'!$D$11,AND('Debt strategy'!$D$9='Debt strategy'!$D$11,0&lt;2))),1,0),IF(AND(I16+J16-K16&gt;0,OR('Debt strategy'!$D$10&gt;'Debt strategy'!$D$11,AND('Debt strategy'!$D$10='Debt strategy'!$D$11,1&lt;2))),1,0),IF(AND(U16+V16-W16&gt;0,OR('Debt strategy'!$D$12&gt;'Debt strategy'!$D$11,AND('Debt strategy'!$D$12='Debt strategy'!$D$11,3&lt;2))),1,0),IF(AND(AA16+AB16-AC16&gt;0,OR('Debt strategy'!$D$13&gt;'Debt strategy'!$D$11,AND('Debt strategy'!$D$13='Debt strategy'!$D$11,4&lt;2))),1,0)))</x:f>
        <x:v>3</x:v>
      </x:c>
      <x:c r="S16" s="6" t="n">
        <x:f>IF('Debt strategy'!$C$16&gt;0,0,MIN(O16+P16-Q16,MAX(0,'Debt strategy'!$C$5-SUM(E16,K16,Q16,W16,AC16)-SUM(IF(F16&lt;R16,C16+D16-E16,0),IF(L16&lt;R16,I16+J16-K16,0),IF(X16&lt;R16,U16+V16-W16,0),IF(AD16&lt;R16,AA16+AB16-AC16,0)))))</x:f>
        <x:v>0</x:v>
      </x:c>
      <x:c r="T16" s="6" t="n">
        <x:f>ROUND(MAX(0,O16+P16-Q16-S16),2)</x:f>
        <x:v>400</x:v>
      </x:c>
      <x:c r="U16" s="6" t="n">
        <x:f>Z15</x:f>
        <x:v>0</x:v>
      </x:c>
      <x:c r="V16" s="6" t="n">
        <x:f>ROUND(U16*'Debt strategy'!$D$12/12,2)</x:f>
        <x:v>0</x:v>
      </x:c>
      <x:c r="W16" s="6" t="n">
        <x:f>MIN(U16+V16,'Debt strategy'!$E$12)</x:f>
        <x:v>0</x:v>
      </x:c>
      <x:c r="X16" s="27" t="n">
        <x:f>IF(U16+V16-W16&lt;=0,99,1+SUM(IF(AND(C16+D16-E16&gt;0,OR('Debt strategy'!$D$9&gt;'Debt strategy'!$D$12,AND('Debt strategy'!$D$9='Debt strategy'!$D$12,0&lt;3))),1,0),IF(AND(I16+J16-K16&gt;0,OR('Debt strategy'!$D$10&gt;'Debt strategy'!$D$12,AND('Debt strategy'!$D$10='Debt strategy'!$D$12,1&lt;3))),1,0),IF(AND(O16+P16-Q16&gt;0,OR('Debt strategy'!$D$11&gt;'Debt strategy'!$D$12,AND('Debt strategy'!$D$11='Debt strategy'!$D$12,2&lt;3))),1,0),IF(AND(AA16+AB16-AC16&gt;0,OR('Debt strategy'!$D$13&gt;'Debt strategy'!$D$12,AND('Debt strategy'!$D$13='Debt strategy'!$D$12,4&lt;3))),1,0)))</x:f>
        <x:v>99</x:v>
      </x:c>
      <x:c r="Y16" s="6" t="n">
        <x:f>IF('Debt strategy'!$C$16&gt;0,0,MIN(U16+V16-W16,MAX(0,'Debt strategy'!$C$5-SUM(E16,K16,Q16,W16,AC16)-SUM(IF(F16&lt;X16,C16+D16-E16,0),IF(L16&lt;X16,I16+J16-K16,0),IF(R16&lt;X16,O16+P16-Q16,0),IF(AD16&lt;X16,AA16+AB16-AC16,0)))))</x:f>
        <x:v>0</x:v>
      </x:c>
      <x:c r="Z16" s="6" t="n">
        <x:f>ROUND(MAX(0,U16+V16-W16-Y16),2)</x:f>
        <x:v>0</x:v>
      </x:c>
      <x:c r="AA16" s="6" t="n">
        <x:f>AF15</x:f>
        <x:v>0</x:v>
      </x:c>
      <x:c r="AB16" s="6" t="n">
        <x:f>ROUND(AA16*'Debt strategy'!$D$13/12,2)</x:f>
        <x:v>0</x:v>
      </x:c>
      <x:c r="AC16" s="6" t="n">
        <x:f>MIN(AA16+AB16,'Debt strategy'!$E$13)</x:f>
        <x:v>0</x:v>
      </x:c>
      <x:c r="AD16" s="27" t="n">
        <x:f>IF(AA16+AB16-AC16&lt;=0,99,1+SUM(IF(AND(C16+D16-E16&gt;0,OR('Debt strategy'!$D$9&gt;'Debt strategy'!$D$13,AND('Debt strategy'!$D$9='Debt strategy'!$D$13,0&lt;4))),1,0),IF(AND(I16+J16-K16&gt;0,OR('Debt strategy'!$D$10&gt;'Debt strategy'!$D$13,AND('Debt strategy'!$D$10='Debt strategy'!$D$13,1&lt;4))),1,0),IF(AND(O16+P16-Q16&gt;0,OR('Debt strategy'!$D$11&gt;'Debt strategy'!$D$13,AND('Debt strategy'!$D$11='Debt strategy'!$D$13,2&lt;4))),1,0),IF(AND(U16+V16-W16&gt;0,OR('Debt strategy'!$D$12&gt;'Debt strategy'!$D$13,AND('Debt strategy'!$D$12='Debt strategy'!$D$13,3&lt;4))),1,0)))</x:f>
        <x:v>99</x:v>
      </x:c>
      <x:c r="AE16" s="6" t="n">
        <x:f>IF('Debt strategy'!$C$16&gt;0,0,MIN(AA16+AB16-AC16,MAX(0,'Debt strategy'!$C$5-SUM(E16,K16,Q16,W16,AC16)-SUM(IF(F16&lt;AD16,C16+D16-E16,0),IF(L16&lt;AD16,I16+J16-K16,0),IF(R16&lt;AD16,O16+P16-Q16,0),IF(X16&lt;AD16,U16+V16-W16,0)))))</x:f>
        <x:v>0</x:v>
      </x:c>
      <x:c r="AF16" s="6" t="n">
        <x:f>ROUND(MAX(0,AA16+AB16-AC16-AE16),2)</x:f>
        <x:v>0</x:v>
      </x:c>
      <x:c r="AG16" s="6" t="n">
        <x:f>SUM(H16,N16,T16,Z16,AF16)</x:f>
        <x:v>6572.27</x:v>
      </x:c>
      <x:c r="AH16" s="6" t="n">
        <x:f>SUM(D16,J16,P16,V16,AB16)+AH15</x:f>
        <x:v>672.27</x:v>
      </x:c>
      <x:c r="AI16" s="2"/>
    </x:row>
    <x:row r="17" ht="23" customHeight="1">
      <x:c r="B17" s="2" t="n">
        <x:f>9</x:f>
        <x:v>9</x:v>
      </x:c>
      <x:c r="C17" s="6" t="n">
        <x:f>H16</x:f>
        <x:v>2127.68</x:v>
      </x:c>
      <x:c r="D17" s="6" t="n">
        <x:f>ROUND(C17*'Debt strategy'!$D$9/12,2)</x:f>
        <x:v>39.01</x:v>
      </x:c>
      <x:c r="E17" s="6" t="n">
        <x:f>MIN(C17+D17,'Debt strategy'!$E$9)</x:f>
        <x:v>100</x:v>
      </x:c>
      <x:c r="F17" s="27" t="n">
        <x:f>IF(C17+D17-E17&lt;=0,99,1+SUM(IF(AND(I17+J17-K17&gt;0,OR('Debt strategy'!$D$10&gt;'Debt strategy'!$D$9,AND('Debt strategy'!$D$10='Debt strategy'!$D$9,1&lt;0))),1,0),IF(AND(O17+P17-Q17&gt;0,OR('Debt strategy'!$D$11&gt;'Debt strategy'!$D$9,AND('Debt strategy'!$D$11='Debt strategy'!$D$9,2&lt;0))),1,0),IF(AND(U17+V17-W17&gt;0,OR('Debt strategy'!$D$12&gt;'Debt strategy'!$D$9,AND('Debt strategy'!$D$12='Debt strategy'!$D$9,3&lt;0))),1,0),IF(AND(AA17+AB17-AC17&gt;0,OR('Debt strategy'!$D$13&gt;'Debt strategy'!$D$9,AND('Debt strategy'!$D$13='Debt strategy'!$D$9,4&lt;0))),1,0)))</x:f>
        <x:v>1</x:v>
      </x:c>
      <x:c r="G17" s="6" t="n">
        <x:f>IF('Debt strategy'!$C$16&gt;0,0,MIN(C17+D17-E17,MAX(0,'Debt strategy'!$C$5-SUM(E17,K17,Q17,W17,AC17)-SUM(IF(L17&lt;F17,I17+J17-K17,0),IF(R17&lt;F17,O17+P17-Q17,0),IF(X17&lt;F17,U17+V17-W17,0),IF(AD17&lt;F17,AA17+AB17-AC17,0)))))</x:f>
        <x:v>125</x:v>
      </x:c>
      <x:c r="H17" s="6" t="n">
        <x:f>ROUND(MAX(0,C17+D17-E17-G17),2)</x:f>
        <x:v>1941.69</x:v>
      </x:c>
      <x:c r="I17" s="6" t="n">
        <x:f>N16</x:f>
        <x:v>4044.59</x:v>
      </x:c>
      <x:c r="J17" s="6" t="n">
        <x:f>ROUND(I17*'Debt strategy'!$D$10/12,2)</x:f>
        <x:v>26.96</x:v>
      </x:c>
      <x:c r="K17" s="6" t="n">
        <x:f>MIN(I17+J17,'Debt strategy'!$E$10)</x:f>
        <x:v>150</x:v>
      </x:c>
      <x:c r="L17" s="27" t="n">
        <x:f>IF(I17+J17-K17&lt;=0,99,1+SUM(IF(AND(C17+D17-E17&gt;0,OR('Debt strategy'!$D$9&gt;'Debt strategy'!$D$10,AND('Debt strategy'!$D$9='Debt strategy'!$D$10,0&lt;1))),1,0),IF(AND(O17+P17-Q17&gt;0,OR('Debt strategy'!$D$11&gt;'Debt strategy'!$D$10,AND('Debt strategy'!$D$11='Debt strategy'!$D$10,2&lt;1))),1,0),IF(AND(U17+V17-W17&gt;0,OR('Debt strategy'!$D$12&gt;'Debt strategy'!$D$10,AND('Debt strategy'!$D$12='Debt strategy'!$D$10,3&lt;1))),1,0),IF(AND(AA17+AB17-AC17&gt;0,OR('Debt strategy'!$D$13&gt;'Debt strategy'!$D$10,AND('Debt strategy'!$D$13='Debt strategy'!$D$10,4&lt;1))),1,0)))</x:f>
        <x:v>2</x:v>
      </x:c>
      <x:c r="M17" s="6" t="n">
        <x:f>IF('Debt strategy'!$C$16&gt;0,0,MIN(I17+J17-K17,MAX(0,'Debt strategy'!$C$5-SUM(E17,K17,Q17,W17,AC17)-SUM(IF(F17&lt;L17,C17+D17-E17,0),IF(R17&lt;L17,O17+P17-Q17,0),IF(X17&lt;L17,U17+V17-W17,0),IF(AD17&lt;L17,AA17+AB17-AC17,0)))))</x:f>
        <x:v>0</x:v>
      </x:c>
      <x:c r="N17" s="6" t="n">
        <x:f>ROUND(MAX(0,I17+J17-K17-M17),2)</x:f>
        <x:v>3921.55</x:v>
      </x:c>
      <x:c r="O17" s="6" t="n">
        <x:f>T16</x:f>
        <x:v>400</x:v>
      </x:c>
      <x:c r="P17" s="6" t="n">
        <x:f>ROUND(O17*'Debt strategy'!$D$11/12,2)</x:f>
        <x:v>0</x:v>
      </x:c>
      <x:c r="Q17" s="6" t="n">
        <x:f>MIN(O17+P17,'Debt strategy'!$E$11)</x:f>
        <x:v>25</x:v>
      </x:c>
      <x:c r="R17" s="27" t="n">
        <x:f>IF(O17+P17-Q17&lt;=0,99,1+SUM(IF(AND(C17+D17-E17&gt;0,OR('Debt strategy'!$D$9&gt;'Debt strategy'!$D$11,AND('Debt strategy'!$D$9='Debt strategy'!$D$11,0&lt;2))),1,0),IF(AND(I17+J17-K17&gt;0,OR('Debt strategy'!$D$10&gt;'Debt strategy'!$D$11,AND('Debt strategy'!$D$10='Debt strategy'!$D$11,1&lt;2))),1,0),IF(AND(U17+V17-W17&gt;0,OR('Debt strategy'!$D$12&gt;'Debt strategy'!$D$11,AND('Debt strategy'!$D$12='Debt strategy'!$D$11,3&lt;2))),1,0),IF(AND(AA17+AB17-AC17&gt;0,OR('Debt strategy'!$D$13&gt;'Debt strategy'!$D$11,AND('Debt strategy'!$D$13='Debt strategy'!$D$11,4&lt;2))),1,0)))</x:f>
        <x:v>3</x:v>
      </x:c>
      <x:c r="S17" s="6" t="n">
        <x:f>IF('Debt strategy'!$C$16&gt;0,0,MIN(O17+P17-Q17,MAX(0,'Debt strategy'!$C$5-SUM(E17,K17,Q17,W17,AC17)-SUM(IF(F17&lt;R17,C17+D17-E17,0),IF(L17&lt;R17,I17+J17-K17,0),IF(X17&lt;R17,U17+V17-W17,0),IF(AD17&lt;R17,AA17+AB17-AC17,0)))))</x:f>
        <x:v>0</x:v>
      </x:c>
      <x:c r="T17" s="6" t="n">
        <x:f>ROUND(MAX(0,O17+P17-Q17-S17),2)</x:f>
        <x:v>375</x:v>
      </x:c>
      <x:c r="U17" s="6" t="n">
        <x:f>Z16</x:f>
        <x:v>0</x:v>
      </x:c>
      <x:c r="V17" s="6" t="n">
        <x:f>ROUND(U17*'Debt strategy'!$D$12/12,2)</x:f>
        <x:v>0</x:v>
      </x:c>
      <x:c r="W17" s="6" t="n">
        <x:f>MIN(U17+V17,'Debt strategy'!$E$12)</x:f>
        <x:v>0</x:v>
      </x:c>
      <x:c r="X17" s="27" t="n">
        <x:f>IF(U17+V17-W17&lt;=0,99,1+SUM(IF(AND(C17+D17-E17&gt;0,OR('Debt strategy'!$D$9&gt;'Debt strategy'!$D$12,AND('Debt strategy'!$D$9='Debt strategy'!$D$12,0&lt;3))),1,0),IF(AND(I17+J17-K17&gt;0,OR('Debt strategy'!$D$10&gt;'Debt strategy'!$D$12,AND('Debt strategy'!$D$10='Debt strategy'!$D$12,1&lt;3))),1,0),IF(AND(O17+P17-Q17&gt;0,OR('Debt strategy'!$D$11&gt;'Debt strategy'!$D$12,AND('Debt strategy'!$D$11='Debt strategy'!$D$12,2&lt;3))),1,0),IF(AND(AA17+AB17-AC17&gt;0,OR('Debt strategy'!$D$13&gt;'Debt strategy'!$D$12,AND('Debt strategy'!$D$13='Debt strategy'!$D$12,4&lt;3))),1,0)))</x:f>
        <x:v>99</x:v>
      </x:c>
      <x:c r="Y17" s="6" t="n">
        <x:f>IF('Debt strategy'!$C$16&gt;0,0,MIN(U17+V17-W17,MAX(0,'Debt strategy'!$C$5-SUM(E17,K17,Q17,W17,AC17)-SUM(IF(F17&lt;X17,C17+D17-E17,0),IF(L17&lt;X17,I17+J17-K17,0),IF(R17&lt;X17,O17+P17-Q17,0),IF(AD17&lt;X17,AA17+AB17-AC17,0)))))</x:f>
        <x:v>0</x:v>
      </x:c>
      <x:c r="Z17" s="6" t="n">
        <x:f>ROUND(MAX(0,U17+V17-W17-Y17),2)</x:f>
        <x:v>0</x:v>
      </x:c>
      <x:c r="AA17" s="6" t="n">
        <x:f>AF16</x:f>
        <x:v>0</x:v>
      </x:c>
      <x:c r="AB17" s="6" t="n">
        <x:f>ROUND(AA17*'Debt strategy'!$D$13/12,2)</x:f>
        <x:v>0</x:v>
      </x:c>
      <x:c r="AC17" s="6" t="n">
        <x:f>MIN(AA17+AB17,'Debt strategy'!$E$13)</x:f>
        <x:v>0</x:v>
      </x:c>
      <x:c r="AD17" s="27" t="n">
        <x:f>IF(AA17+AB17-AC17&lt;=0,99,1+SUM(IF(AND(C17+D17-E17&gt;0,OR('Debt strategy'!$D$9&gt;'Debt strategy'!$D$13,AND('Debt strategy'!$D$9='Debt strategy'!$D$13,0&lt;4))),1,0),IF(AND(I17+J17-K17&gt;0,OR('Debt strategy'!$D$10&gt;'Debt strategy'!$D$13,AND('Debt strategy'!$D$10='Debt strategy'!$D$13,1&lt;4))),1,0),IF(AND(O17+P17-Q17&gt;0,OR('Debt strategy'!$D$11&gt;'Debt strategy'!$D$13,AND('Debt strategy'!$D$11='Debt strategy'!$D$13,2&lt;4))),1,0),IF(AND(U17+V17-W17&gt;0,OR('Debt strategy'!$D$12&gt;'Debt strategy'!$D$13,AND('Debt strategy'!$D$12='Debt strategy'!$D$13,3&lt;4))),1,0)))</x:f>
        <x:v>99</x:v>
      </x:c>
      <x:c r="AE17" s="6" t="n">
        <x:f>IF('Debt strategy'!$C$16&gt;0,0,MIN(AA17+AB17-AC17,MAX(0,'Debt strategy'!$C$5-SUM(E17,K17,Q17,W17,AC17)-SUM(IF(F17&lt;AD17,C17+D17-E17,0),IF(L17&lt;AD17,I17+J17-K17,0),IF(R17&lt;AD17,O17+P17-Q17,0),IF(X17&lt;AD17,U17+V17-W17,0)))))</x:f>
        <x:v>0</x:v>
      </x:c>
      <x:c r="AF17" s="6" t="n">
        <x:f>ROUND(MAX(0,AA17+AB17-AC17-AE17),2)</x:f>
        <x:v>0</x:v>
      </x:c>
      <x:c r="AG17" s="6" t="n">
        <x:f>SUM(H17,N17,T17,Z17,AF17)</x:f>
        <x:v>6238.24</x:v>
      </x:c>
      <x:c r="AH17" s="6" t="n">
        <x:f>SUM(D17,J17,P17,V17,AB17)+AH16</x:f>
        <x:v>738.24</x:v>
      </x:c>
      <x:c r="AI17" s="2"/>
    </x:row>
    <x:row r="18" ht="23" customHeight="1">
      <x:c r="B18" s="2" t="n">
        <x:f>10</x:f>
        <x:v>10</x:v>
      </x:c>
      <x:c r="C18" s="6" t="n">
        <x:f>H17</x:f>
        <x:v>1941.69</x:v>
      </x:c>
      <x:c r="D18" s="6" t="n">
        <x:f>ROUND(C18*'Debt strategy'!$D$9/12,2)</x:f>
        <x:v>35.6</x:v>
      </x:c>
      <x:c r="E18" s="6" t="n">
        <x:f>MIN(C18+D18,'Debt strategy'!$E$9)</x:f>
        <x:v>100</x:v>
      </x:c>
      <x:c r="F18" s="27" t="n">
        <x:f>IF(C18+D18-E18&lt;=0,99,1+SUM(IF(AND(I18+J18-K18&gt;0,OR('Debt strategy'!$D$10&gt;'Debt strategy'!$D$9,AND('Debt strategy'!$D$10='Debt strategy'!$D$9,1&lt;0))),1,0),IF(AND(O18+P18-Q18&gt;0,OR('Debt strategy'!$D$11&gt;'Debt strategy'!$D$9,AND('Debt strategy'!$D$11='Debt strategy'!$D$9,2&lt;0))),1,0),IF(AND(U18+V18-W18&gt;0,OR('Debt strategy'!$D$12&gt;'Debt strategy'!$D$9,AND('Debt strategy'!$D$12='Debt strategy'!$D$9,3&lt;0))),1,0),IF(AND(AA18+AB18-AC18&gt;0,OR('Debt strategy'!$D$13&gt;'Debt strategy'!$D$9,AND('Debt strategy'!$D$13='Debt strategy'!$D$9,4&lt;0))),1,0)))</x:f>
        <x:v>1</x:v>
      </x:c>
      <x:c r="G18" s="6" t="n">
        <x:f>IF('Debt strategy'!$C$16&gt;0,0,MIN(C18+D18-E18,MAX(0,'Debt strategy'!$C$5-SUM(E18,K18,Q18,W18,AC18)-SUM(IF(L18&lt;F18,I18+J18-K18,0),IF(R18&lt;F18,O18+P18-Q18,0),IF(X18&lt;F18,U18+V18-W18,0),IF(AD18&lt;F18,AA18+AB18-AC18,0)))))</x:f>
        <x:v>125</x:v>
      </x:c>
      <x:c r="H18" s="6" t="n">
        <x:f>ROUND(MAX(0,C18+D18-E18-G18),2)</x:f>
        <x:v>1752.29</x:v>
      </x:c>
      <x:c r="I18" s="6" t="n">
        <x:f>N17</x:f>
        <x:v>3921.55</x:v>
      </x:c>
      <x:c r="J18" s="6" t="n">
        <x:f>ROUND(I18*'Debt strategy'!$D$10/12,2)</x:f>
        <x:v>26.14</x:v>
      </x:c>
      <x:c r="K18" s="6" t="n">
        <x:f>MIN(I18+J18,'Debt strategy'!$E$10)</x:f>
        <x:v>150</x:v>
      </x:c>
      <x:c r="L18" s="27" t="n">
        <x:f>IF(I18+J18-K18&lt;=0,99,1+SUM(IF(AND(C18+D18-E18&gt;0,OR('Debt strategy'!$D$9&gt;'Debt strategy'!$D$10,AND('Debt strategy'!$D$9='Debt strategy'!$D$10,0&lt;1))),1,0),IF(AND(O18+P18-Q18&gt;0,OR('Debt strategy'!$D$11&gt;'Debt strategy'!$D$10,AND('Debt strategy'!$D$11='Debt strategy'!$D$10,2&lt;1))),1,0),IF(AND(U18+V18-W18&gt;0,OR('Debt strategy'!$D$12&gt;'Debt strategy'!$D$10,AND('Debt strategy'!$D$12='Debt strategy'!$D$10,3&lt;1))),1,0),IF(AND(AA18+AB18-AC18&gt;0,OR('Debt strategy'!$D$13&gt;'Debt strategy'!$D$10,AND('Debt strategy'!$D$13='Debt strategy'!$D$10,4&lt;1))),1,0)))</x:f>
        <x:v>2</x:v>
      </x:c>
      <x:c r="M18" s="6" t="n">
        <x:f>IF('Debt strategy'!$C$16&gt;0,0,MIN(I18+J18-K18,MAX(0,'Debt strategy'!$C$5-SUM(E18,K18,Q18,W18,AC18)-SUM(IF(F18&lt;L18,C18+D18-E18,0),IF(R18&lt;L18,O18+P18-Q18,0),IF(X18&lt;L18,U18+V18-W18,0),IF(AD18&lt;L18,AA18+AB18-AC18,0)))))</x:f>
        <x:v>0</x:v>
      </x:c>
      <x:c r="N18" s="6" t="n">
        <x:f>ROUND(MAX(0,I18+J18-K18-M18),2)</x:f>
        <x:v>3797.69</x:v>
      </x:c>
      <x:c r="O18" s="6" t="n">
        <x:f>T17</x:f>
        <x:v>375</x:v>
      </x:c>
      <x:c r="P18" s="6" t="n">
        <x:f>ROUND(O18*'Debt strategy'!$D$11/12,2)</x:f>
        <x:v>0</x:v>
      </x:c>
      <x:c r="Q18" s="6" t="n">
        <x:f>MIN(O18+P18,'Debt strategy'!$E$11)</x:f>
        <x:v>25</x:v>
      </x:c>
      <x:c r="R18" s="27" t="n">
        <x:f>IF(O18+P18-Q18&lt;=0,99,1+SUM(IF(AND(C18+D18-E18&gt;0,OR('Debt strategy'!$D$9&gt;'Debt strategy'!$D$11,AND('Debt strategy'!$D$9='Debt strategy'!$D$11,0&lt;2))),1,0),IF(AND(I18+J18-K18&gt;0,OR('Debt strategy'!$D$10&gt;'Debt strategy'!$D$11,AND('Debt strategy'!$D$10='Debt strategy'!$D$11,1&lt;2))),1,0),IF(AND(U18+V18-W18&gt;0,OR('Debt strategy'!$D$12&gt;'Debt strategy'!$D$11,AND('Debt strategy'!$D$12='Debt strategy'!$D$11,3&lt;2))),1,0),IF(AND(AA18+AB18-AC18&gt;0,OR('Debt strategy'!$D$13&gt;'Debt strategy'!$D$11,AND('Debt strategy'!$D$13='Debt strategy'!$D$11,4&lt;2))),1,0)))</x:f>
        <x:v>3</x:v>
      </x:c>
      <x:c r="S18" s="6" t="n">
        <x:f>IF('Debt strategy'!$C$16&gt;0,0,MIN(O18+P18-Q18,MAX(0,'Debt strategy'!$C$5-SUM(E18,K18,Q18,W18,AC18)-SUM(IF(F18&lt;R18,C18+D18-E18,0),IF(L18&lt;R18,I18+J18-K18,0),IF(X18&lt;R18,U18+V18-W18,0),IF(AD18&lt;R18,AA18+AB18-AC18,0)))))</x:f>
        <x:v>0</x:v>
      </x:c>
      <x:c r="T18" s="6" t="n">
        <x:f>ROUND(MAX(0,O18+P18-Q18-S18),2)</x:f>
        <x:v>350</x:v>
      </x:c>
      <x:c r="U18" s="6" t="n">
        <x:f>Z17</x:f>
        <x:v>0</x:v>
      </x:c>
      <x:c r="V18" s="6" t="n">
        <x:f>ROUND(U18*'Debt strategy'!$D$12/12,2)</x:f>
        <x:v>0</x:v>
      </x:c>
      <x:c r="W18" s="6" t="n">
        <x:f>MIN(U18+V18,'Debt strategy'!$E$12)</x:f>
        <x:v>0</x:v>
      </x:c>
      <x:c r="X18" s="27" t="n">
        <x:f>IF(U18+V18-W18&lt;=0,99,1+SUM(IF(AND(C18+D18-E18&gt;0,OR('Debt strategy'!$D$9&gt;'Debt strategy'!$D$12,AND('Debt strategy'!$D$9='Debt strategy'!$D$12,0&lt;3))),1,0),IF(AND(I18+J18-K18&gt;0,OR('Debt strategy'!$D$10&gt;'Debt strategy'!$D$12,AND('Debt strategy'!$D$10='Debt strategy'!$D$12,1&lt;3))),1,0),IF(AND(O18+P18-Q18&gt;0,OR('Debt strategy'!$D$11&gt;'Debt strategy'!$D$12,AND('Debt strategy'!$D$11='Debt strategy'!$D$12,2&lt;3))),1,0),IF(AND(AA18+AB18-AC18&gt;0,OR('Debt strategy'!$D$13&gt;'Debt strategy'!$D$12,AND('Debt strategy'!$D$13='Debt strategy'!$D$12,4&lt;3))),1,0)))</x:f>
        <x:v>99</x:v>
      </x:c>
      <x:c r="Y18" s="6" t="n">
        <x:f>IF('Debt strategy'!$C$16&gt;0,0,MIN(U18+V18-W18,MAX(0,'Debt strategy'!$C$5-SUM(E18,K18,Q18,W18,AC18)-SUM(IF(F18&lt;X18,C18+D18-E18,0),IF(L18&lt;X18,I18+J18-K18,0),IF(R18&lt;X18,O18+P18-Q18,0),IF(AD18&lt;X18,AA18+AB18-AC18,0)))))</x:f>
        <x:v>0</x:v>
      </x:c>
      <x:c r="Z18" s="6" t="n">
        <x:f>ROUND(MAX(0,U18+V18-W18-Y18),2)</x:f>
        <x:v>0</x:v>
      </x:c>
      <x:c r="AA18" s="6" t="n">
        <x:f>AF17</x:f>
        <x:v>0</x:v>
      </x:c>
      <x:c r="AB18" s="6" t="n">
        <x:f>ROUND(AA18*'Debt strategy'!$D$13/12,2)</x:f>
        <x:v>0</x:v>
      </x:c>
      <x:c r="AC18" s="6" t="n">
        <x:f>MIN(AA18+AB18,'Debt strategy'!$E$13)</x:f>
        <x:v>0</x:v>
      </x:c>
      <x:c r="AD18" s="27" t="n">
        <x:f>IF(AA18+AB18-AC18&lt;=0,99,1+SUM(IF(AND(C18+D18-E18&gt;0,OR('Debt strategy'!$D$9&gt;'Debt strategy'!$D$13,AND('Debt strategy'!$D$9='Debt strategy'!$D$13,0&lt;4))),1,0),IF(AND(I18+J18-K18&gt;0,OR('Debt strategy'!$D$10&gt;'Debt strategy'!$D$13,AND('Debt strategy'!$D$10='Debt strategy'!$D$13,1&lt;4))),1,0),IF(AND(O18+P18-Q18&gt;0,OR('Debt strategy'!$D$11&gt;'Debt strategy'!$D$13,AND('Debt strategy'!$D$11='Debt strategy'!$D$13,2&lt;4))),1,0),IF(AND(U18+V18-W18&gt;0,OR('Debt strategy'!$D$12&gt;'Debt strategy'!$D$13,AND('Debt strategy'!$D$12='Debt strategy'!$D$13,3&lt;4))),1,0)))</x:f>
        <x:v>99</x:v>
      </x:c>
      <x:c r="AE18" s="6" t="n">
        <x:f>IF('Debt strategy'!$C$16&gt;0,0,MIN(AA18+AB18-AC18,MAX(0,'Debt strategy'!$C$5-SUM(E18,K18,Q18,W18,AC18)-SUM(IF(F18&lt;AD18,C18+D18-E18,0),IF(L18&lt;AD18,I18+J18-K18,0),IF(R18&lt;AD18,O18+P18-Q18,0),IF(X18&lt;AD18,U18+V18-W18,0)))))</x:f>
        <x:v>0</x:v>
      </x:c>
      <x:c r="AF18" s="6" t="n">
        <x:f>ROUND(MAX(0,AA18+AB18-AC18-AE18),2)</x:f>
        <x:v>0</x:v>
      </x:c>
      <x:c r="AG18" s="6" t="n">
        <x:f>SUM(H18,N18,T18,Z18,AF18)</x:f>
        <x:v>5899.98</x:v>
      </x:c>
      <x:c r="AH18" s="6" t="n">
        <x:f>SUM(D18,J18,P18,V18,AB18)+AH17</x:f>
        <x:v>799.98</x:v>
      </x:c>
      <x:c r="AI18" s="2"/>
    </x:row>
    <x:row r="19" ht="23" customHeight="1">
      <x:c r="B19" s="2" t="n">
        <x:f>11</x:f>
        <x:v>11</x:v>
      </x:c>
      <x:c r="C19" s="6" t="n">
        <x:f>H18</x:f>
        <x:v>1752.29</x:v>
      </x:c>
      <x:c r="D19" s="6" t="n">
        <x:f>ROUND(C19*'Debt strategy'!$D$9/12,2)</x:f>
        <x:v>32.13</x:v>
      </x:c>
      <x:c r="E19" s="6" t="n">
        <x:f>MIN(C19+D19,'Debt strategy'!$E$9)</x:f>
        <x:v>100</x:v>
      </x:c>
      <x:c r="F19" s="27" t="n">
        <x:f>IF(C19+D19-E19&lt;=0,99,1+SUM(IF(AND(I19+J19-K19&gt;0,OR('Debt strategy'!$D$10&gt;'Debt strategy'!$D$9,AND('Debt strategy'!$D$10='Debt strategy'!$D$9,1&lt;0))),1,0),IF(AND(O19+P19-Q19&gt;0,OR('Debt strategy'!$D$11&gt;'Debt strategy'!$D$9,AND('Debt strategy'!$D$11='Debt strategy'!$D$9,2&lt;0))),1,0),IF(AND(U19+V19-W19&gt;0,OR('Debt strategy'!$D$12&gt;'Debt strategy'!$D$9,AND('Debt strategy'!$D$12='Debt strategy'!$D$9,3&lt;0))),1,0),IF(AND(AA19+AB19-AC19&gt;0,OR('Debt strategy'!$D$13&gt;'Debt strategy'!$D$9,AND('Debt strategy'!$D$13='Debt strategy'!$D$9,4&lt;0))),1,0)))</x:f>
        <x:v>1</x:v>
      </x:c>
      <x:c r="G19" s="6" t="n">
        <x:f>IF('Debt strategy'!$C$16&gt;0,0,MIN(C19+D19-E19,MAX(0,'Debt strategy'!$C$5-SUM(E19,K19,Q19,W19,AC19)-SUM(IF(L19&lt;F19,I19+J19-K19,0),IF(R19&lt;F19,O19+P19-Q19,0),IF(X19&lt;F19,U19+V19-W19,0),IF(AD19&lt;F19,AA19+AB19-AC19,0)))))</x:f>
        <x:v>125</x:v>
      </x:c>
      <x:c r="H19" s="6" t="n">
        <x:f>ROUND(MAX(0,C19+D19-E19-G19),2)</x:f>
        <x:v>1559.42</x:v>
      </x:c>
      <x:c r="I19" s="6" t="n">
        <x:f>N18</x:f>
        <x:v>3797.69</x:v>
      </x:c>
      <x:c r="J19" s="6" t="n">
        <x:f>ROUND(I19*'Debt strategy'!$D$10/12,2)</x:f>
        <x:v>25.32</x:v>
      </x:c>
      <x:c r="K19" s="6" t="n">
        <x:f>MIN(I19+J19,'Debt strategy'!$E$10)</x:f>
        <x:v>150</x:v>
      </x:c>
      <x:c r="L19" s="27" t="n">
        <x:f>IF(I19+J19-K19&lt;=0,99,1+SUM(IF(AND(C19+D19-E19&gt;0,OR('Debt strategy'!$D$9&gt;'Debt strategy'!$D$10,AND('Debt strategy'!$D$9='Debt strategy'!$D$10,0&lt;1))),1,0),IF(AND(O19+P19-Q19&gt;0,OR('Debt strategy'!$D$11&gt;'Debt strategy'!$D$10,AND('Debt strategy'!$D$11='Debt strategy'!$D$10,2&lt;1))),1,0),IF(AND(U19+V19-W19&gt;0,OR('Debt strategy'!$D$12&gt;'Debt strategy'!$D$10,AND('Debt strategy'!$D$12='Debt strategy'!$D$10,3&lt;1))),1,0),IF(AND(AA19+AB19-AC19&gt;0,OR('Debt strategy'!$D$13&gt;'Debt strategy'!$D$10,AND('Debt strategy'!$D$13='Debt strategy'!$D$10,4&lt;1))),1,0)))</x:f>
        <x:v>2</x:v>
      </x:c>
      <x:c r="M19" s="6" t="n">
        <x:f>IF('Debt strategy'!$C$16&gt;0,0,MIN(I19+J19-K19,MAX(0,'Debt strategy'!$C$5-SUM(E19,K19,Q19,W19,AC19)-SUM(IF(F19&lt;L19,C19+D19-E19,0),IF(R19&lt;L19,O19+P19-Q19,0),IF(X19&lt;L19,U19+V19-W19,0),IF(AD19&lt;L19,AA19+AB19-AC19,0)))))</x:f>
        <x:v>0</x:v>
      </x:c>
      <x:c r="N19" s="6" t="n">
        <x:f>ROUND(MAX(0,I19+J19-K19-M19),2)</x:f>
        <x:v>3673.01</x:v>
      </x:c>
      <x:c r="O19" s="6" t="n">
        <x:f>T18</x:f>
        <x:v>350</x:v>
      </x:c>
      <x:c r="P19" s="6" t="n">
        <x:f>ROUND(O19*'Debt strategy'!$D$11/12,2)</x:f>
        <x:v>0</x:v>
      </x:c>
      <x:c r="Q19" s="6" t="n">
        <x:f>MIN(O19+P19,'Debt strategy'!$E$11)</x:f>
        <x:v>25</x:v>
      </x:c>
      <x:c r="R19" s="27" t="n">
        <x:f>IF(O19+P19-Q19&lt;=0,99,1+SUM(IF(AND(C19+D19-E19&gt;0,OR('Debt strategy'!$D$9&gt;'Debt strategy'!$D$11,AND('Debt strategy'!$D$9='Debt strategy'!$D$11,0&lt;2))),1,0),IF(AND(I19+J19-K19&gt;0,OR('Debt strategy'!$D$10&gt;'Debt strategy'!$D$11,AND('Debt strategy'!$D$10='Debt strategy'!$D$11,1&lt;2))),1,0),IF(AND(U19+V19-W19&gt;0,OR('Debt strategy'!$D$12&gt;'Debt strategy'!$D$11,AND('Debt strategy'!$D$12='Debt strategy'!$D$11,3&lt;2))),1,0),IF(AND(AA19+AB19-AC19&gt;0,OR('Debt strategy'!$D$13&gt;'Debt strategy'!$D$11,AND('Debt strategy'!$D$13='Debt strategy'!$D$11,4&lt;2))),1,0)))</x:f>
        <x:v>3</x:v>
      </x:c>
      <x:c r="S19" s="6" t="n">
        <x:f>IF('Debt strategy'!$C$16&gt;0,0,MIN(O19+P19-Q19,MAX(0,'Debt strategy'!$C$5-SUM(E19,K19,Q19,W19,AC19)-SUM(IF(F19&lt;R19,C19+D19-E19,0),IF(L19&lt;R19,I19+J19-K19,0),IF(X19&lt;R19,U19+V19-W19,0),IF(AD19&lt;R19,AA19+AB19-AC19,0)))))</x:f>
        <x:v>0</x:v>
      </x:c>
      <x:c r="T19" s="6" t="n">
        <x:f>ROUND(MAX(0,O19+P19-Q19-S19),2)</x:f>
        <x:v>325</x:v>
      </x:c>
      <x:c r="U19" s="6" t="n">
        <x:f>Z18</x:f>
        <x:v>0</x:v>
      </x:c>
      <x:c r="V19" s="6" t="n">
        <x:f>ROUND(U19*'Debt strategy'!$D$12/12,2)</x:f>
        <x:v>0</x:v>
      </x:c>
      <x:c r="W19" s="6" t="n">
        <x:f>MIN(U19+V19,'Debt strategy'!$E$12)</x:f>
        <x:v>0</x:v>
      </x:c>
      <x:c r="X19" s="27" t="n">
        <x:f>IF(U19+V19-W19&lt;=0,99,1+SUM(IF(AND(C19+D19-E19&gt;0,OR('Debt strategy'!$D$9&gt;'Debt strategy'!$D$12,AND('Debt strategy'!$D$9='Debt strategy'!$D$12,0&lt;3))),1,0),IF(AND(I19+J19-K19&gt;0,OR('Debt strategy'!$D$10&gt;'Debt strategy'!$D$12,AND('Debt strategy'!$D$10='Debt strategy'!$D$12,1&lt;3))),1,0),IF(AND(O19+P19-Q19&gt;0,OR('Debt strategy'!$D$11&gt;'Debt strategy'!$D$12,AND('Debt strategy'!$D$11='Debt strategy'!$D$12,2&lt;3))),1,0),IF(AND(AA19+AB19-AC19&gt;0,OR('Debt strategy'!$D$13&gt;'Debt strategy'!$D$12,AND('Debt strategy'!$D$13='Debt strategy'!$D$12,4&lt;3))),1,0)))</x:f>
        <x:v>99</x:v>
      </x:c>
      <x:c r="Y19" s="6" t="n">
        <x:f>IF('Debt strategy'!$C$16&gt;0,0,MIN(U19+V19-W19,MAX(0,'Debt strategy'!$C$5-SUM(E19,K19,Q19,W19,AC19)-SUM(IF(F19&lt;X19,C19+D19-E19,0),IF(L19&lt;X19,I19+J19-K19,0),IF(R19&lt;X19,O19+P19-Q19,0),IF(AD19&lt;X19,AA19+AB19-AC19,0)))))</x:f>
        <x:v>0</x:v>
      </x:c>
      <x:c r="Z19" s="6" t="n">
        <x:f>ROUND(MAX(0,U19+V19-W19-Y19),2)</x:f>
        <x:v>0</x:v>
      </x:c>
      <x:c r="AA19" s="6" t="n">
        <x:f>AF18</x:f>
        <x:v>0</x:v>
      </x:c>
      <x:c r="AB19" s="6" t="n">
        <x:f>ROUND(AA19*'Debt strategy'!$D$13/12,2)</x:f>
        <x:v>0</x:v>
      </x:c>
      <x:c r="AC19" s="6" t="n">
        <x:f>MIN(AA19+AB19,'Debt strategy'!$E$13)</x:f>
        <x:v>0</x:v>
      </x:c>
      <x:c r="AD19" s="27" t="n">
        <x:f>IF(AA19+AB19-AC19&lt;=0,99,1+SUM(IF(AND(C19+D19-E19&gt;0,OR('Debt strategy'!$D$9&gt;'Debt strategy'!$D$13,AND('Debt strategy'!$D$9='Debt strategy'!$D$13,0&lt;4))),1,0),IF(AND(I19+J19-K19&gt;0,OR('Debt strategy'!$D$10&gt;'Debt strategy'!$D$13,AND('Debt strategy'!$D$10='Debt strategy'!$D$13,1&lt;4))),1,0),IF(AND(O19+P19-Q19&gt;0,OR('Debt strategy'!$D$11&gt;'Debt strategy'!$D$13,AND('Debt strategy'!$D$11='Debt strategy'!$D$13,2&lt;4))),1,0),IF(AND(U19+V19-W19&gt;0,OR('Debt strategy'!$D$12&gt;'Debt strategy'!$D$13,AND('Debt strategy'!$D$12='Debt strategy'!$D$13,3&lt;4))),1,0)))</x:f>
        <x:v>99</x:v>
      </x:c>
      <x:c r="AE19" s="6" t="n">
        <x:f>IF('Debt strategy'!$C$16&gt;0,0,MIN(AA19+AB19-AC19,MAX(0,'Debt strategy'!$C$5-SUM(E19,K19,Q19,W19,AC19)-SUM(IF(F19&lt;AD19,C19+D19-E19,0),IF(L19&lt;AD19,I19+J19-K19,0),IF(R19&lt;AD19,O19+P19-Q19,0),IF(X19&lt;AD19,U19+V19-W19,0)))))</x:f>
        <x:v>0</x:v>
      </x:c>
      <x:c r="AF19" s="6" t="n">
        <x:f>ROUND(MAX(0,AA19+AB19-AC19-AE19),2)</x:f>
        <x:v>0</x:v>
      </x:c>
      <x:c r="AG19" s="6" t="n">
        <x:f>SUM(H19,N19,T19,Z19,AF19)</x:f>
        <x:v>5557.43</x:v>
      </x:c>
      <x:c r="AH19" s="6" t="n">
        <x:f>SUM(D19,J19,P19,V19,AB19)+AH18</x:f>
        <x:v>857.4300000000001</x:v>
      </x:c>
      <x:c r="AI19" s="2"/>
    </x:row>
    <x:row r="20" ht="23" customHeight="1">
      <x:c r="B20" s="2" t="n">
        <x:f>12</x:f>
        <x:v>12</x:v>
      </x:c>
      <x:c r="C20" s="6" t="n">
        <x:f>H19</x:f>
        <x:v>1559.42</x:v>
      </x:c>
      <x:c r="D20" s="6" t="n">
        <x:f>ROUND(C20*'Debt strategy'!$D$9/12,2)</x:f>
        <x:v>28.59</x:v>
      </x:c>
      <x:c r="E20" s="6" t="n">
        <x:f>MIN(C20+D20,'Debt strategy'!$E$9)</x:f>
        <x:v>100</x:v>
      </x:c>
      <x:c r="F20" s="27" t="n">
        <x:f>IF(C20+D20-E20&lt;=0,99,1+SUM(IF(AND(I20+J20-K20&gt;0,OR('Debt strategy'!$D$10&gt;'Debt strategy'!$D$9,AND('Debt strategy'!$D$10='Debt strategy'!$D$9,1&lt;0))),1,0),IF(AND(O20+P20-Q20&gt;0,OR('Debt strategy'!$D$11&gt;'Debt strategy'!$D$9,AND('Debt strategy'!$D$11='Debt strategy'!$D$9,2&lt;0))),1,0),IF(AND(U20+V20-W20&gt;0,OR('Debt strategy'!$D$12&gt;'Debt strategy'!$D$9,AND('Debt strategy'!$D$12='Debt strategy'!$D$9,3&lt;0))),1,0),IF(AND(AA20+AB20-AC20&gt;0,OR('Debt strategy'!$D$13&gt;'Debt strategy'!$D$9,AND('Debt strategy'!$D$13='Debt strategy'!$D$9,4&lt;0))),1,0)))</x:f>
        <x:v>1</x:v>
      </x:c>
      <x:c r="G20" s="6" t="n">
        <x:f>IF('Debt strategy'!$C$16&gt;0,0,MIN(C20+D20-E20,MAX(0,'Debt strategy'!$C$5-SUM(E20,K20,Q20,W20,AC20)-SUM(IF(L20&lt;F20,I20+J20-K20,0),IF(R20&lt;F20,O20+P20-Q20,0),IF(X20&lt;F20,U20+V20-W20,0),IF(AD20&lt;F20,AA20+AB20-AC20,0)))))</x:f>
        <x:v>125</x:v>
      </x:c>
      <x:c r="H20" s="6" t="n">
        <x:f>ROUND(MAX(0,C20+D20-E20-G20),2)</x:f>
        <x:v>1363.01</x:v>
      </x:c>
      <x:c r="I20" s="6" t="n">
        <x:f>N19</x:f>
        <x:v>3673.01</x:v>
      </x:c>
      <x:c r="J20" s="6" t="n">
        <x:f>ROUND(I20*'Debt strategy'!$D$10/12,2)</x:f>
        <x:v>24.49</x:v>
      </x:c>
      <x:c r="K20" s="6" t="n">
        <x:f>MIN(I20+J20,'Debt strategy'!$E$10)</x:f>
        <x:v>150</x:v>
      </x:c>
      <x:c r="L20" s="27" t="n">
        <x:f>IF(I20+J20-K20&lt;=0,99,1+SUM(IF(AND(C20+D20-E20&gt;0,OR('Debt strategy'!$D$9&gt;'Debt strategy'!$D$10,AND('Debt strategy'!$D$9='Debt strategy'!$D$10,0&lt;1))),1,0),IF(AND(O20+P20-Q20&gt;0,OR('Debt strategy'!$D$11&gt;'Debt strategy'!$D$10,AND('Debt strategy'!$D$11='Debt strategy'!$D$10,2&lt;1))),1,0),IF(AND(U20+V20-W20&gt;0,OR('Debt strategy'!$D$12&gt;'Debt strategy'!$D$10,AND('Debt strategy'!$D$12='Debt strategy'!$D$10,3&lt;1))),1,0),IF(AND(AA20+AB20-AC20&gt;0,OR('Debt strategy'!$D$13&gt;'Debt strategy'!$D$10,AND('Debt strategy'!$D$13='Debt strategy'!$D$10,4&lt;1))),1,0)))</x:f>
        <x:v>2</x:v>
      </x:c>
      <x:c r="M20" s="6" t="n">
        <x:f>IF('Debt strategy'!$C$16&gt;0,0,MIN(I20+J20-K20,MAX(0,'Debt strategy'!$C$5-SUM(E20,K20,Q20,W20,AC20)-SUM(IF(F20&lt;L20,C20+D20-E20,0),IF(R20&lt;L20,O20+P20-Q20,0),IF(X20&lt;L20,U20+V20-W20,0),IF(AD20&lt;L20,AA20+AB20-AC20,0)))))</x:f>
        <x:v>0</x:v>
      </x:c>
      <x:c r="N20" s="6" t="n">
        <x:f>ROUND(MAX(0,I20+J20-K20-M20),2)</x:f>
        <x:v>3547.5</x:v>
      </x:c>
      <x:c r="O20" s="6" t="n">
        <x:f>T19</x:f>
        <x:v>325</x:v>
      </x:c>
      <x:c r="P20" s="6" t="n">
        <x:f>ROUND(O20*'Debt strategy'!$D$11/12,2)</x:f>
        <x:v>0</x:v>
      </x:c>
      <x:c r="Q20" s="6" t="n">
        <x:f>MIN(O20+P20,'Debt strategy'!$E$11)</x:f>
        <x:v>25</x:v>
      </x:c>
      <x:c r="R20" s="27" t="n">
        <x:f>IF(O20+P20-Q20&lt;=0,99,1+SUM(IF(AND(C20+D20-E20&gt;0,OR('Debt strategy'!$D$9&gt;'Debt strategy'!$D$11,AND('Debt strategy'!$D$9='Debt strategy'!$D$11,0&lt;2))),1,0),IF(AND(I20+J20-K20&gt;0,OR('Debt strategy'!$D$10&gt;'Debt strategy'!$D$11,AND('Debt strategy'!$D$10='Debt strategy'!$D$11,1&lt;2))),1,0),IF(AND(U20+V20-W20&gt;0,OR('Debt strategy'!$D$12&gt;'Debt strategy'!$D$11,AND('Debt strategy'!$D$12='Debt strategy'!$D$11,3&lt;2))),1,0),IF(AND(AA20+AB20-AC20&gt;0,OR('Debt strategy'!$D$13&gt;'Debt strategy'!$D$11,AND('Debt strategy'!$D$13='Debt strategy'!$D$11,4&lt;2))),1,0)))</x:f>
        <x:v>3</x:v>
      </x:c>
      <x:c r="S20" s="6" t="n">
        <x:f>IF('Debt strategy'!$C$16&gt;0,0,MIN(O20+P20-Q20,MAX(0,'Debt strategy'!$C$5-SUM(E20,K20,Q20,W20,AC20)-SUM(IF(F20&lt;R20,C20+D20-E20,0),IF(L20&lt;R20,I20+J20-K20,0),IF(X20&lt;R20,U20+V20-W20,0),IF(AD20&lt;R20,AA20+AB20-AC20,0)))))</x:f>
        <x:v>0</x:v>
      </x:c>
      <x:c r="T20" s="6" t="n">
        <x:f>ROUND(MAX(0,O20+P20-Q20-S20),2)</x:f>
        <x:v>300</x:v>
      </x:c>
      <x:c r="U20" s="6" t="n">
        <x:f>Z19</x:f>
        <x:v>0</x:v>
      </x:c>
      <x:c r="V20" s="6" t="n">
        <x:f>ROUND(U20*'Debt strategy'!$D$12/12,2)</x:f>
        <x:v>0</x:v>
      </x:c>
      <x:c r="W20" s="6" t="n">
        <x:f>MIN(U20+V20,'Debt strategy'!$E$12)</x:f>
        <x:v>0</x:v>
      </x:c>
      <x:c r="X20" s="27" t="n">
        <x:f>IF(U20+V20-W20&lt;=0,99,1+SUM(IF(AND(C20+D20-E20&gt;0,OR('Debt strategy'!$D$9&gt;'Debt strategy'!$D$12,AND('Debt strategy'!$D$9='Debt strategy'!$D$12,0&lt;3))),1,0),IF(AND(I20+J20-K20&gt;0,OR('Debt strategy'!$D$10&gt;'Debt strategy'!$D$12,AND('Debt strategy'!$D$10='Debt strategy'!$D$12,1&lt;3))),1,0),IF(AND(O20+P20-Q20&gt;0,OR('Debt strategy'!$D$11&gt;'Debt strategy'!$D$12,AND('Debt strategy'!$D$11='Debt strategy'!$D$12,2&lt;3))),1,0),IF(AND(AA20+AB20-AC20&gt;0,OR('Debt strategy'!$D$13&gt;'Debt strategy'!$D$12,AND('Debt strategy'!$D$13='Debt strategy'!$D$12,4&lt;3))),1,0)))</x:f>
        <x:v>99</x:v>
      </x:c>
      <x:c r="Y20" s="6" t="n">
        <x:f>IF('Debt strategy'!$C$16&gt;0,0,MIN(U20+V20-W20,MAX(0,'Debt strategy'!$C$5-SUM(E20,K20,Q20,W20,AC20)-SUM(IF(F20&lt;X20,C20+D20-E20,0),IF(L20&lt;X20,I20+J20-K20,0),IF(R20&lt;X20,O20+P20-Q20,0),IF(AD20&lt;X20,AA20+AB20-AC20,0)))))</x:f>
        <x:v>0</x:v>
      </x:c>
      <x:c r="Z20" s="6" t="n">
        <x:f>ROUND(MAX(0,U20+V20-W20-Y20),2)</x:f>
        <x:v>0</x:v>
      </x:c>
      <x:c r="AA20" s="6" t="n">
        <x:f>AF19</x:f>
        <x:v>0</x:v>
      </x:c>
      <x:c r="AB20" s="6" t="n">
        <x:f>ROUND(AA20*'Debt strategy'!$D$13/12,2)</x:f>
        <x:v>0</x:v>
      </x:c>
      <x:c r="AC20" s="6" t="n">
        <x:f>MIN(AA20+AB20,'Debt strategy'!$E$13)</x:f>
        <x:v>0</x:v>
      </x:c>
      <x:c r="AD20" s="27" t="n">
        <x:f>IF(AA20+AB20-AC20&lt;=0,99,1+SUM(IF(AND(C20+D20-E20&gt;0,OR('Debt strategy'!$D$9&gt;'Debt strategy'!$D$13,AND('Debt strategy'!$D$9='Debt strategy'!$D$13,0&lt;4))),1,0),IF(AND(I20+J20-K20&gt;0,OR('Debt strategy'!$D$10&gt;'Debt strategy'!$D$13,AND('Debt strategy'!$D$10='Debt strategy'!$D$13,1&lt;4))),1,0),IF(AND(O20+P20-Q20&gt;0,OR('Debt strategy'!$D$11&gt;'Debt strategy'!$D$13,AND('Debt strategy'!$D$11='Debt strategy'!$D$13,2&lt;4))),1,0),IF(AND(U20+V20-W20&gt;0,OR('Debt strategy'!$D$12&gt;'Debt strategy'!$D$13,AND('Debt strategy'!$D$12='Debt strategy'!$D$13,3&lt;4))),1,0)))</x:f>
        <x:v>99</x:v>
      </x:c>
      <x:c r="AE20" s="6" t="n">
        <x:f>IF('Debt strategy'!$C$16&gt;0,0,MIN(AA20+AB20-AC20,MAX(0,'Debt strategy'!$C$5-SUM(E20,K20,Q20,W20,AC20)-SUM(IF(F20&lt;AD20,C20+D20-E20,0),IF(L20&lt;AD20,I20+J20-K20,0),IF(R20&lt;AD20,O20+P20-Q20,0),IF(X20&lt;AD20,U20+V20-W20,0)))))</x:f>
        <x:v>0</x:v>
      </x:c>
      <x:c r="AF20" s="6" t="n">
        <x:f>ROUND(MAX(0,AA20+AB20-AC20-AE20),2)</x:f>
        <x:v>0</x:v>
      </x:c>
      <x:c r="AG20" s="6" t="n">
        <x:f>SUM(H20,N20,T20,Z20,AF20)</x:f>
        <x:v>5210.51</x:v>
      </x:c>
      <x:c r="AH20" s="6" t="n">
        <x:f>SUM(D20,J20,P20,V20,AB20)+AH19</x:f>
        <x:v>910.5100000000001</x:v>
      </x:c>
      <x:c r="AI20" s="2"/>
    </x:row>
    <x:row r="21" ht="23" customHeight="1">
      <x:c r="B21" s="2" t="n">
        <x:f>13</x:f>
        <x:v>13</x:v>
      </x:c>
      <x:c r="C21" s="6" t="n">
        <x:f>H20</x:f>
        <x:v>1363.01</x:v>
      </x:c>
      <x:c r="D21" s="6" t="n">
        <x:f>ROUND(C21*'Debt strategy'!$D$9/12,2)</x:f>
        <x:v>24.99</x:v>
      </x:c>
      <x:c r="E21" s="6" t="n">
        <x:f>MIN(C21+D21,'Debt strategy'!$E$9)</x:f>
        <x:v>100</x:v>
      </x:c>
      <x:c r="F21" s="27" t="n">
        <x:f>IF(C21+D21-E21&lt;=0,99,1+SUM(IF(AND(I21+J21-K21&gt;0,OR('Debt strategy'!$D$10&gt;'Debt strategy'!$D$9,AND('Debt strategy'!$D$10='Debt strategy'!$D$9,1&lt;0))),1,0),IF(AND(O21+P21-Q21&gt;0,OR('Debt strategy'!$D$11&gt;'Debt strategy'!$D$9,AND('Debt strategy'!$D$11='Debt strategy'!$D$9,2&lt;0))),1,0),IF(AND(U21+V21-W21&gt;0,OR('Debt strategy'!$D$12&gt;'Debt strategy'!$D$9,AND('Debt strategy'!$D$12='Debt strategy'!$D$9,3&lt;0))),1,0),IF(AND(AA21+AB21-AC21&gt;0,OR('Debt strategy'!$D$13&gt;'Debt strategy'!$D$9,AND('Debt strategy'!$D$13='Debt strategy'!$D$9,4&lt;0))),1,0)))</x:f>
        <x:v>1</x:v>
      </x:c>
      <x:c r="G21" s="6" t="n">
        <x:f>IF('Debt strategy'!$C$16&gt;0,0,MIN(C21+D21-E21,MAX(0,'Debt strategy'!$C$5-SUM(E21,K21,Q21,W21,AC21)-SUM(IF(L21&lt;F21,I21+J21-K21,0),IF(R21&lt;F21,O21+P21-Q21,0),IF(X21&lt;F21,U21+V21-W21,0),IF(AD21&lt;F21,AA21+AB21-AC21,0)))))</x:f>
        <x:v>125</x:v>
      </x:c>
      <x:c r="H21" s="6" t="n">
        <x:f>ROUND(MAX(0,C21+D21-E21-G21),2)</x:f>
        <x:v>1163</x:v>
      </x:c>
      <x:c r="I21" s="6" t="n">
        <x:f>N20</x:f>
        <x:v>3547.5</x:v>
      </x:c>
      <x:c r="J21" s="6" t="n">
        <x:f>ROUND(I21*'Debt strategy'!$D$10/12,2)</x:f>
        <x:v>23.65</x:v>
      </x:c>
      <x:c r="K21" s="6" t="n">
        <x:f>MIN(I21+J21,'Debt strategy'!$E$10)</x:f>
        <x:v>150</x:v>
      </x:c>
      <x:c r="L21" s="27" t="n">
        <x:f>IF(I21+J21-K21&lt;=0,99,1+SUM(IF(AND(C21+D21-E21&gt;0,OR('Debt strategy'!$D$9&gt;'Debt strategy'!$D$10,AND('Debt strategy'!$D$9='Debt strategy'!$D$10,0&lt;1))),1,0),IF(AND(O21+P21-Q21&gt;0,OR('Debt strategy'!$D$11&gt;'Debt strategy'!$D$10,AND('Debt strategy'!$D$11='Debt strategy'!$D$10,2&lt;1))),1,0),IF(AND(U21+V21-W21&gt;0,OR('Debt strategy'!$D$12&gt;'Debt strategy'!$D$10,AND('Debt strategy'!$D$12='Debt strategy'!$D$10,3&lt;1))),1,0),IF(AND(AA21+AB21-AC21&gt;0,OR('Debt strategy'!$D$13&gt;'Debt strategy'!$D$10,AND('Debt strategy'!$D$13='Debt strategy'!$D$10,4&lt;1))),1,0)))</x:f>
        <x:v>2</x:v>
      </x:c>
      <x:c r="M21" s="6" t="n">
        <x:f>IF('Debt strategy'!$C$16&gt;0,0,MIN(I21+J21-K21,MAX(0,'Debt strategy'!$C$5-SUM(E21,K21,Q21,W21,AC21)-SUM(IF(F21&lt;L21,C21+D21-E21,0),IF(R21&lt;L21,O21+P21-Q21,0),IF(X21&lt;L21,U21+V21-W21,0),IF(AD21&lt;L21,AA21+AB21-AC21,0)))))</x:f>
        <x:v>0</x:v>
      </x:c>
      <x:c r="N21" s="6" t="n">
        <x:f>ROUND(MAX(0,I21+J21-K21-M21),2)</x:f>
        <x:v>3421.15</x:v>
      </x:c>
      <x:c r="O21" s="6" t="n">
        <x:f>T20</x:f>
        <x:v>300</x:v>
      </x:c>
      <x:c r="P21" s="6" t="n">
        <x:f>ROUND(O21*'Debt strategy'!$D$11/12,2)</x:f>
        <x:v>0</x:v>
      </x:c>
      <x:c r="Q21" s="6" t="n">
        <x:f>MIN(O21+P21,'Debt strategy'!$E$11)</x:f>
        <x:v>25</x:v>
      </x:c>
      <x:c r="R21" s="27" t="n">
        <x:f>IF(O21+P21-Q21&lt;=0,99,1+SUM(IF(AND(C21+D21-E21&gt;0,OR('Debt strategy'!$D$9&gt;'Debt strategy'!$D$11,AND('Debt strategy'!$D$9='Debt strategy'!$D$11,0&lt;2))),1,0),IF(AND(I21+J21-K21&gt;0,OR('Debt strategy'!$D$10&gt;'Debt strategy'!$D$11,AND('Debt strategy'!$D$10='Debt strategy'!$D$11,1&lt;2))),1,0),IF(AND(U21+V21-W21&gt;0,OR('Debt strategy'!$D$12&gt;'Debt strategy'!$D$11,AND('Debt strategy'!$D$12='Debt strategy'!$D$11,3&lt;2))),1,0),IF(AND(AA21+AB21-AC21&gt;0,OR('Debt strategy'!$D$13&gt;'Debt strategy'!$D$11,AND('Debt strategy'!$D$13='Debt strategy'!$D$11,4&lt;2))),1,0)))</x:f>
        <x:v>3</x:v>
      </x:c>
      <x:c r="S21" s="6" t="n">
        <x:f>IF('Debt strategy'!$C$16&gt;0,0,MIN(O21+P21-Q21,MAX(0,'Debt strategy'!$C$5-SUM(E21,K21,Q21,W21,AC21)-SUM(IF(F21&lt;R21,C21+D21-E21,0),IF(L21&lt;R21,I21+J21-K21,0),IF(X21&lt;R21,U21+V21-W21,0),IF(AD21&lt;R21,AA21+AB21-AC21,0)))))</x:f>
        <x:v>0</x:v>
      </x:c>
      <x:c r="T21" s="6" t="n">
        <x:f>ROUND(MAX(0,O21+P21-Q21-S21),2)</x:f>
        <x:v>275</x:v>
      </x:c>
      <x:c r="U21" s="6" t="n">
        <x:f>Z20</x:f>
        <x:v>0</x:v>
      </x:c>
      <x:c r="V21" s="6" t="n">
        <x:f>ROUND(U21*'Debt strategy'!$D$12/12,2)</x:f>
        <x:v>0</x:v>
      </x:c>
      <x:c r="W21" s="6" t="n">
        <x:f>MIN(U21+V21,'Debt strategy'!$E$12)</x:f>
        <x:v>0</x:v>
      </x:c>
      <x:c r="X21" s="27" t="n">
        <x:f>IF(U21+V21-W21&lt;=0,99,1+SUM(IF(AND(C21+D21-E21&gt;0,OR('Debt strategy'!$D$9&gt;'Debt strategy'!$D$12,AND('Debt strategy'!$D$9='Debt strategy'!$D$12,0&lt;3))),1,0),IF(AND(I21+J21-K21&gt;0,OR('Debt strategy'!$D$10&gt;'Debt strategy'!$D$12,AND('Debt strategy'!$D$10='Debt strategy'!$D$12,1&lt;3))),1,0),IF(AND(O21+P21-Q21&gt;0,OR('Debt strategy'!$D$11&gt;'Debt strategy'!$D$12,AND('Debt strategy'!$D$11='Debt strategy'!$D$12,2&lt;3))),1,0),IF(AND(AA21+AB21-AC21&gt;0,OR('Debt strategy'!$D$13&gt;'Debt strategy'!$D$12,AND('Debt strategy'!$D$13='Debt strategy'!$D$12,4&lt;3))),1,0)))</x:f>
        <x:v>99</x:v>
      </x:c>
      <x:c r="Y21" s="6" t="n">
        <x:f>IF('Debt strategy'!$C$16&gt;0,0,MIN(U21+V21-W21,MAX(0,'Debt strategy'!$C$5-SUM(E21,K21,Q21,W21,AC21)-SUM(IF(F21&lt;X21,C21+D21-E21,0),IF(L21&lt;X21,I21+J21-K21,0),IF(R21&lt;X21,O21+P21-Q21,0),IF(AD21&lt;X21,AA21+AB21-AC21,0)))))</x:f>
        <x:v>0</x:v>
      </x:c>
      <x:c r="Z21" s="6" t="n">
        <x:f>ROUND(MAX(0,U21+V21-W21-Y21),2)</x:f>
        <x:v>0</x:v>
      </x:c>
      <x:c r="AA21" s="6" t="n">
        <x:f>AF20</x:f>
        <x:v>0</x:v>
      </x:c>
      <x:c r="AB21" s="6" t="n">
        <x:f>ROUND(AA21*'Debt strategy'!$D$13/12,2)</x:f>
        <x:v>0</x:v>
      </x:c>
      <x:c r="AC21" s="6" t="n">
        <x:f>MIN(AA21+AB21,'Debt strategy'!$E$13)</x:f>
        <x:v>0</x:v>
      </x:c>
      <x:c r="AD21" s="27" t="n">
        <x:f>IF(AA21+AB21-AC21&lt;=0,99,1+SUM(IF(AND(C21+D21-E21&gt;0,OR('Debt strategy'!$D$9&gt;'Debt strategy'!$D$13,AND('Debt strategy'!$D$9='Debt strategy'!$D$13,0&lt;4))),1,0),IF(AND(I21+J21-K21&gt;0,OR('Debt strategy'!$D$10&gt;'Debt strategy'!$D$13,AND('Debt strategy'!$D$10='Debt strategy'!$D$13,1&lt;4))),1,0),IF(AND(O21+P21-Q21&gt;0,OR('Debt strategy'!$D$11&gt;'Debt strategy'!$D$13,AND('Debt strategy'!$D$11='Debt strategy'!$D$13,2&lt;4))),1,0),IF(AND(U21+V21-W21&gt;0,OR('Debt strategy'!$D$12&gt;'Debt strategy'!$D$13,AND('Debt strategy'!$D$12='Debt strategy'!$D$13,3&lt;4))),1,0)))</x:f>
        <x:v>99</x:v>
      </x:c>
      <x:c r="AE21" s="6" t="n">
        <x:f>IF('Debt strategy'!$C$16&gt;0,0,MIN(AA21+AB21-AC21,MAX(0,'Debt strategy'!$C$5-SUM(E21,K21,Q21,W21,AC21)-SUM(IF(F21&lt;AD21,C21+D21-E21,0),IF(L21&lt;AD21,I21+J21-K21,0),IF(R21&lt;AD21,O21+P21-Q21,0),IF(X21&lt;AD21,U21+V21-W21,0)))))</x:f>
        <x:v>0</x:v>
      </x:c>
      <x:c r="AF21" s="6" t="n">
        <x:f>ROUND(MAX(0,AA21+AB21-AC21-AE21),2)</x:f>
        <x:v>0</x:v>
      </x:c>
      <x:c r="AG21" s="6" t="n">
        <x:f>SUM(H21,N21,T21,Z21,AF21)</x:f>
        <x:v>4859.15</x:v>
      </x:c>
      <x:c r="AH21" s="6" t="n">
        <x:f>SUM(D21,J21,P21,V21,AB21)+AH20</x:f>
        <x:v>959.1500000000001</x:v>
      </x:c>
      <x:c r="AI21" s="2"/>
    </x:row>
    <x:row r="22" ht="23" customHeight="1">
      <x:c r="B22" s="2" t="n">
        <x:f>14</x:f>
        <x:v>14</x:v>
      </x:c>
      <x:c r="C22" s="6" t="n">
        <x:f>H21</x:f>
        <x:v>1163</x:v>
      </x:c>
      <x:c r="D22" s="6" t="n">
        <x:f>ROUND(C22*'Debt strategy'!$D$9/12,2)</x:f>
        <x:v>21.32</x:v>
      </x:c>
      <x:c r="E22" s="6" t="n">
        <x:f>MIN(C22+D22,'Debt strategy'!$E$9)</x:f>
        <x:v>100</x:v>
      </x:c>
      <x:c r="F22" s="27" t="n">
        <x:f>IF(C22+D22-E22&lt;=0,99,1+SUM(IF(AND(I22+J22-K22&gt;0,OR('Debt strategy'!$D$10&gt;'Debt strategy'!$D$9,AND('Debt strategy'!$D$10='Debt strategy'!$D$9,1&lt;0))),1,0),IF(AND(O22+P22-Q22&gt;0,OR('Debt strategy'!$D$11&gt;'Debt strategy'!$D$9,AND('Debt strategy'!$D$11='Debt strategy'!$D$9,2&lt;0))),1,0),IF(AND(U22+V22-W22&gt;0,OR('Debt strategy'!$D$12&gt;'Debt strategy'!$D$9,AND('Debt strategy'!$D$12='Debt strategy'!$D$9,3&lt;0))),1,0),IF(AND(AA22+AB22-AC22&gt;0,OR('Debt strategy'!$D$13&gt;'Debt strategy'!$D$9,AND('Debt strategy'!$D$13='Debt strategy'!$D$9,4&lt;0))),1,0)))</x:f>
        <x:v>1</x:v>
      </x:c>
      <x:c r="G22" s="6" t="n">
        <x:f>IF('Debt strategy'!$C$16&gt;0,0,MIN(C22+D22-E22,MAX(0,'Debt strategy'!$C$5-SUM(E22,K22,Q22,W22,AC22)-SUM(IF(L22&lt;F22,I22+J22-K22,0),IF(R22&lt;F22,O22+P22-Q22,0),IF(X22&lt;F22,U22+V22-W22,0),IF(AD22&lt;F22,AA22+AB22-AC22,0)))))</x:f>
        <x:v>125</x:v>
      </x:c>
      <x:c r="H22" s="6" t="n">
        <x:f>ROUND(MAX(0,C22+D22-E22-G22),2)</x:f>
        <x:v>959.32</x:v>
      </x:c>
      <x:c r="I22" s="6" t="n">
        <x:f>N21</x:f>
        <x:v>3421.15</x:v>
      </x:c>
      <x:c r="J22" s="6" t="n">
        <x:f>ROUND(I22*'Debt strategy'!$D$10/12,2)</x:f>
        <x:v>22.81</x:v>
      </x:c>
      <x:c r="K22" s="6" t="n">
        <x:f>MIN(I22+J22,'Debt strategy'!$E$10)</x:f>
        <x:v>150</x:v>
      </x:c>
      <x:c r="L22" s="27" t="n">
        <x:f>IF(I22+J22-K22&lt;=0,99,1+SUM(IF(AND(C22+D22-E22&gt;0,OR('Debt strategy'!$D$9&gt;'Debt strategy'!$D$10,AND('Debt strategy'!$D$9='Debt strategy'!$D$10,0&lt;1))),1,0),IF(AND(O22+P22-Q22&gt;0,OR('Debt strategy'!$D$11&gt;'Debt strategy'!$D$10,AND('Debt strategy'!$D$11='Debt strategy'!$D$10,2&lt;1))),1,0),IF(AND(U22+V22-W22&gt;0,OR('Debt strategy'!$D$12&gt;'Debt strategy'!$D$10,AND('Debt strategy'!$D$12='Debt strategy'!$D$10,3&lt;1))),1,0),IF(AND(AA22+AB22-AC22&gt;0,OR('Debt strategy'!$D$13&gt;'Debt strategy'!$D$10,AND('Debt strategy'!$D$13='Debt strategy'!$D$10,4&lt;1))),1,0)))</x:f>
        <x:v>2</x:v>
      </x:c>
      <x:c r="M22" s="6" t="n">
        <x:f>IF('Debt strategy'!$C$16&gt;0,0,MIN(I22+J22-K22,MAX(0,'Debt strategy'!$C$5-SUM(E22,K22,Q22,W22,AC22)-SUM(IF(F22&lt;L22,C22+D22-E22,0),IF(R22&lt;L22,O22+P22-Q22,0),IF(X22&lt;L22,U22+V22-W22,0),IF(AD22&lt;L22,AA22+AB22-AC22,0)))))</x:f>
        <x:v>0</x:v>
      </x:c>
      <x:c r="N22" s="6" t="n">
        <x:f>ROUND(MAX(0,I22+J22-K22-M22),2)</x:f>
        <x:v>3293.96</x:v>
      </x:c>
      <x:c r="O22" s="6" t="n">
        <x:f>T21</x:f>
        <x:v>275</x:v>
      </x:c>
      <x:c r="P22" s="6" t="n">
        <x:f>ROUND(O22*'Debt strategy'!$D$11/12,2)</x:f>
        <x:v>0</x:v>
      </x:c>
      <x:c r="Q22" s="6" t="n">
        <x:f>MIN(O22+P22,'Debt strategy'!$E$11)</x:f>
        <x:v>25</x:v>
      </x:c>
      <x:c r="R22" s="27" t="n">
        <x:f>IF(O22+P22-Q22&lt;=0,99,1+SUM(IF(AND(C22+D22-E22&gt;0,OR('Debt strategy'!$D$9&gt;'Debt strategy'!$D$11,AND('Debt strategy'!$D$9='Debt strategy'!$D$11,0&lt;2))),1,0),IF(AND(I22+J22-K22&gt;0,OR('Debt strategy'!$D$10&gt;'Debt strategy'!$D$11,AND('Debt strategy'!$D$10='Debt strategy'!$D$11,1&lt;2))),1,0),IF(AND(U22+V22-W22&gt;0,OR('Debt strategy'!$D$12&gt;'Debt strategy'!$D$11,AND('Debt strategy'!$D$12='Debt strategy'!$D$11,3&lt;2))),1,0),IF(AND(AA22+AB22-AC22&gt;0,OR('Debt strategy'!$D$13&gt;'Debt strategy'!$D$11,AND('Debt strategy'!$D$13='Debt strategy'!$D$11,4&lt;2))),1,0)))</x:f>
        <x:v>3</x:v>
      </x:c>
      <x:c r="S22" s="6" t="n">
        <x:f>IF('Debt strategy'!$C$16&gt;0,0,MIN(O22+P22-Q22,MAX(0,'Debt strategy'!$C$5-SUM(E22,K22,Q22,W22,AC22)-SUM(IF(F22&lt;R22,C22+D22-E22,0),IF(L22&lt;R22,I22+J22-K22,0),IF(X22&lt;R22,U22+V22-W22,0),IF(AD22&lt;R22,AA22+AB22-AC22,0)))))</x:f>
        <x:v>0</x:v>
      </x:c>
      <x:c r="T22" s="6" t="n">
        <x:f>ROUND(MAX(0,O22+P22-Q22-S22),2)</x:f>
        <x:v>250</x:v>
      </x:c>
      <x:c r="U22" s="6" t="n">
        <x:f>Z21</x:f>
        <x:v>0</x:v>
      </x:c>
      <x:c r="V22" s="6" t="n">
        <x:f>ROUND(U22*'Debt strategy'!$D$12/12,2)</x:f>
        <x:v>0</x:v>
      </x:c>
      <x:c r="W22" s="6" t="n">
        <x:f>MIN(U22+V22,'Debt strategy'!$E$12)</x:f>
        <x:v>0</x:v>
      </x:c>
      <x:c r="X22" s="27" t="n">
        <x:f>IF(U22+V22-W22&lt;=0,99,1+SUM(IF(AND(C22+D22-E22&gt;0,OR('Debt strategy'!$D$9&gt;'Debt strategy'!$D$12,AND('Debt strategy'!$D$9='Debt strategy'!$D$12,0&lt;3))),1,0),IF(AND(I22+J22-K22&gt;0,OR('Debt strategy'!$D$10&gt;'Debt strategy'!$D$12,AND('Debt strategy'!$D$10='Debt strategy'!$D$12,1&lt;3))),1,0),IF(AND(O22+P22-Q22&gt;0,OR('Debt strategy'!$D$11&gt;'Debt strategy'!$D$12,AND('Debt strategy'!$D$11='Debt strategy'!$D$12,2&lt;3))),1,0),IF(AND(AA22+AB22-AC22&gt;0,OR('Debt strategy'!$D$13&gt;'Debt strategy'!$D$12,AND('Debt strategy'!$D$13='Debt strategy'!$D$12,4&lt;3))),1,0)))</x:f>
        <x:v>99</x:v>
      </x:c>
      <x:c r="Y22" s="6" t="n">
        <x:f>IF('Debt strategy'!$C$16&gt;0,0,MIN(U22+V22-W22,MAX(0,'Debt strategy'!$C$5-SUM(E22,K22,Q22,W22,AC22)-SUM(IF(F22&lt;X22,C22+D22-E22,0),IF(L22&lt;X22,I22+J22-K22,0),IF(R22&lt;X22,O22+P22-Q22,0),IF(AD22&lt;X22,AA22+AB22-AC22,0)))))</x:f>
        <x:v>0</x:v>
      </x:c>
      <x:c r="Z22" s="6" t="n">
        <x:f>ROUND(MAX(0,U22+V22-W22-Y22),2)</x:f>
        <x:v>0</x:v>
      </x:c>
      <x:c r="AA22" s="6" t="n">
        <x:f>AF21</x:f>
        <x:v>0</x:v>
      </x:c>
      <x:c r="AB22" s="6" t="n">
        <x:f>ROUND(AA22*'Debt strategy'!$D$13/12,2)</x:f>
        <x:v>0</x:v>
      </x:c>
      <x:c r="AC22" s="6" t="n">
        <x:f>MIN(AA22+AB22,'Debt strategy'!$E$13)</x:f>
        <x:v>0</x:v>
      </x:c>
      <x:c r="AD22" s="27" t="n">
        <x:f>IF(AA22+AB22-AC22&lt;=0,99,1+SUM(IF(AND(C22+D22-E22&gt;0,OR('Debt strategy'!$D$9&gt;'Debt strategy'!$D$13,AND('Debt strategy'!$D$9='Debt strategy'!$D$13,0&lt;4))),1,0),IF(AND(I22+J22-K22&gt;0,OR('Debt strategy'!$D$10&gt;'Debt strategy'!$D$13,AND('Debt strategy'!$D$10='Debt strategy'!$D$13,1&lt;4))),1,0),IF(AND(O22+P22-Q22&gt;0,OR('Debt strategy'!$D$11&gt;'Debt strategy'!$D$13,AND('Debt strategy'!$D$11='Debt strategy'!$D$13,2&lt;4))),1,0),IF(AND(U22+V22-W22&gt;0,OR('Debt strategy'!$D$12&gt;'Debt strategy'!$D$13,AND('Debt strategy'!$D$12='Debt strategy'!$D$13,3&lt;4))),1,0)))</x:f>
        <x:v>99</x:v>
      </x:c>
      <x:c r="AE22" s="6" t="n">
        <x:f>IF('Debt strategy'!$C$16&gt;0,0,MIN(AA22+AB22-AC22,MAX(0,'Debt strategy'!$C$5-SUM(E22,K22,Q22,W22,AC22)-SUM(IF(F22&lt;AD22,C22+D22-E22,0),IF(L22&lt;AD22,I22+J22-K22,0),IF(R22&lt;AD22,O22+P22-Q22,0),IF(X22&lt;AD22,U22+V22-W22,0)))))</x:f>
        <x:v>0</x:v>
      </x:c>
      <x:c r="AF22" s="6" t="n">
        <x:f>ROUND(MAX(0,AA22+AB22-AC22-AE22),2)</x:f>
        <x:v>0</x:v>
      </x:c>
      <x:c r="AG22" s="6" t="n">
        <x:f>SUM(H22,N22,T22,Z22,AF22)</x:f>
        <x:v>4503.28</x:v>
      </x:c>
      <x:c r="AH22" s="6" t="n">
        <x:f>SUM(D22,J22,P22,V22,AB22)+AH21</x:f>
        <x:v>1003.2800000000001</x:v>
      </x:c>
      <x:c r="AI22" s="2"/>
    </x:row>
    <x:row r="23" ht="23" customHeight="1">
      <x:c r="B23" s="2" t="n">
        <x:f>15</x:f>
        <x:v>15</x:v>
      </x:c>
      <x:c r="C23" s="6" t="n">
        <x:f>H22</x:f>
        <x:v>959.32</x:v>
      </x:c>
      <x:c r="D23" s="6" t="n">
        <x:f>ROUND(C23*'Debt strategy'!$D$9/12,2)</x:f>
        <x:v>17.59</x:v>
      </x:c>
      <x:c r="E23" s="6" t="n">
        <x:f>MIN(C23+D23,'Debt strategy'!$E$9)</x:f>
        <x:v>100</x:v>
      </x:c>
      <x:c r="F23" s="27" t="n">
        <x:f>IF(C23+D23-E23&lt;=0,99,1+SUM(IF(AND(I23+J23-K23&gt;0,OR('Debt strategy'!$D$10&gt;'Debt strategy'!$D$9,AND('Debt strategy'!$D$10='Debt strategy'!$D$9,1&lt;0))),1,0),IF(AND(O23+P23-Q23&gt;0,OR('Debt strategy'!$D$11&gt;'Debt strategy'!$D$9,AND('Debt strategy'!$D$11='Debt strategy'!$D$9,2&lt;0))),1,0),IF(AND(U23+V23-W23&gt;0,OR('Debt strategy'!$D$12&gt;'Debt strategy'!$D$9,AND('Debt strategy'!$D$12='Debt strategy'!$D$9,3&lt;0))),1,0),IF(AND(AA23+AB23-AC23&gt;0,OR('Debt strategy'!$D$13&gt;'Debt strategy'!$D$9,AND('Debt strategy'!$D$13='Debt strategy'!$D$9,4&lt;0))),1,0)))</x:f>
        <x:v>1</x:v>
      </x:c>
      <x:c r="G23" s="6" t="n">
        <x:f>IF('Debt strategy'!$C$16&gt;0,0,MIN(C23+D23-E23,MAX(0,'Debt strategy'!$C$5-SUM(E23,K23,Q23,W23,AC23)-SUM(IF(L23&lt;F23,I23+J23-K23,0),IF(R23&lt;F23,O23+P23-Q23,0),IF(X23&lt;F23,U23+V23-W23,0),IF(AD23&lt;F23,AA23+AB23-AC23,0)))))</x:f>
        <x:v>125</x:v>
      </x:c>
      <x:c r="H23" s="6" t="n">
        <x:f>ROUND(MAX(0,C23+D23-E23-G23),2)</x:f>
        <x:v>751.91</x:v>
      </x:c>
      <x:c r="I23" s="6" t="n">
        <x:f>N22</x:f>
        <x:v>3293.96</x:v>
      </x:c>
      <x:c r="J23" s="6" t="n">
        <x:f>ROUND(I23*'Debt strategy'!$D$10/12,2)</x:f>
        <x:v>21.96</x:v>
      </x:c>
      <x:c r="K23" s="6" t="n">
        <x:f>MIN(I23+J23,'Debt strategy'!$E$10)</x:f>
        <x:v>150</x:v>
      </x:c>
      <x:c r="L23" s="27" t="n">
        <x:f>IF(I23+J23-K23&lt;=0,99,1+SUM(IF(AND(C23+D23-E23&gt;0,OR('Debt strategy'!$D$9&gt;'Debt strategy'!$D$10,AND('Debt strategy'!$D$9='Debt strategy'!$D$10,0&lt;1))),1,0),IF(AND(O23+P23-Q23&gt;0,OR('Debt strategy'!$D$11&gt;'Debt strategy'!$D$10,AND('Debt strategy'!$D$11='Debt strategy'!$D$10,2&lt;1))),1,0),IF(AND(U23+V23-W23&gt;0,OR('Debt strategy'!$D$12&gt;'Debt strategy'!$D$10,AND('Debt strategy'!$D$12='Debt strategy'!$D$10,3&lt;1))),1,0),IF(AND(AA23+AB23-AC23&gt;0,OR('Debt strategy'!$D$13&gt;'Debt strategy'!$D$10,AND('Debt strategy'!$D$13='Debt strategy'!$D$10,4&lt;1))),1,0)))</x:f>
        <x:v>2</x:v>
      </x:c>
      <x:c r="M23" s="6" t="n">
        <x:f>IF('Debt strategy'!$C$16&gt;0,0,MIN(I23+J23-K23,MAX(0,'Debt strategy'!$C$5-SUM(E23,K23,Q23,W23,AC23)-SUM(IF(F23&lt;L23,C23+D23-E23,0),IF(R23&lt;L23,O23+P23-Q23,0),IF(X23&lt;L23,U23+V23-W23,0),IF(AD23&lt;L23,AA23+AB23-AC23,0)))))</x:f>
        <x:v>0</x:v>
      </x:c>
      <x:c r="N23" s="6" t="n">
        <x:f>ROUND(MAX(0,I23+J23-K23-M23),2)</x:f>
        <x:v>3165.92</x:v>
      </x:c>
      <x:c r="O23" s="6" t="n">
        <x:f>T22</x:f>
        <x:v>250</x:v>
      </x:c>
      <x:c r="P23" s="6" t="n">
        <x:f>ROUND(O23*'Debt strategy'!$D$11/12,2)</x:f>
        <x:v>0</x:v>
      </x:c>
      <x:c r="Q23" s="6" t="n">
        <x:f>MIN(O23+P23,'Debt strategy'!$E$11)</x:f>
        <x:v>25</x:v>
      </x:c>
      <x:c r="R23" s="27" t="n">
        <x:f>IF(O23+P23-Q23&lt;=0,99,1+SUM(IF(AND(C23+D23-E23&gt;0,OR('Debt strategy'!$D$9&gt;'Debt strategy'!$D$11,AND('Debt strategy'!$D$9='Debt strategy'!$D$11,0&lt;2))),1,0),IF(AND(I23+J23-K23&gt;0,OR('Debt strategy'!$D$10&gt;'Debt strategy'!$D$11,AND('Debt strategy'!$D$10='Debt strategy'!$D$11,1&lt;2))),1,0),IF(AND(U23+V23-W23&gt;0,OR('Debt strategy'!$D$12&gt;'Debt strategy'!$D$11,AND('Debt strategy'!$D$12='Debt strategy'!$D$11,3&lt;2))),1,0),IF(AND(AA23+AB23-AC23&gt;0,OR('Debt strategy'!$D$13&gt;'Debt strategy'!$D$11,AND('Debt strategy'!$D$13='Debt strategy'!$D$11,4&lt;2))),1,0)))</x:f>
        <x:v>3</x:v>
      </x:c>
      <x:c r="S23" s="6" t="n">
        <x:f>IF('Debt strategy'!$C$16&gt;0,0,MIN(O23+P23-Q23,MAX(0,'Debt strategy'!$C$5-SUM(E23,K23,Q23,W23,AC23)-SUM(IF(F23&lt;R23,C23+D23-E23,0),IF(L23&lt;R23,I23+J23-K23,0),IF(X23&lt;R23,U23+V23-W23,0),IF(AD23&lt;R23,AA23+AB23-AC23,0)))))</x:f>
        <x:v>0</x:v>
      </x:c>
      <x:c r="T23" s="6" t="n">
        <x:f>ROUND(MAX(0,O23+P23-Q23-S23),2)</x:f>
        <x:v>225</x:v>
      </x:c>
      <x:c r="U23" s="6" t="n">
        <x:f>Z22</x:f>
        <x:v>0</x:v>
      </x:c>
      <x:c r="V23" s="6" t="n">
        <x:f>ROUND(U23*'Debt strategy'!$D$12/12,2)</x:f>
        <x:v>0</x:v>
      </x:c>
      <x:c r="W23" s="6" t="n">
        <x:f>MIN(U23+V23,'Debt strategy'!$E$12)</x:f>
        <x:v>0</x:v>
      </x:c>
      <x:c r="X23" s="27" t="n">
        <x:f>IF(U23+V23-W23&lt;=0,99,1+SUM(IF(AND(C23+D23-E23&gt;0,OR('Debt strategy'!$D$9&gt;'Debt strategy'!$D$12,AND('Debt strategy'!$D$9='Debt strategy'!$D$12,0&lt;3))),1,0),IF(AND(I23+J23-K23&gt;0,OR('Debt strategy'!$D$10&gt;'Debt strategy'!$D$12,AND('Debt strategy'!$D$10='Debt strategy'!$D$12,1&lt;3))),1,0),IF(AND(O23+P23-Q23&gt;0,OR('Debt strategy'!$D$11&gt;'Debt strategy'!$D$12,AND('Debt strategy'!$D$11='Debt strategy'!$D$12,2&lt;3))),1,0),IF(AND(AA23+AB23-AC23&gt;0,OR('Debt strategy'!$D$13&gt;'Debt strategy'!$D$12,AND('Debt strategy'!$D$13='Debt strategy'!$D$12,4&lt;3))),1,0)))</x:f>
        <x:v>99</x:v>
      </x:c>
      <x:c r="Y23" s="6" t="n">
        <x:f>IF('Debt strategy'!$C$16&gt;0,0,MIN(U23+V23-W23,MAX(0,'Debt strategy'!$C$5-SUM(E23,K23,Q23,W23,AC23)-SUM(IF(F23&lt;X23,C23+D23-E23,0),IF(L23&lt;X23,I23+J23-K23,0),IF(R23&lt;X23,O23+P23-Q23,0),IF(AD23&lt;X23,AA23+AB23-AC23,0)))))</x:f>
        <x:v>0</x:v>
      </x:c>
      <x:c r="Z23" s="6" t="n">
        <x:f>ROUND(MAX(0,U23+V23-W23-Y23),2)</x:f>
        <x:v>0</x:v>
      </x:c>
      <x:c r="AA23" s="6" t="n">
        <x:f>AF22</x:f>
        <x:v>0</x:v>
      </x:c>
      <x:c r="AB23" s="6" t="n">
        <x:f>ROUND(AA23*'Debt strategy'!$D$13/12,2)</x:f>
        <x:v>0</x:v>
      </x:c>
      <x:c r="AC23" s="6" t="n">
        <x:f>MIN(AA23+AB23,'Debt strategy'!$E$13)</x:f>
        <x:v>0</x:v>
      </x:c>
      <x:c r="AD23" s="27" t="n">
        <x:f>IF(AA23+AB23-AC23&lt;=0,99,1+SUM(IF(AND(C23+D23-E23&gt;0,OR('Debt strategy'!$D$9&gt;'Debt strategy'!$D$13,AND('Debt strategy'!$D$9='Debt strategy'!$D$13,0&lt;4))),1,0),IF(AND(I23+J23-K23&gt;0,OR('Debt strategy'!$D$10&gt;'Debt strategy'!$D$13,AND('Debt strategy'!$D$10='Debt strategy'!$D$13,1&lt;4))),1,0),IF(AND(O23+P23-Q23&gt;0,OR('Debt strategy'!$D$11&gt;'Debt strategy'!$D$13,AND('Debt strategy'!$D$11='Debt strategy'!$D$13,2&lt;4))),1,0),IF(AND(U23+V23-W23&gt;0,OR('Debt strategy'!$D$12&gt;'Debt strategy'!$D$13,AND('Debt strategy'!$D$12='Debt strategy'!$D$13,3&lt;4))),1,0)))</x:f>
        <x:v>99</x:v>
      </x:c>
      <x:c r="AE23" s="6" t="n">
        <x:f>IF('Debt strategy'!$C$16&gt;0,0,MIN(AA23+AB23-AC23,MAX(0,'Debt strategy'!$C$5-SUM(E23,K23,Q23,W23,AC23)-SUM(IF(F23&lt;AD23,C23+D23-E23,0),IF(L23&lt;AD23,I23+J23-K23,0),IF(R23&lt;AD23,O23+P23-Q23,0),IF(X23&lt;AD23,U23+V23-W23,0)))))</x:f>
        <x:v>0</x:v>
      </x:c>
      <x:c r="AF23" s="6" t="n">
        <x:f>ROUND(MAX(0,AA23+AB23-AC23-AE23),2)</x:f>
        <x:v>0</x:v>
      </x:c>
      <x:c r="AG23" s="6" t="n">
        <x:f>SUM(H23,N23,T23,Z23,AF23)</x:f>
        <x:v>4142.83</x:v>
      </x:c>
      <x:c r="AH23" s="6" t="n">
        <x:f>SUM(D23,J23,P23,V23,AB23)+AH22</x:f>
        <x:v>1042.8300000000002</x:v>
      </x:c>
      <x:c r="AI23" s="2"/>
    </x:row>
    <x:row r="24" ht="23" customHeight="1">
      <x:c r="B24" s="2" t="n">
        <x:f>16</x:f>
        <x:v>16</x:v>
      </x:c>
      <x:c r="C24" s="6" t="n">
        <x:f>H23</x:f>
        <x:v>751.91</x:v>
      </x:c>
      <x:c r="D24" s="6" t="n">
        <x:f>ROUND(C24*'Debt strategy'!$D$9/12,2)</x:f>
        <x:v>13.79</x:v>
      </x:c>
      <x:c r="E24" s="6" t="n">
        <x:f>MIN(C24+D24,'Debt strategy'!$E$9)</x:f>
        <x:v>100</x:v>
      </x:c>
      <x:c r="F24" s="27" t="n">
        <x:f>IF(C24+D24-E24&lt;=0,99,1+SUM(IF(AND(I24+J24-K24&gt;0,OR('Debt strategy'!$D$10&gt;'Debt strategy'!$D$9,AND('Debt strategy'!$D$10='Debt strategy'!$D$9,1&lt;0))),1,0),IF(AND(O24+P24-Q24&gt;0,OR('Debt strategy'!$D$11&gt;'Debt strategy'!$D$9,AND('Debt strategy'!$D$11='Debt strategy'!$D$9,2&lt;0))),1,0),IF(AND(U24+V24-W24&gt;0,OR('Debt strategy'!$D$12&gt;'Debt strategy'!$D$9,AND('Debt strategy'!$D$12='Debt strategy'!$D$9,3&lt;0))),1,0),IF(AND(AA24+AB24-AC24&gt;0,OR('Debt strategy'!$D$13&gt;'Debt strategy'!$D$9,AND('Debt strategy'!$D$13='Debt strategy'!$D$9,4&lt;0))),1,0)))</x:f>
        <x:v>1</x:v>
      </x:c>
      <x:c r="G24" s="6" t="n">
        <x:f>IF('Debt strategy'!$C$16&gt;0,0,MIN(C24+D24-E24,MAX(0,'Debt strategy'!$C$5-SUM(E24,K24,Q24,W24,AC24)-SUM(IF(L24&lt;F24,I24+J24-K24,0),IF(R24&lt;F24,O24+P24-Q24,0),IF(X24&lt;F24,U24+V24-W24,0),IF(AD24&lt;F24,AA24+AB24-AC24,0)))))</x:f>
        <x:v>125</x:v>
      </x:c>
      <x:c r="H24" s="6" t="n">
        <x:f>ROUND(MAX(0,C24+D24-E24-G24),2)</x:f>
        <x:v>540.7</x:v>
      </x:c>
      <x:c r="I24" s="6" t="n">
        <x:f>N23</x:f>
        <x:v>3165.92</x:v>
      </x:c>
      <x:c r="J24" s="6" t="n">
        <x:f>ROUND(I24*'Debt strategy'!$D$10/12,2)</x:f>
        <x:v>21.11</x:v>
      </x:c>
      <x:c r="K24" s="6" t="n">
        <x:f>MIN(I24+J24,'Debt strategy'!$E$10)</x:f>
        <x:v>150</x:v>
      </x:c>
      <x:c r="L24" s="27" t="n">
        <x:f>IF(I24+J24-K24&lt;=0,99,1+SUM(IF(AND(C24+D24-E24&gt;0,OR('Debt strategy'!$D$9&gt;'Debt strategy'!$D$10,AND('Debt strategy'!$D$9='Debt strategy'!$D$10,0&lt;1))),1,0),IF(AND(O24+P24-Q24&gt;0,OR('Debt strategy'!$D$11&gt;'Debt strategy'!$D$10,AND('Debt strategy'!$D$11='Debt strategy'!$D$10,2&lt;1))),1,0),IF(AND(U24+V24-W24&gt;0,OR('Debt strategy'!$D$12&gt;'Debt strategy'!$D$10,AND('Debt strategy'!$D$12='Debt strategy'!$D$10,3&lt;1))),1,0),IF(AND(AA24+AB24-AC24&gt;0,OR('Debt strategy'!$D$13&gt;'Debt strategy'!$D$10,AND('Debt strategy'!$D$13='Debt strategy'!$D$10,4&lt;1))),1,0)))</x:f>
        <x:v>2</x:v>
      </x:c>
      <x:c r="M24" s="6" t="n">
        <x:f>IF('Debt strategy'!$C$16&gt;0,0,MIN(I24+J24-K24,MAX(0,'Debt strategy'!$C$5-SUM(E24,K24,Q24,W24,AC24)-SUM(IF(F24&lt;L24,C24+D24-E24,0),IF(R24&lt;L24,O24+P24-Q24,0),IF(X24&lt;L24,U24+V24-W24,0),IF(AD24&lt;L24,AA24+AB24-AC24,0)))))</x:f>
        <x:v>0</x:v>
      </x:c>
      <x:c r="N24" s="6" t="n">
        <x:f>ROUND(MAX(0,I24+J24-K24-M24),2)</x:f>
        <x:v>3037.03</x:v>
      </x:c>
      <x:c r="O24" s="6" t="n">
        <x:f>T23</x:f>
        <x:v>225</x:v>
      </x:c>
      <x:c r="P24" s="6" t="n">
        <x:f>ROUND(O24*'Debt strategy'!$D$11/12,2)</x:f>
        <x:v>0</x:v>
      </x:c>
      <x:c r="Q24" s="6" t="n">
        <x:f>MIN(O24+P24,'Debt strategy'!$E$11)</x:f>
        <x:v>25</x:v>
      </x:c>
      <x:c r="R24" s="27" t="n">
        <x:f>IF(O24+P24-Q24&lt;=0,99,1+SUM(IF(AND(C24+D24-E24&gt;0,OR('Debt strategy'!$D$9&gt;'Debt strategy'!$D$11,AND('Debt strategy'!$D$9='Debt strategy'!$D$11,0&lt;2))),1,0),IF(AND(I24+J24-K24&gt;0,OR('Debt strategy'!$D$10&gt;'Debt strategy'!$D$11,AND('Debt strategy'!$D$10='Debt strategy'!$D$11,1&lt;2))),1,0),IF(AND(U24+V24-W24&gt;0,OR('Debt strategy'!$D$12&gt;'Debt strategy'!$D$11,AND('Debt strategy'!$D$12='Debt strategy'!$D$11,3&lt;2))),1,0),IF(AND(AA24+AB24-AC24&gt;0,OR('Debt strategy'!$D$13&gt;'Debt strategy'!$D$11,AND('Debt strategy'!$D$13='Debt strategy'!$D$11,4&lt;2))),1,0)))</x:f>
        <x:v>3</x:v>
      </x:c>
      <x:c r="S24" s="6" t="n">
        <x:f>IF('Debt strategy'!$C$16&gt;0,0,MIN(O24+P24-Q24,MAX(0,'Debt strategy'!$C$5-SUM(E24,K24,Q24,W24,AC24)-SUM(IF(F24&lt;R24,C24+D24-E24,0),IF(L24&lt;R24,I24+J24-K24,0),IF(X24&lt;R24,U24+V24-W24,0),IF(AD24&lt;R24,AA24+AB24-AC24,0)))))</x:f>
        <x:v>0</x:v>
      </x:c>
      <x:c r="T24" s="6" t="n">
        <x:f>ROUND(MAX(0,O24+P24-Q24-S24),2)</x:f>
        <x:v>200</x:v>
      </x:c>
      <x:c r="U24" s="6" t="n">
        <x:f>Z23</x:f>
        <x:v>0</x:v>
      </x:c>
      <x:c r="V24" s="6" t="n">
        <x:f>ROUND(U24*'Debt strategy'!$D$12/12,2)</x:f>
        <x:v>0</x:v>
      </x:c>
      <x:c r="W24" s="6" t="n">
        <x:f>MIN(U24+V24,'Debt strategy'!$E$12)</x:f>
        <x:v>0</x:v>
      </x:c>
      <x:c r="X24" s="27" t="n">
        <x:f>IF(U24+V24-W24&lt;=0,99,1+SUM(IF(AND(C24+D24-E24&gt;0,OR('Debt strategy'!$D$9&gt;'Debt strategy'!$D$12,AND('Debt strategy'!$D$9='Debt strategy'!$D$12,0&lt;3))),1,0),IF(AND(I24+J24-K24&gt;0,OR('Debt strategy'!$D$10&gt;'Debt strategy'!$D$12,AND('Debt strategy'!$D$10='Debt strategy'!$D$12,1&lt;3))),1,0),IF(AND(O24+P24-Q24&gt;0,OR('Debt strategy'!$D$11&gt;'Debt strategy'!$D$12,AND('Debt strategy'!$D$11='Debt strategy'!$D$12,2&lt;3))),1,0),IF(AND(AA24+AB24-AC24&gt;0,OR('Debt strategy'!$D$13&gt;'Debt strategy'!$D$12,AND('Debt strategy'!$D$13='Debt strategy'!$D$12,4&lt;3))),1,0)))</x:f>
        <x:v>99</x:v>
      </x:c>
      <x:c r="Y24" s="6" t="n">
        <x:f>IF('Debt strategy'!$C$16&gt;0,0,MIN(U24+V24-W24,MAX(0,'Debt strategy'!$C$5-SUM(E24,K24,Q24,W24,AC24)-SUM(IF(F24&lt;X24,C24+D24-E24,0),IF(L24&lt;X24,I24+J24-K24,0),IF(R24&lt;X24,O24+P24-Q24,0),IF(AD24&lt;X24,AA24+AB24-AC24,0)))))</x:f>
        <x:v>0</x:v>
      </x:c>
      <x:c r="Z24" s="6" t="n">
        <x:f>ROUND(MAX(0,U24+V24-W24-Y24),2)</x:f>
        <x:v>0</x:v>
      </x:c>
      <x:c r="AA24" s="6" t="n">
        <x:f>AF23</x:f>
        <x:v>0</x:v>
      </x:c>
      <x:c r="AB24" s="6" t="n">
        <x:f>ROUND(AA24*'Debt strategy'!$D$13/12,2)</x:f>
        <x:v>0</x:v>
      </x:c>
      <x:c r="AC24" s="6" t="n">
        <x:f>MIN(AA24+AB24,'Debt strategy'!$E$13)</x:f>
        <x:v>0</x:v>
      </x:c>
      <x:c r="AD24" s="27" t="n">
        <x:f>IF(AA24+AB24-AC24&lt;=0,99,1+SUM(IF(AND(C24+D24-E24&gt;0,OR('Debt strategy'!$D$9&gt;'Debt strategy'!$D$13,AND('Debt strategy'!$D$9='Debt strategy'!$D$13,0&lt;4))),1,0),IF(AND(I24+J24-K24&gt;0,OR('Debt strategy'!$D$10&gt;'Debt strategy'!$D$13,AND('Debt strategy'!$D$10='Debt strategy'!$D$13,1&lt;4))),1,0),IF(AND(O24+P24-Q24&gt;0,OR('Debt strategy'!$D$11&gt;'Debt strategy'!$D$13,AND('Debt strategy'!$D$11='Debt strategy'!$D$13,2&lt;4))),1,0),IF(AND(U24+V24-W24&gt;0,OR('Debt strategy'!$D$12&gt;'Debt strategy'!$D$13,AND('Debt strategy'!$D$12='Debt strategy'!$D$13,3&lt;4))),1,0)))</x:f>
        <x:v>99</x:v>
      </x:c>
      <x:c r="AE24" s="6" t="n">
        <x:f>IF('Debt strategy'!$C$16&gt;0,0,MIN(AA24+AB24-AC24,MAX(0,'Debt strategy'!$C$5-SUM(E24,K24,Q24,W24,AC24)-SUM(IF(F24&lt;AD24,C24+D24-E24,0),IF(L24&lt;AD24,I24+J24-K24,0),IF(R24&lt;AD24,O24+P24-Q24,0),IF(X24&lt;AD24,U24+V24-W24,0)))))</x:f>
        <x:v>0</x:v>
      </x:c>
      <x:c r="AF24" s="6" t="n">
        <x:f>ROUND(MAX(0,AA24+AB24-AC24-AE24),2)</x:f>
        <x:v>0</x:v>
      </x:c>
      <x:c r="AG24" s="6" t="n">
        <x:f>SUM(H24,N24,T24,Z24,AF24)</x:f>
        <x:v>3777.7300000000005</x:v>
      </x:c>
      <x:c r="AH24" s="6" t="n">
        <x:f>SUM(D24,J24,P24,V24,AB24)+AH23</x:f>
        <x:v>1077.7300000000002</x:v>
      </x:c>
      <x:c r="AI24" s="2"/>
    </x:row>
    <x:row r="25" ht="23" customHeight="1">
      <x:c r="B25" s="2" t="n">
        <x:f>17</x:f>
        <x:v>17</x:v>
      </x:c>
      <x:c r="C25" s="6" t="n">
        <x:f>H24</x:f>
        <x:v>540.7</x:v>
      </x:c>
      <x:c r="D25" s="6" t="n">
        <x:f>ROUND(C25*'Debt strategy'!$D$9/12,2)</x:f>
        <x:v>9.91</x:v>
      </x:c>
      <x:c r="E25" s="6" t="n">
        <x:f>MIN(C25+D25,'Debt strategy'!$E$9)</x:f>
        <x:v>100</x:v>
      </x:c>
      <x:c r="F25" s="27" t="n">
        <x:f>IF(C25+D25-E25&lt;=0,99,1+SUM(IF(AND(I25+J25-K25&gt;0,OR('Debt strategy'!$D$10&gt;'Debt strategy'!$D$9,AND('Debt strategy'!$D$10='Debt strategy'!$D$9,1&lt;0))),1,0),IF(AND(O25+P25-Q25&gt;0,OR('Debt strategy'!$D$11&gt;'Debt strategy'!$D$9,AND('Debt strategy'!$D$11='Debt strategy'!$D$9,2&lt;0))),1,0),IF(AND(U25+V25-W25&gt;0,OR('Debt strategy'!$D$12&gt;'Debt strategy'!$D$9,AND('Debt strategy'!$D$12='Debt strategy'!$D$9,3&lt;0))),1,0),IF(AND(AA25+AB25-AC25&gt;0,OR('Debt strategy'!$D$13&gt;'Debt strategy'!$D$9,AND('Debt strategy'!$D$13='Debt strategy'!$D$9,4&lt;0))),1,0)))</x:f>
        <x:v>1</x:v>
      </x:c>
      <x:c r="G25" s="6" t="n">
        <x:f>IF('Debt strategy'!$C$16&gt;0,0,MIN(C25+D25-E25,MAX(0,'Debt strategy'!$C$5-SUM(E25,K25,Q25,W25,AC25)-SUM(IF(L25&lt;F25,I25+J25-K25,0),IF(R25&lt;F25,O25+P25-Q25,0),IF(X25&lt;F25,U25+V25-W25,0),IF(AD25&lt;F25,AA25+AB25-AC25,0)))))</x:f>
        <x:v>125</x:v>
      </x:c>
      <x:c r="H25" s="6" t="n">
        <x:f>ROUND(MAX(0,C25+D25-E25-G25),2)</x:f>
        <x:v>325.61</x:v>
      </x:c>
      <x:c r="I25" s="6" t="n">
        <x:f>N24</x:f>
        <x:v>3037.03</x:v>
      </x:c>
      <x:c r="J25" s="6" t="n">
        <x:f>ROUND(I25*'Debt strategy'!$D$10/12,2)</x:f>
        <x:v>20.25</x:v>
      </x:c>
      <x:c r="K25" s="6" t="n">
        <x:f>MIN(I25+J25,'Debt strategy'!$E$10)</x:f>
        <x:v>150</x:v>
      </x:c>
      <x:c r="L25" s="27" t="n">
        <x:f>IF(I25+J25-K25&lt;=0,99,1+SUM(IF(AND(C25+D25-E25&gt;0,OR('Debt strategy'!$D$9&gt;'Debt strategy'!$D$10,AND('Debt strategy'!$D$9='Debt strategy'!$D$10,0&lt;1))),1,0),IF(AND(O25+P25-Q25&gt;0,OR('Debt strategy'!$D$11&gt;'Debt strategy'!$D$10,AND('Debt strategy'!$D$11='Debt strategy'!$D$10,2&lt;1))),1,0),IF(AND(U25+V25-W25&gt;0,OR('Debt strategy'!$D$12&gt;'Debt strategy'!$D$10,AND('Debt strategy'!$D$12='Debt strategy'!$D$10,3&lt;1))),1,0),IF(AND(AA25+AB25-AC25&gt;0,OR('Debt strategy'!$D$13&gt;'Debt strategy'!$D$10,AND('Debt strategy'!$D$13='Debt strategy'!$D$10,4&lt;1))),1,0)))</x:f>
        <x:v>2</x:v>
      </x:c>
      <x:c r="M25" s="6" t="n">
        <x:f>IF('Debt strategy'!$C$16&gt;0,0,MIN(I25+J25-K25,MAX(0,'Debt strategy'!$C$5-SUM(E25,K25,Q25,W25,AC25)-SUM(IF(F25&lt;L25,C25+D25-E25,0),IF(R25&lt;L25,O25+P25-Q25,0),IF(X25&lt;L25,U25+V25-W25,0),IF(AD25&lt;L25,AA25+AB25-AC25,0)))))</x:f>
        <x:v>0</x:v>
      </x:c>
      <x:c r="N25" s="6" t="n">
        <x:f>ROUND(MAX(0,I25+J25-K25-M25),2)</x:f>
        <x:v>2907.28</x:v>
      </x:c>
      <x:c r="O25" s="6" t="n">
        <x:f>T24</x:f>
        <x:v>200</x:v>
      </x:c>
      <x:c r="P25" s="6" t="n">
        <x:f>ROUND(O25*'Debt strategy'!$D$11/12,2)</x:f>
        <x:v>0</x:v>
      </x:c>
      <x:c r="Q25" s="6" t="n">
        <x:f>MIN(O25+P25,'Debt strategy'!$E$11)</x:f>
        <x:v>25</x:v>
      </x:c>
      <x:c r="R25" s="27" t="n">
        <x:f>IF(O25+P25-Q25&lt;=0,99,1+SUM(IF(AND(C25+D25-E25&gt;0,OR('Debt strategy'!$D$9&gt;'Debt strategy'!$D$11,AND('Debt strategy'!$D$9='Debt strategy'!$D$11,0&lt;2))),1,0),IF(AND(I25+J25-K25&gt;0,OR('Debt strategy'!$D$10&gt;'Debt strategy'!$D$11,AND('Debt strategy'!$D$10='Debt strategy'!$D$11,1&lt;2))),1,0),IF(AND(U25+V25-W25&gt;0,OR('Debt strategy'!$D$12&gt;'Debt strategy'!$D$11,AND('Debt strategy'!$D$12='Debt strategy'!$D$11,3&lt;2))),1,0),IF(AND(AA25+AB25-AC25&gt;0,OR('Debt strategy'!$D$13&gt;'Debt strategy'!$D$11,AND('Debt strategy'!$D$13='Debt strategy'!$D$11,4&lt;2))),1,0)))</x:f>
        <x:v>3</x:v>
      </x:c>
      <x:c r="S25" s="6" t="n">
        <x:f>IF('Debt strategy'!$C$16&gt;0,0,MIN(O25+P25-Q25,MAX(0,'Debt strategy'!$C$5-SUM(E25,K25,Q25,W25,AC25)-SUM(IF(F25&lt;R25,C25+D25-E25,0),IF(L25&lt;R25,I25+J25-K25,0),IF(X25&lt;R25,U25+V25-W25,0),IF(AD25&lt;R25,AA25+AB25-AC25,0)))))</x:f>
        <x:v>0</x:v>
      </x:c>
      <x:c r="T25" s="6" t="n">
        <x:f>ROUND(MAX(0,O25+P25-Q25-S25),2)</x:f>
        <x:v>175</x:v>
      </x:c>
      <x:c r="U25" s="6" t="n">
        <x:f>Z24</x:f>
        <x:v>0</x:v>
      </x:c>
      <x:c r="V25" s="6" t="n">
        <x:f>ROUND(U25*'Debt strategy'!$D$12/12,2)</x:f>
        <x:v>0</x:v>
      </x:c>
      <x:c r="W25" s="6" t="n">
        <x:f>MIN(U25+V25,'Debt strategy'!$E$12)</x:f>
        <x:v>0</x:v>
      </x:c>
      <x:c r="X25" s="27" t="n">
        <x:f>IF(U25+V25-W25&lt;=0,99,1+SUM(IF(AND(C25+D25-E25&gt;0,OR('Debt strategy'!$D$9&gt;'Debt strategy'!$D$12,AND('Debt strategy'!$D$9='Debt strategy'!$D$12,0&lt;3))),1,0),IF(AND(I25+J25-K25&gt;0,OR('Debt strategy'!$D$10&gt;'Debt strategy'!$D$12,AND('Debt strategy'!$D$10='Debt strategy'!$D$12,1&lt;3))),1,0),IF(AND(O25+P25-Q25&gt;0,OR('Debt strategy'!$D$11&gt;'Debt strategy'!$D$12,AND('Debt strategy'!$D$11='Debt strategy'!$D$12,2&lt;3))),1,0),IF(AND(AA25+AB25-AC25&gt;0,OR('Debt strategy'!$D$13&gt;'Debt strategy'!$D$12,AND('Debt strategy'!$D$13='Debt strategy'!$D$12,4&lt;3))),1,0)))</x:f>
        <x:v>99</x:v>
      </x:c>
      <x:c r="Y25" s="6" t="n">
        <x:f>IF('Debt strategy'!$C$16&gt;0,0,MIN(U25+V25-W25,MAX(0,'Debt strategy'!$C$5-SUM(E25,K25,Q25,W25,AC25)-SUM(IF(F25&lt;X25,C25+D25-E25,0),IF(L25&lt;X25,I25+J25-K25,0),IF(R25&lt;X25,O25+P25-Q25,0),IF(AD25&lt;X25,AA25+AB25-AC25,0)))))</x:f>
        <x:v>0</x:v>
      </x:c>
      <x:c r="Z25" s="6" t="n">
        <x:f>ROUND(MAX(0,U25+V25-W25-Y25),2)</x:f>
        <x:v>0</x:v>
      </x:c>
      <x:c r="AA25" s="6" t="n">
        <x:f>AF24</x:f>
        <x:v>0</x:v>
      </x:c>
      <x:c r="AB25" s="6" t="n">
        <x:f>ROUND(AA25*'Debt strategy'!$D$13/12,2)</x:f>
        <x:v>0</x:v>
      </x:c>
      <x:c r="AC25" s="6" t="n">
        <x:f>MIN(AA25+AB25,'Debt strategy'!$E$13)</x:f>
        <x:v>0</x:v>
      </x:c>
      <x:c r="AD25" s="27" t="n">
        <x:f>IF(AA25+AB25-AC25&lt;=0,99,1+SUM(IF(AND(C25+D25-E25&gt;0,OR('Debt strategy'!$D$9&gt;'Debt strategy'!$D$13,AND('Debt strategy'!$D$9='Debt strategy'!$D$13,0&lt;4))),1,0),IF(AND(I25+J25-K25&gt;0,OR('Debt strategy'!$D$10&gt;'Debt strategy'!$D$13,AND('Debt strategy'!$D$10='Debt strategy'!$D$13,1&lt;4))),1,0),IF(AND(O25+P25-Q25&gt;0,OR('Debt strategy'!$D$11&gt;'Debt strategy'!$D$13,AND('Debt strategy'!$D$11='Debt strategy'!$D$13,2&lt;4))),1,0),IF(AND(U25+V25-W25&gt;0,OR('Debt strategy'!$D$12&gt;'Debt strategy'!$D$13,AND('Debt strategy'!$D$12='Debt strategy'!$D$13,3&lt;4))),1,0)))</x:f>
        <x:v>99</x:v>
      </x:c>
      <x:c r="AE25" s="6" t="n">
        <x:f>IF('Debt strategy'!$C$16&gt;0,0,MIN(AA25+AB25-AC25,MAX(0,'Debt strategy'!$C$5-SUM(E25,K25,Q25,W25,AC25)-SUM(IF(F25&lt;AD25,C25+D25-E25,0),IF(L25&lt;AD25,I25+J25-K25,0),IF(R25&lt;AD25,O25+P25-Q25,0),IF(X25&lt;AD25,U25+V25-W25,0)))))</x:f>
        <x:v>0</x:v>
      </x:c>
      <x:c r="AF25" s="6" t="n">
        <x:f>ROUND(MAX(0,AA25+AB25-AC25-AE25),2)</x:f>
        <x:v>0</x:v>
      </x:c>
      <x:c r="AG25" s="6" t="n">
        <x:f>SUM(H25,N25,T25,Z25,AF25)</x:f>
        <x:v>3407.8900000000003</x:v>
      </x:c>
      <x:c r="AH25" s="6" t="n">
        <x:f>SUM(D25,J25,P25,V25,AB25)+AH24</x:f>
        <x:v>1107.8900000000003</x:v>
      </x:c>
      <x:c r="AI25" s="2"/>
    </x:row>
    <x:row r="26" ht="23" customHeight="1">
      <x:c r="B26" s="2" t="n">
        <x:f>18</x:f>
        <x:v>18</x:v>
      </x:c>
      <x:c r="C26" s="6" t="n">
        <x:f>H25</x:f>
        <x:v>325.61</x:v>
      </x:c>
      <x:c r="D26" s="6" t="n">
        <x:f>ROUND(C26*'Debt strategy'!$D$9/12,2)</x:f>
        <x:v>5.97</x:v>
      </x:c>
      <x:c r="E26" s="6" t="n">
        <x:f>MIN(C26+D26,'Debt strategy'!$E$9)</x:f>
        <x:v>100</x:v>
      </x:c>
      <x:c r="F26" s="27" t="n">
        <x:f>IF(C26+D26-E26&lt;=0,99,1+SUM(IF(AND(I26+J26-K26&gt;0,OR('Debt strategy'!$D$10&gt;'Debt strategy'!$D$9,AND('Debt strategy'!$D$10='Debt strategy'!$D$9,1&lt;0))),1,0),IF(AND(O26+P26-Q26&gt;0,OR('Debt strategy'!$D$11&gt;'Debt strategy'!$D$9,AND('Debt strategy'!$D$11='Debt strategy'!$D$9,2&lt;0))),1,0),IF(AND(U26+V26-W26&gt;0,OR('Debt strategy'!$D$12&gt;'Debt strategy'!$D$9,AND('Debt strategy'!$D$12='Debt strategy'!$D$9,3&lt;0))),1,0),IF(AND(AA26+AB26-AC26&gt;0,OR('Debt strategy'!$D$13&gt;'Debt strategy'!$D$9,AND('Debt strategy'!$D$13='Debt strategy'!$D$9,4&lt;0))),1,0)))</x:f>
        <x:v>1</x:v>
      </x:c>
      <x:c r="G26" s="6" t="n">
        <x:f>IF('Debt strategy'!$C$16&gt;0,0,MIN(C26+D26-E26,MAX(0,'Debt strategy'!$C$5-SUM(E26,K26,Q26,W26,AC26)-SUM(IF(L26&lt;F26,I26+J26-K26,0),IF(R26&lt;F26,O26+P26-Q26,0),IF(X26&lt;F26,U26+V26-W26,0),IF(AD26&lt;F26,AA26+AB26-AC26,0)))))</x:f>
        <x:v>125</x:v>
      </x:c>
      <x:c r="H26" s="6" t="n">
        <x:f>ROUND(MAX(0,C26+D26-E26-G26),2)</x:f>
        <x:v>106.58</x:v>
      </x:c>
      <x:c r="I26" s="6" t="n">
        <x:f>N25</x:f>
        <x:v>2907.28</x:v>
      </x:c>
      <x:c r="J26" s="6" t="n">
        <x:f>ROUND(I26*'Debt strategy'!$D$10/12,2)</x:f>
        <x:v>19.38</x:v>
      </x:c>
      <x:c r="K26" s="6" t="n">
        <x:f>MIN(I26+J26,'Debt strategy'!$E$10)</x:f>
        <x:v>150</x:v>
      </x:c>
      <x:c r="L26" s="27" t="n">
        <x:f>IF(I26+J26-K26&lt;=0,99,1+SUM(IF(AND(C26+D26-E26&gt;0,OR('Debt strategy'!$D$9&gt;'Debt strategy'!$D$10,AND('Debt strategy'!$D$9='Debt strategy'!$D$10,0&lt;1))),1,0),IF(AND(O26+P26-Q26&gt;0,OR('Debt strategy'!$D$11&gt;'Debt strategy'!$D$10,AND('Debt strategy'!$D$11='Debt strategy'!$D$10,2&lt;1))),1,0),IF(AND(U26+V26-W26&gt;0,OR('Debt strategy'!$D$12&gt;'Debt strategy'!$D$10,AND('Debt strategy'!$D$12='Debt strategy'!$D$10,3&lt;1))),1,0),IF(AND(AA26+AB26-AC26&gt;0,OR('Debt strategy'!$D$13&gt;'Debt strategy'!$D$10,AND('Debt strategy'!$D$13='Debt strategy'!$D$10,4&lt;1))),1,0)))</x:f>
        <x:v>2</x:v>
      </x:c>
      <x:c r="M26" s="6" t="n">
        <x:f>IF('Debt strategy'!$C$16&gt;0,0,MIN(I26+J26-K26,MAX(0,'Debt strategy'!$C$5-SUM(E26,K26,Q26,W26,AC26)-SUM(IF(F26&lt;L26,C26+D26-E26,0),IF(R26&lt;L26,O26+P26-Q26,0),IF(X26&lt;L26,U26+V26-W26,0),IF(AD26&lt;L26,AA26+AB26-AC26,0)))))</x:f>
        <x:v>0</x:v>
      </x:c>
      <x:c r="N26" s="6" t="n">
        <x:f>ROUND(MAX(0,I26+J26-K26-M26),2)</x:f>
        <x:v>2776.66</x:v>
      </x:c>
      <x:c r="O26" s="6" t="n">
        <x:f>T25</x:f>
        <x:v>175</x:v>
      </x:c>
      <x:c r="P26" s="6" t="n">
        <x:f>ROUND(O26*'Debt strategy'!$D$11/12,2)</x:f>
        <x:v>0</x:v>
      </x:c>
      <x:c r="Q26" s="6" t="n">
        <x:f>MIN(O26+P26,'Debt strategy'!$E$11)</x:f>
        <x:v>25</x:v>
      </x:c>
      <x:c r="R26" s="27" t="n">
        <x:f>IF(O26+P26-Q26&lt;=0,99,1+SUM(IF(AND(C26+D26-E26&gt;0,OR('Debt strategy'!$D$9&gt;'Debt strategy'!$D$11,AND('Debt strategy'!$D$9='Debt strategy'!$D$11,0&lt;2))),1,0),IF(AND(I26+J26-K26&gt;0,OR('Debt strategy'!$D$10&gt;'Debt strategy'!$D$11,AND('Debt strategy'!$D$10='Debt strategy'!$D$11,1&lt;2))),1,0),IF(AND(U26+V26-W26&gt;0,OR('Debt strategy'!$D$12&gt;'Debt strategy'!$D$11,AND('Debt strategy'!$D$12='Debt strategy'!$D$11,3&lt;2))),1,0),IF(AND(AA26+AB26-AC26&gt;0,OR('Debt strategy'!$D$13&gt;'Debt strategy'!$D$11,AND('Debt strategy'!$D$13='Debt strategy'!$D$11,4&lt;2))),1,0)))</x:f>
        <x:v>3</x:v>
      </x:c>
      <x:c r="S26" s="6" t="n">
        <x:f>IF('Debt strategy'!$C$16&gt;0,0,MIN(O26+P26-Q26,MAX(0,'Debt strategy'!$C$5-SUM(E26,K26,Q26,W26,AC26)-SUM(IF(F26&lt;R26,C26+D26-E26,0),IF(L26&lt;R26,I26+J26-K26,0),IF(X26&lt;R26,U26+V26-W26,0),IF(AD26&lt;R26,AA26+AB26-AC26,0)))))</x:f>
        <x:v>0</x:v>
      </x:c>
      <x:c r="T26" s="6" t="n">
        <x:f>ROUND(MAX(0,O26+P26-Q26-S26),2)</x:f>
        <x:v>150</x:v>
      </x:c>
      <x:c r="U26" s="6" t="n">
        <x:f>Z25</x:f>
        <x:v>0</x:v>
      </x:c>
      <x:c r="V26" s="6" t="n">
        <x:f>ROUND(U26*'Debt strategy'!$D$12/12,2)</x:f>
        <x:v>0</x:v>
      </x:c>
      <x:c r="W26" s="6" t="n">
        <x:f>MIN(U26+V26,'Debt strategy'!$E$12)</x:f>
        <x:v>0</x:v>
      </x:c>
      <x:c r="X26" s="27" t="n">
        <x:f>IF(U26+V26-W26&lt;=0,99,1+SUM(IF(AND(C26+D26-E26&gt;0,OR('Debt strategy'!$D$9&gt;'Debt strategy'!$D$12,AND('Debt strategy'!$D$9='Debt strategy'!$D$12,0&lt;3))),1,0),IF(AND(I26+J26-K26&gt;0,OR('Debt strategy'!$D$10&gt;'Debt strategy'!$D$12,AND('Debt strategy'!$D$10='Debt strategy'!$D$12,1&lt;3))),1,0),IF(AND(O26+P26-Q26&gt;0,OR('Debt strategy'!$D$11&gt;'Debt strategy'!$D$12,AND('Debt strategy'!$D$11='Debt strategy'!$D$12,2&lt;3))),1,0),IF(AND(AA26+AB26-AC26&gt;0,OR('Debt strategy'!$D$13&gt;'Debt strategy'!$D$12,AND('Debt strategy'!$D$13='Debt strategy'!$D$12,4&lt;3))),1,0)))</x:f>
        <x:v>99</x:v>
      </x:c>
      <x:c r="Y26" s="6" t="n">
        <x:f>IF('Debt strategy'!$C$16&gt;0,0,MIN(U26+V26-W26,MAX(0,'Debt strategy'!$C$5-SUM(E26,K26,Q26,W26,AC26)-SUM(IF(F26&lt;X26,C26+D26-E26,0),IF(L26&lt;X26,I26+J26-K26,0),IF(R26&lt;X26,O26+P26-Q26,0),IF(AD26&lt;X26,AA26+AB26-AC26,0)))))</x:f>
        <x:v>0</x:v>
      </x:c>
      <x:c r="Z26" s="6" t="n">
        <x:f>ROUND(MAX(0,U26+V26-W26-Y26),2)</x:f>
        <x:v>0</x:v>
      </x:c>
      <x:c r="AA26" s="6" t="n">
        <x:f>AF25</x:f>
        <x:v>0</x:v>
      </x:c>
      <x:c r="AB26" s="6" t="n">
        <x:f>ROUND(AA26*'Debt strategy'!$D$13/12,2)</x:f>
        <x:v>0</x:v>
      </x:c>
      <x:c r="AC26" s="6" t="n">
        <x:f>MIN(AA26+AB26,'Debt strategy'!$E$13)</x:f>
        <x:v>0</x:v>
      </x:c>
      <x:c r="AD26" s="27" t="n">
        <x:f>IF(AA26+AB26-AC26&lt;=0,99,1+SUM(IF(AND(C26+D26-E26&gt;0,OR('Debt strategy'!$D$9&gt;'Debt strategy'!$D$13,AND('Debt strategy'!$D$9='Debt strategy'!$D$13,0&lt;4))),1,0),IF(AND(I26+J26-K26&gt;0,OR('Debt strategy'!$D$10&gt;'Debt strategy'!$D$13,AND('Debt strategy'!$D$10='Debt strategy'!$D$13,1&lt;4))),1,0),IF(AND(O26+P26-Q26&gt;0,OR('Debt strategy'!$D$11&gt;'Debt strategy'!$D$13,AND('Debt strategy'!$D$11='Debt strategy'!$D$13,2&lt;4))),1,0),IF(AND(U26+V26-W26&gt;0,OR('Debt strategy'!$D$12&gt;'Debt strategy'!$D$13,AND('Debt strategy'!$D$12='Debt strategy'!$D$13,3&lt;4))),1,0)))</x:f>
        <x:v>99</x:v>
      </x:c>
      <x:c r="AE26" s="6" t="n">
        <x:f>IF('Debt strategy'!$C$16&gt;0,0,MIN(AA26+AB26-AC26,MAX(0,'Debt strategy'!$C$5-SUM(E26,K26,Q26,W26,AC26)-SUM(IF(F26&lt;AD26,C26+D26-E26,0),IF(L26&lt;AD26,I26+J26-K26,0),IF(R26&lt;AD26,O26+P26-Q26,0),IF(X26&lt;AD26,U26+V26-W26,0)))))</x:f>
        <x:v>0</x:v>
      </x:c>
      <x:c r="AF26" s="6" t="n">
        <x:f>ROUND(MAX(0,AA26+AB26-AC26-AE26),2)</x:f>
        <x:v>0</x:v>
      </x:c>
      <x:c r="AG26" s="6" t="n">
        <x:f>SUM(H26,N26,T26,Z26,AF26)</x:f>
        <x:v>3033.24</x:v>
      </x:c>
      <x:c r="AH26" s="6" t="n">
        <x:f>SUM(D26,J26,P26,V26,AB26)+AH25</x:f>
        <x:v>1133.2400000000002</x:v>
      </x:c>
      <x:c r="AI26" s="2"/>
    </x:row>
    <x:row r="27" ht="23" customHeight="1">
      <x:c r="B27" s="2" t="n">
        <x:f>19</x:f>
        <x:v>19</x:v>
      </x:c>
      <x:c r="C27" s="6" t="n">
        <x:f>H26</x:f>
        <x:v>106.58</x:v>
      </x:c>
      <x:c r="D27" s="6" t="n">
        <x:f>ROUND(C27*'Debt strategy'!$D$9/12,2)</x:f>
        <x:v>1.95</x:v>
      </x:c>
      <x:c r="E27" s="6" t="n">
        <x:f>MIN(C27+D27,'Debt strategy'!$E$9)</x:f>
        <x:v>100</x:v>
      </x:c>
      <x:c r="F27" s="27" t="n">
        <x:f>IF(C27+D27-E27&lt;=0,99,1+SUM(IF(AND(I27+J27-K27&gt;0,OR('Debt strategy'!$D$10&gt;'Debt strategy'!$D$9,AND('Debt strategy'!$D$10='Debt strategy'!$D$9,1&lt;0))),1,0),IF(AND(O27+P27-Q27&gt;0,OR('Debt strategy'!$D$11&gt;'Debt strategy'!$D$9,AND('Debt strategy'!$D$11='Debt strategy'!$D$9,2&lt;0))),1,0),IF(AND(U27+V27-W27&gt;0,OR('Debt strategy'!$D$12&gt;'Debt strategy'!$D$9,AND('Debt strategy'!$D$12='Debt strategy'!$D$9,3&lt;0))),1,0),IF(AND(AA27+AB27-AC27&gt;0,OR('Debt strategy'!$D$13&gt;'Debt strategy'!$D$9,AND('Debt strategy'!$D$13='Debt strategy'!$D$9,4&lt;0))),1,0)))</x:f>
        <x:v>1</x:v>
      </x:c>
      <x:c r="G27" s="6" t="n">
        <x:f>IF('Debt strategy'!$C$16&gt;0,0,MIN(C27+D27-E27,MAX(0,'Debt strategy'!$C$5-SUM(E27,K27,Q27,W27,AC27)-SUM(IF(L27&lt;F27,I27+J27-K27,0),IF(R27&lt;F27,O27+P27-Q27,0),IF(X27&lt;F27,U27+V27-W27,0),IF(AD27&lt;F27,AA27+AB27-AC27,0)))))</x:f>
        <x:v>8.530000000000001</x:v>
      </x:c>
      <x:c r="H27" s="6" t="n">
        <x:f>ROUND(MAX(0,C27+D27-E27-G27),2)</x:f>
        <x:v>0</x:v>
      </x:c>
      <x:c r="I27" s="6" t="n">
        <x:f>N26</x:f>
        <x:v>2776.66</x:v>
      </x:c>
      <x:c r="J27" s="6" t="n">
        <x:f>ROUND(I27*'Debt strategy'!$D$10/12,2)</x:f>
        <x:v>18.51</x:v>
      </x:c>
      <x:c r="K27" s="6" t="n">
        <x:f>MIN(I27+J27,'Debt strategy'!$E$10)</x:f>
        <x:v>150</x:v>
      </x:c>
      <x:c r="L27" s="27" t="n">
        <x:f>IF(I27+J27-K27&lt;=0,99,1+SUM(IF(AND(C27+D27-E27&gt;0,OR('Debt strategy'!$D$9&gt;'Debt strategy'!$D$10,AND('Debt strategy'!$D$9='Debt strategy'!$D$10,0&lt;1))),1,0),IF(AND(O27+P27-Q27&gt;0,OR('Debt strategy'!$D$11&gt;'Debt strategy'!$D$10,AND('Debt strategy'!$D$11='Debt strategy'!$D$10,2&lt;1))),1,0),IF(AND(U27+V27-W27&gt;0,OR('Debt strategy'!$D$12&gt;'Debt strategy'!$D$10,AND('Debt strategy'!$D$12='Debt strategy'!$D$10,3&lt;1))),1,0),IF(AND(AA27+AB27-AC27&gt;0,OR('Debt strategy'!$D$13&gt;'Debt strategy'!$D$10,AND('Debt strategy'!$D$13='Debt strategy'!$D$10,4&lt;1))),1,0)))</x:f>
        <x:v>2</x:v>
      </x:c>
      <x:c r="M27" s="6" t="n">
        <x:f>IF('Debt strategy'!$C$16&gt;0,0,MIN(I27+J27-K27,MAX(0,'Debt strategy'!$C$5-SUM(E27,K27,Q27,W27,AC27)-SUM(IF(F27&lt;L27,C27+D27-E27,0),IF(R27&lt;L27,O27+P27-Q27,0),IF(X27&lt;L27,U27+V27-W27,0),IF(AD27&lt;L27,AA27+AB27-AC27,0)))))</x:f>
        <x:v>116.47</x:v>
      </x:c>
      <x:c r="N27" s="6" t="n">
        <x:f>ROUND(MAX(0,I27+J27-K27-M27),2)</x:f>
        <x:v>2528.7</x:v>
      </x:c>
      <x:c r="O27" s="6" t="n">
        <x:f>T26</x:f>
        <x:v>150</x:v>
      </x:c>
      <x:c r="P27" s="6" t="n">
        <x:f>ROUND(O27*'Debt strategy'!$D$11/12,2)</x:f>
        <x:v>0</x:v>
      </x:c>
      <x:c r="Q27" s="6" t="n">
        <x:f>MIN(O27+P27,'Debt strategy'!$E$11)</x:f>
        <x:v>25</x:v>
      </x:c>
      <x:c r="R27" s="27" t="n">
        <x:f>IF(O27+P27-Q27&lt;=0,99,1+SUM(IF(AND(C27+D27-E27&gt;0,OR('Debt strategy'!$D$9&gt;'Debt strategy'!$D$11,AND('Debt strategy'!$D$9='Debt strategy'!$D$11,0&lt;2))),1,0),IF(AND(I27+J27-K27&gt;0,OR('Debt strategy'!$D$10&gt;'Debt strategy'!$D$11,AND('Debt strategy'!$D$10='Debt strategy'!$D$11,1&lt;2))),1,0),IF(AND(U27+V27-W27&gt;0,OR('Debt strategy'!$D$12&gt;'Debt strategy'!$D$11,AND('Debt strategy'!$D$12='Debt strategy'!$D$11,3&lt;2))),1,0),IF(AND(AA27+AB27-AC27&gt;0,OR('Debt strategy'!$D$13&gt;'Debt strategy'!$D$11,AND('Debt strategy'!$D$13='Debt strategy'!$D$11,4&lt;2))),1,0)))</x:f>
        <x:v>3</x:v>
      </x:c>
      <x:c r="S27" s="6" t="n">
        <x:f>IF('Debt strategy'!$C$16&gt;0,0,MIN(O27+P27-Q27,MAX(0,'Debt strategy'!$C$5-SUM(E27,K27,Q27,W27,AC27)-SUM(IF(F27&lt;R27,C27+D27-E27,0),IF(L27&lt;R27,I27+J27-K27,0),IF(X27&lt;R27,U27+V27-W27,0),IF(AD27&lt;R27,AA27+AB27-AC27,0)))))</x:f>
        <x:v>0</x:v>
      </x:c>
      <x:c r="T27" s="6" t="n">
        <x:f>ROUND(MAX(0,O27+P27-Q27-S27),2)</x:f>
        <x:v>125</x:v>
      </x:c>
      <x:c r="U27" s="6" t="n">
        <x:f>Z26</x:f>
        <x:v>0</x:v>
      </x:c>
      <x:c r="V27" s="6" t="n">
        <x:f>ROUND(U27*'Debt strategy'!$D$12/12,2)</x:f>
        <x:v>0</x:v>
      </x:c>
      <x:c r="W27" s="6" t="n">
        <x:f>MIN(U27+V27,'Debt strategy'!$E$12)</x:f>
        <x:v>0</x:v>
      </x:c>
      <x:c r="X27" s="27" t="n">
        <x:f>IF(U27+V27-W27&lt;=0,99,1+SUM(IF(AND(C27+D27-E27&gt;0,OR('Debt strategy'!$D$9&gt;'Debt strategy'!$D$12,AND('Debt strategy'!$D$9='Debt strategy'!$D$12,0&lt;3))),1,0),IF(AND(I27+J27-K27&gt;0,OR('Debt strategy'!$D$10&gt;'Debt strategy'!$D$12,AND('Debt strategy'!$D$10='Debt strategy'!$D$12,1&lt;3))),1,0),IF(AND(O27+P27-Q27&gt;0,OR('Debt strategy'!$D$11&gt;'Debt strategy'!$D$12,AND('Debt strategy'!$D$11='Debt strategy'!$D$12,2&lt;3))),1,0),IF(AND(AA27+AB27-AC27&gt;0,OR('Debt strategy'!$D$13&gt;'Debt strategy'!$D$12,AND('Debt strategy'!$D$13='Debt strategy'!$D$12,4&lt;3))),1,0)))</x:f>
        <x:v>99</x:v>
      </x:c>
      <x:c r="Y27" s="6" t="n">
        <x:f>IF('Debt strategy'!$C$16&gt;0,0,MIN(U27+V27-W27,MAX(0,'Debt strategy'!$C$5-SUM(E27,K27,Q27,W27,AC27)-SUM(IF(F27&lt;X27,C27+D27-E27,0),IF(L27&lt;X27,I27+J27-K27,0),IF(R27&lt;X27,O27+P27-Q27,0),IF(AD27&lt;X27,AA27+AB27-AC27,0)))))</x:f>
        <x:v>0</x:v>
      </x:c>
      <x:c r="Z27" s="6" t="n">
        <x:f>ROUND(MAX(0,U27+V27-W27-Y27),2)</x:f>
        <x:v>0</x:v>
      </x:c>
      <x:c r="AA27" s="6" t="n">
        <x:f>AF26</x:f>
        <x:v>0</x:v>
      </x:c>
      <x:c r="AB27" s="6" t="n">
        <x:f>ROUND(AA27*'Debt strategy'!$D$13/12,2)</x:f>
        <x:v>0</x:v>
      </x:c>
      <x:c r="AC27" s="6" t="n">
        <x:f>MIN(AA27+AB27,'Debt strategy'!$E$13)</x:f>
        <x:v>0</x:v>
      </x:c>
      <x:c r="AD27" s="27" t="n">
        <x:f>IF(AA27+AB27-AC27&lt;=0,99,1+SUM(IF(AND(C27+D27-E27&gt;0,OR('Debt strategy'!$D$9&gt;'Debt strategy'!$D$13,AND('Debt strategy'!$D$9='Debt strategy'!$D$13,0&lt;4))),1,0),IF(AND(I27+J27-K27&gt;0,OR('Debt strategy'!$D$10&gt;'Debt strategy'!$D$13,AND('Debt strategy'!$D$10='Debt strategy'!$D$13,1&lt;4))),1,0),IF(AND(O27+P27-Q27&gt;0,OR('Debt strategy'!$D$11&gt;'Debt strategy'!$D$13,AND('Debt strategy'!$D$11='Debt strategy'!$D$13,2&lt;4))),1,0),IF(AND(U27+V27-W27&gt;0,OR('Debt strategy'!$D$12&gt;'Debt strategy'!$D$13,AND('Debt strategy'!$D$12='Debt strategy'!$D$13,3&lt;4))),1,0)))</x:f>
        <x:v>99</x:v>
      </x:c>
      <x:c r="AE27" s="6" t="n">
        <x:f>IF('Debt strategy'!$C$16&gt;0,0,MIN(AA27+AB27-AC27,MAX(0,'Debt strategy'!$C$5-SUM(E27,K27,Q27,W27,AC27)-SUM(IF(F27&lt;AD27,C27+D27-E27,0),IF(L27&lt;AD27,I27+J27-K27,0),IF(R27&lt;AD27,O27+P27-Q27,0),IF(X27&lt;AD27,U27+V27-W27,0)))))</x:f>
        <x:v>0</x:v>
      </x:c>
      <x:c r="AF27" s="6" t="n">
        <x:f>ROUND(MAX(0,AA27+AB27-AC27-AE27),2)</x:f>
        <x:v>0</x:v>
      </x:c>
      <x:c r="AG27" s="6" t="n">
        <x:f>SUM(H27,N27,T27,Z27,AF27)</x:f>
        <x:v>2653.7</x:v>
      </x:c>
      <x:c r="AH27" s="6" t="n">
        <x:f>SUM(D27,J27,P27,V27,AB27)+AH26</x:f>
        <x:v>1153.7000000000003</x:v>
      </x:c>
      <x:c r="AI27" s="2"/>
    </x:row>
    <x:row r="28" ht="23" customHeight="1">
      <x:c r="B28" s="2" t="n">
        <x:f>20</x:f>
        <x:v>20</x:v>
      </x:c>
      <x:c r="C28" s="6" t="n">
        <x:f>H27</x:f>
        <x:v>0</x:v>
      </x:c>
      <x:c r="D28" s="6" t="n">
        <x:f>ROUND(C28*'Debt strategy'!$D$9/12,2)</x:f>
        <x:v>0</x:v>
      </x:c>
      <x:c r="E28" s="6" t="n">
        <x:f>MIN(C28+D28,'Debt strategy'!$E$9)</x:f>
        <x:v>0</x:v>
      </x:c>
      <x:c r="F28" s="27" t="n">
        <x:f>IF(C28+D28-E28&lt;=0,99,1+SUM(IF(AND(I28+J28-K28&gt;0,OR('Debt strategy'!$D$10&gt;'Debt strategy'!$D$9,AND('Debt strategy'!$D$10='Debt strategy'!$D$9,1&lt;0))),1,0),IF(AND(O28+P28-Q28&gt;0,OR('Debt strategy'!$D$11&gt;'Debt strategy'!$D$9,AND('Debt strategy'!$D$11='Debt strategy'!$D$9,2&lt;0))),1,0),IF(AND(U28+V28-W28&gt;0,OR('Debt strategy'!$D$12&gt;'Debt strategy'!$D$9,AND('Debt strategy'!$D$12='Debt strategy'!$D$9,3&lt;0))),1,0),IF(AND(AA28+AB28-AC28&gt;0,OR('Debt strategy'!$D$13&gt;'Debt strategy'!$D$9,AND('Debt strategy'!$D$13='Debt strategy'!$D$9,4&lt;0))),1,0)))</x:f>
        <x:v>99</x:v>
      </x:c>
      <x:c r="G28" s="6" t="n">
        <x:f>IF('Debt strategy'!$C$16&gt;0,0,MIN(C28+D28-E28,MAX(0,'Debt strategy'!$C$5-SUM(E28,K28,Q28,W28,AC28)-SUM(IF(L28&lt;F28,I28+J28-K28,0),IF(R28&lt;F28,O28+P28-Q28,0),IF(X28&lt;F28,U28+V28-W28,0),IF(AD28&lt;F28,AA28+AB28-AC28,0)))))</x:f>
        <x:v>0</x:v>
      </x:c>
      <x:c r="H28" s="6" t="n">
        <x:f>ROUND(MAX(0,C28+D28-E28-G28),2)</x:f>
        <x:v>0</x:v>
      </x:c>
      <x:c r="I28" s="6" t="n">
        <x:f>N27</x:f>
        <x:v>2528.7</x:v>
      </x:c>
      <x:c r="J28" s="6" t="n">
        <x:f>ROUND(I28*'Debt strategy'!$D$10/12,2)</x:f>
        <x:v>16.86</x:v>
      </x:c>
      <x:c r="K28" s="6" t="n">
        <x:f>MIN(I28+J28,'Debt strategy'!$E$10)</x:f>
        <x:v>150</x:v>
      </x:c>
      <x:c r="L28" s="27" t="n">
        <x:f>IF(I28+J28-K28&lt;=0,99,1+SUM(IF(AND(C28+D28-E28&gt;0,OR('Debt strategy'!$D$9&gt;'Debt strategy'!$D$10,AND('Debt strategy'!$D$9='Debt strategy'!$D$10,0&lt;1))),1,0),IF(AND(O28+P28-Q28&gt;0,OR('Debt strategy'!$D$11&gt;'Debt strategy'!$D$10,AND('Debt strategy'!$D$11='Debt strategy'!$D$10,2&lt;1))),1,0),IF(AND(U28+V28-W28&gt;0,OR('Debt strategy'!$D$12&gt;'Debt strategy'!$D$10,AND('Debt strategy'!$D$12='Debt strategy'!$D$10,3&lt;1))),1,0),IF(AND(AA28+AB28-AC28&gt;0,OR('Debt strategy'!$D$13&gt;'Debt strategy'!$D$10,AND('Debt strategy'!$D$13='Debt strategy'!$D$10,4&lt;1))),1,0)))</x:f>
        <x:v>1</x:v>
      </x:c>
      <x:c r="M28" s="6" t="n">
        <x:f>IF('Debt strategy'!$C$16&gt;0,0,MIN(I28+J28-K28,MAX(0,'Debt strategy'!$C$5-SUM(E28,K28,Q28,W28,AC28)-SUM(IF(F28&lt;L28,C28+D28-E28,0),IF(R28&lt;L28,O28+P28-Q28,0),IF(X28&lt;L28,U28+V28-W28,0),IF(AD28&lt;L28,AA28+AB28-AC28,0)))))</x:f>
        <x:v>225</x:v>
      </x:c>
      <x:c r="N28" s="6" t="n">
        <x:f>ROUND(MAX(0,I28+J28-K28-M28),2)</x:f>
        <x:v>2170.56</x:v>
      </x:c>
      <x:c r="O28" s="6" t="n">
        <x:f>T27</x:f>
        <x:v>125</x:v>
      </x:c>
      <x:c r="P28" s="6" t="n">
        <x:f>ROUND(O28*'Debt strategy'!$D$11/12,2)</x:f>
        <x:v>0</x:v>
      </x:c>
      <x:c r="Q28" s="6" t="n">
        <x:f>MIN(O28+P28,'Debt strategy'!$E$11)</x:f>
        <x:v>25</x:v>
      </x:c>
      <x:c r="R28" s="27" t="n">
        <x:f>IF(O28+P28-Q28&lt;=0,99,1+SUM(IF(AND(C28+D28-E28&gt;0,OR('Debt strategy'!$D$9&gt;'Debt strategy'!$D$11,AND('Debt strategy'!$D$9='Debt strategy'!$D$11,0&lt;2))),1,0),IF(AND(I28+J28-K28&gt;0,OR('Debt strategy'!$D$10&gt;'Debt strategy'!$D$11,AND('Debt strategy'!$D$10='Debt strategy'!$D$11,1&lt;2))),1,0),IF(AND(U28+V28-W28&gt;0,OR('Debt strategy'!$D$12&gt;'Debt strategy'!$D$11,AND('Debt strategy'!$D$12='Debt strategy'!$D$11,3&lt;2))),1,0),IF(AND(AA28+AB28-AC28&gt;0,OR('Debt strategy'!$D$13&gt;'Debt strategy'!$D$11,AND('Debt strategy'!$D$13='Debt strategy'!$D$11,4&lt;2))),1,0)))</x:f>
        <x:v>2</x:v>
      </x:c>
      <x:c r="S28" s="6" t="n">
        <x:f>IF('Debt strategy'!$C$16&gt;0,0,MIN(O28+P28-Q28,MAX(0,'Debt strategy'!$C$5-SUM(E28,K28,Q28,W28,AC28)-SUM(IF(F28&lt;R28,C28+D28-E28,0),IF(L28&lt;R28,I28+J28-K28,0),IF(X28&lt;R28,U28+V28-W28,0),IF(AD28&lt;R28,AA28+AB28-AC28,0)))))</x:f>
        <x:v>0</x:v>
      </x:c>
      <x:c r="T28" s="6" t="n">
        <x:f>ROUND(MAX(0,O28+P28-Q28-S28),2)</x:f>
        <x:v>100</x:v>
      </x:c>
      <x:c r="U28" s="6" t="n">
        <x:f>Z27</x:f>
        <x:v>0</x:v>
      </x:c>
      <x:c r="V28" s="6" t="n">
        <x:f>ROUND(U28*'Debt strategy'!$D$12/12,2)</x:f>
        <x:v>0</x:v>
      </x:c>
      <x:c r="W28" s="6" t="n">
        <x:f>MIN(U28+V28,'Debt strategy'!$E$12)</x:f>
        <x:v>0</x:v>
      </x:c>
      <x:c r="X28" s="27" t="n">
        <x:f>IF(U28+V28-W28&lt;=0,99,1+SUM(IF(AND(C28+D28-E28&gt;0,OR('Debt strategy'!$D$9&gt;'Debt strategy'!$D$12,AND('Debt strategy'!$D$9='Debt strategy'!$D$12,0&lt;3))),1,0),IF(AND(I28+J28-K28&gt;0,OR('Debt strategy'!$D$10&gt;'Debt strategy'!$D$12,AND('Debt strategy'!$D$10='Debt strategy'!$D$12,1&lt;3))),1,0),IF(AND(O28+P28-Q28&gt;0,OR('Debt strategy'!$D$11&gt;'Debt strategy'!$D$12,AND('Debt strategy'!$D$11='Debt strategy'!$D$12,2&lt;3))),1,0),IF(AND(AA28+AB28-AC28&gt;0,OR('Debt strategy'!$D$13&gt;'Debt strategy'!$D$12,AND('Debt strategy'!$D$13='Debt strategy'!$D$12,4&lt;3))),1,0)))</x:f>
        <x:v>99</x:v>
      </x:c>
      <x:c r="Y28" s="6" t="n">
        <x:f>IF('Debt strategy'!$C$16&gt;0,0,MIN(U28+V28-W28,MAX(0,'Debt strategy'!$C$5-SUM(E28,K28,Q28,W28,AC28)-SUM(IF(F28&lt;X28,C28+D28-E28,0),IF(L28&lt;X28,I28+J28-K28,0),IF(R28&lt;X28,O28+P28-Q28,0),IF(AD28&lt;X28,AA28+AB28-AC28,0)))))</x:f>
        <x:v>0</x:v>
      </x:c>
      <x:c r="Z28" s="6" t="n">
        <x:f>ROUND(MAX(0,U28+V28-W28-Y28),2)</x:f>
        <x:v>0</x:v>
      </x:c>
      <x:c r="AA28" s="6" t="n">
        <x:f>AF27</x:f>
        <x:v>0</x:v>
      </x:c>
      <x:c r="AB28" s="6" t="n">
        <x:f>ROUND(AA28*'Debt strategy'!$D$13/12,2)</x:f>
        <x:v>0</x:v>
      </x:c>
      <x:c r="AC28" s="6" t="n">
        <x:f>MIN(AA28+AB28,'Debt strategy'!$E$13)</x:f>
        <x:v>0</x:v>
      </x:c>
      <x:c r="AD28" s="27" t="n">
        <x:f>IF(AA28+AB28-AC28&lt;=0,99,1+SUM(IF(AND(C28+D28-E28&gt;0,OR('Debt strategy'!$D$9&gt;'Debt strategy'!$D$13,AND('Debt strategy'!$D$9='Debt strategy'!$D$13,0&lt;4))),1,0),IF(AND(I28+J28-K28&gt;0,OR('Debt strategy'!$D$10&gt;'Debt strategy'!$D$13,AND('Debt strategy'!$D$10='Debt strategy'!$D$13,1&lt;4))),1,0),IF(AND(O28+P28-Q28&gt;0,OR('Debt strategy'!$D$11&gt;'Debt strategy'!$D$13,AND('Debt strategy'!$D$11='Debt strategy'!$D$13,2&lt;4))),1,0),IF(AND(U28+V28-W28&gt;0,OR('Debt strategy'!$D$12&gt;'Debt strategy'!$D$13,AND('Debt strategy'!$D$12='Debt strategy'!$D$13,3&lt;4))),1,0)))</x:f>
        <x:v>99</x:v>
      </x:c>
      <x:c r="AE28" s="6" t="n">
        <x:f>IF('Debt strategy'!$C$16&gt;0,0,MIN(AA28+AB28-AC28,MAX(0,'Debt strategy'!$C$5-SUM(E28,K28,Q28,W28,AC28)-SUM(IF(F28&lt;AD28,C28+D28-E28,0),IF(L28&lt;AD28,I28+J28-K28,0),IF(R28&lt;AD28,O28+P28-Q28,0),IF(X28&lt;AD28,U28+V28-W28,0)))))</x:f>
        <x:v>0</x:v>
      </x:c>
      <x:c r="AF28" s="6" t="n">
        <x:f>ROUND(MAX(0,AA28+AB28-AC28-AE28),2)</x:f>
        <x:v>0</x:v>
      </x:c>
      <x:c r="AG28" s="6" t="n">
        <x:f>SUM(H28,N28,T28,Z28,AF28)</x:f>
        <x:v>2270.56</x:v>
      </x:c>
      <x:c r="AH28" s="6" t="n">
        <x:f>SUM(D28,J28,P28,V28,AB28)+AH27</x:f>
        <x:v>1170.5600000000002</x:v>
      </x:c>
      <x:c r="AI28" s="2"/>
    </x:row>
    <x:row r="29" ht="23" customHeight="1">
      <x:c r="B29" s="2" t="n">
        <x:f>21</x:f>
        <x:v>21</x:v>
      </x:c>
      <x:c r="C29" s="6" t="n">
        <x:f>H28</x:f>
        <x:v>0</x:v>
      </x:c>
      <x:c r="D29" s="6" t="n">
        <x:f>ROUND(C29*'Debt strategy'!$D$9/12,2)</x:f>
        <x:v>0</x:v>
      </x:c>
      <x:c r="E29" s="6" t="n">
        <x:f>MIN(C29+D29,'Debt strategy'!$E$9)</x:f>
        <x:v>0</x:v>
      </x:c>
      <x:c r="F29" s="27" t="n">
        <x:f>IF(C29+D29-E29&lt;=0,99,1+SUM(IF(AND(I29+J29-K29&gt;0,OR('Debt strategy'!$D$10&gt;'Debt strategy'!$D$9,AND('Debt strategy'!$D$10='Debt strategy'!$D$9,1&lt;0))),1,0),IF(AND(O29+P29-Q29&gt;0,OR('Debt strategy'!$D$11&gt;'Debt strategy'!$D$9,AND('Debt strategy'!$D$11='Debt strategy'!$D$9,2&lt;0))),1,0),IF(AND(U29+V29-W29&gt;0,OR('Debt strategy'!$D$12&gt;'Debt strategy'!$D$9,AND('Debt strategy'!$D$12='Debt strategy'!$D$9,3&lt;0))),1,0),IF(AND(AA29+AB29-AC29&gt;0,OR('Debt strategy'!$D$13&gt;'Debt strategy'!$D$9,AND('Debt strategy'!$D$13='Debt strategy'!$D$9,4&lt;0))),1,0)))</x:f>
        <x:v>99</x:v>
      </x:c>
      <x:c r="G29" s="6" t="n">
        <x:f>IF('Debt strategy'!$C$16&gt;0,0,MIN(C29+D29-E29,MAX(0,'Debt strategy'!$C$5-SUM(E29,K29,Q29,W29,AC29)-SUM(IF(L29&lt;F29,I29+J29-K29,0),IF(R29&lt;F29,O29+P29-Q29,0),IF(X29&lt;F29,U29+V29-W29,0),IF(AD29&lt;F29,AA29+AB29-AC29,0)))))</x:f>
        <x:v>0</x:v>
      </x:c>
      <x:c r="H29" s="6" t="n">
        <x:f>ROUND(MAX(0,C29+D29-E29-G29),2)</x:f>
        <x:v>0</x:v>
      </x:c>
      <x:c r="I29" s="6" t="n">
        <x:f>N28</x:f>
        <x:v>2170.56</x:v>
      </x:c>
      <x:c r="J29" s="6" t="n">
        <x:f>ROUND(I29*'Debt strategy'!$D$10/12,2)</x:f>
        <x:v>14.47</x:v>
      </x:c>
      <x:c r="K29" s="6" t="n">
        <x:f>MIN(I29+J29,'Debt strategy'!$E$10)</x:f>
        <x:v>150</x:v>
      </x:c>
      <x:c r="L29" s="27" t="n">
        <x:f>IF(I29+J29-K29&lt;=0,99,1+SUM(IF(AND(C29+D29-E29&gt;0,OR('Debt strategy'!$D$9&gt;'Debt strategy'!$D$10,AND('Debt strategy'!$D$9='Debt strategy'!$D$10,0&lt;1))),1,0),IF(AND(O29+P29-Q29&gt;0,OR('Debt strategy'!$D$11&gt;'Debt strategy'!$D$10,AND('Debt strategy'!$D$11='Debt strategy'!$D$10,2&lt;1))),1,0),IF(AND(U29+V29-W29&gt;0,OR('Debt strategy'!$D$12&gt;'Debt strategy'!$D$10,AND('Debt strategy'!$D$12='Debt strategy'!$D$10,3&lt;1))),1,0),IF(AND(AA29+AB29-AC29&gt;0,OR('Debt strategy'!$D$13&gt;'Debt strategy'!$D$10,AND('Debt strategy'!$D$13='Debt strategy'!$D$10,4&lt;1))),1,0)))</x:f>
        <x:v>1</x:v>
      </x:c>
      <x:c r="M29" s="6" t="n">
        <x:f>IF('Debt strategy'!$C$16&gt;0,0,MIN(I29+J29-K29,MAX(0,'Debt strategy'!$C$5-SUM(E29,K29,Q29,W29,AC29)-SUM(IF(F29&lt;L29,C29+D29-E29,0),IF(R29&lt;L29,O29+P29-Q29,0),IF(X29&lt;L29,U29+V29-W29,0),IF(AD29&lt;L29,AA29+AB29-AC29,0)))))</x:f>
        <x:v>225</x:v>
      </x:c>
      <x:c r="N29" s="6" t="n">
        <x:f>ROUND(MAX(0,I29+J29-K29-M29),2)</x:f>
        <x:v>1810.03</x:v>
      </x:c>
      <x:c r="O29" s="6" t="n">
        <x:f>T28</x:f>
        <x:v>100</x:v>
      </x:c>
      <x:c r="P29" s="6" t="n">
        <x:f>ROUND(O29*'Debt strategy'!$D$11/12,2)</x:f>
        <x:v>0</x:v>
      </x:c>
      <x:c r="Q29" s="6" t="n">
        <x:f>MIN(O29+P29,'Debt strategy'!$E$11)</x:f>
        <x:v>25</x:v>
      </x:c>
      <x:c r="R29" s="27" t="n">
        <x:f>IF(O29+P29-Q29&lt;=0,99,1+SUM(IF(AND(C29+D29-E29&gt;0,OR('Debt strategy'!$D$9&gt;'Debt strategy'!$D$11,AND('Debt strategy'!$D$9='Debt strategy'!$D$11,0&lt;2))),1,0),IF(AND(I29+J29-K29&gt;0,OR('Debt strategy'!$D$10&gt;'Debt strategy'!$D$11,AND('Debt strategy'!$D$10='Debt strategy'!$D$11,1&lt;2))),1,0),IF(AND(U29+V29-W29&gt;0,OR('Debt strategy'!$D$12&gt;'Debt strategy'!$D$11,AND('Debt strategy'!$D$12='Debt strategy'!$D$11,3&lt;2))),1,0),IF(AND(AA29+AB29-AC29&gt;0,OR('Debt strategy'!$D$13&gt;'Debt strategy'!$D$11,AND('Debt strategy'!$D$13='Debt strategy'!$D$11,4&lt;2))),1,0)))</x:f>
        <x:v>2</x:v>
      </x:c>
      <x:c r="S29" s="6" t="n">
        <x:f>IF('Debt strategy'!$C$16&gt;0,0,MIN(O29+P29-Q29,MAX(0,'Debt strategy'!$C$5-SUM(E29,K29,Q29,W29,AC29)-SUM(IF(F29&lt;R29,C29+D29-E29,0),IF(L29&lt;R29,I29+J29-K29,0),IF(X29&lt;R29,U29+V29-W29,0),IF(AD29&lt;R29,AA29+AB29-AC29,0)))))</x:f>
        <x:v>0</x:v>
      </x:c>
      <x:c r="T29" s="6" t="n">
        <x:f>ROUND(MAX(0,O29+P29-Q29-S29),2)</x:f>
        <x:v>75</x:v>
      </x:c>
      <x:c r="U29" s="6" t="n">
        <x:f>Z28</x:f>
        <x:v>0</x:v>
      </x:c>
      <x:c r="V29" s="6" t="n">
        <x:f>ROUND(U29*'Debt strategy'!$D$12/12,2)</x:f>
        <x:v>0</x:v>
      </x:c>
      <x:c r="W29" s="6" t="n">
        <x:f>MIN(U29+V29,'Debt strategy'!$E$12)</x:f>
        <x:v>0</x:v>
      </x:c>
      <x:c r="X29" s="27" t="n">
        <x:f>IF(U29+V29-W29&lt;=0,99,1+SUM(IF(AND(C29+D29-E29&gt;0,OR('Debt strategy'!$D$9&gt;'Debt strategy'!$D$12,AND('Debt strategy'!$D$9='Debt strategy'!$D$12,0&lt;3))),1,0),IF(AND(I29+J29-K29&gt;0,OR('Debt strategy'!$D$10&gt;'Debt strategy'!$D$12,AND('Debt strategy'!$D$10='Debt strategy'!$D$12,1&lt;3))),1,0),IF(AND(O29+P29-Q29&gt;0,OR('Debt strategy'!$D$11&gt;'Debt strategy'!$D$12,AND('Debt strategy'!$D$11='Debt strategy'!$D$12,2&lt;3))),1,0),IF(AND(AA29+AB29-AC29&gt;0,OR('Debt strategy'!$D$13&gt;'Debt strategy'!$D$12,AND('Debt strategy'!$D$13='Debt strategy'!$D$12,4&lt;3))),1,0)))</x:f>
        <x:v>99</x:v>
      </x:c>
      <x:c r="Y29" s="6" t="n">
        <x:f>IF('Debt strategy'!$C$16&gt;0,0,MIN(U29+V29-W29,MAX(0,'Debt strategy'!$C$5-SUM(E29,K29,Q29,W29,AC29)-SUM(IF(F29&lt;X29,C29+D29-E29,0),IF(L29&lt;X29,I29+J29-K29,0),IF(R29&lt;X29,O29+P29-Q29,0),IF(AD29&lt;X29,AA29+AB29-AC29,0)))))</x:f>
        <x:v>0</x:v>
      </x:c>
      <x:c r="Z29" s="6" t="n">
        <x:f>ROUND(MAX(0,U29+V29-W29-Y29),2)</x:f>
        <x:v>0</x:v>
      </x:c>
      <x:c r="AA29" s="6" t="n">
        <x:f>AF28</x:f>
        <x:v>0</x:v>
      </x:c>
      <x:c r="AB29" s="6" t="n">
        <x:f>ROUND(AA29*'Debt strategy'!$D$13/12,2)</x:f>
        <x:v>0</x:v>
      </x:c>
      <x:c r="AC29" s="6" t="n">
        <x:f>MIN(AA29+AB29,'Debt strategy'!$E$13)</x:f>
        <x:v>0</x:v>
      </x:c>
      <x:c r="AD29" s="27" t="n">
        <x:f>IF(AA29+AB29-AC29&lt;=0,99,1+SUM(IF(AND(C29+D29-E29&gt;0,OR('Debt strategy'!$D$9&gt;'Debt strategy'!$D$13,AND('Debt strategy'!$D$9='Debt strategy'!$D$13,0&lt;4))),1,0),IF(AND(I29+J29-K29&gt;0,OR('Debt strategy'!$D$10&gt;'Debt strategy'!$D$13,AND('Debt strategy'!$D$10='Debt strategy'!$D$13,1&lt;4))),1,0),IF(AND(O29+P29-Q29&gt;0,OR('Debt strategy'!$D$11&gt;'Debt strategy'!$D$13,AND('Debt strategy'!$D$11='Debt strategy'!$D$13,2&lt;4))),1,0),IF(AND(U29+V29-W29&gt;0,OR('Debt strategy'!$D$12&gt;'Debt strategy'!$D$13,AND('Debt strategy'!$D$12='Debt strategy'!$D$13,3&lt;4))),1,0)))</x:f>
        <x:v>99</x:v>
      </x:c>
      <x:c r="AE29" s="6" t="n">
        <x:f>IF('Debt strategy'!$C$16&gt;0,0,MIN(AA29+AB29-AC29,MAX(0,'Debt strategy'!$C$5-SUM(E29,K29,Q29,W29,AC29)-SUM(IF(F29&lt;AD29,C29+D29-E29,0),IF(L29&lt;AD29,I29+J29-K29,0),IF(R29&lt;AD29,O29+P29-Q29,0),IF(X29&lt;AD29,U29+V29-W29,0)))))</x:f>
        <x:v>0</x:v>
      </x:c>
      <x:c r="AF29" s="6" t="n">
        <x:f>ROUND(MAX(0,AA29+AB29-AC29-AE29),2)</x:f>
        <x:v>0</x:v>
      </x:c>
      <x:c r="AG29" s="6" t="n">
        <x:f>SUM(H29,N29,T29,Z29,AF29)</x:f>
        <x:v>1885.03</x:v>
      </x:c>
      <x:c r="AH29" s="6" t="n">
        <x:f>SUM(D29,J29,P29,V29,AB29)+AH28</x:f>
        <x:v>1185.0300000000002</x:v>
      </x:c>
      <x:c r="AI29" s="2"/>
    </x:row>
    <x:row r="30" ht="23" customHeight="1">
      <x:c r="B30" s="2" t="n">
        <x:f>22</x:f>
        <x:v>22</x:v>
      </x:c>
      <x:c r="C30" s="6" t="n">
        <x:f>H29</x:f>
        <x:v>0</x:v>
      </x:c>
      <x:c r="D30" s="6" t="n">
        <x:f>ROUND(C30*'Debt strategy'!$D$9/12,2)</x:f>
        <x:v>0</x:v>
      </x:c>
      <x:c r="E30" s="6" t="n">
        <x:f>MIN(C30+D30,'Debt strategy'!$E$9)</x:f>
        <x:v>0</x:v>
      </x:c>
      <x:c r="F30" s="27" t="n">
        <x:f>IF(C30+D30-E30&lt;=0,99,1+SUM(IF(AND(I30+J30-K30&gt;0,OR('Debt strategy'!$D$10&gt;'Debt strategy'!$D$9,AND('Debt strategy'!$D$10='Debt strategy'!$D$9,1&lt;0))),1,0),IF(AND(O30+P30-Q30&gt;0,OR('Debt strategy'!$D$11&gt;'Debt strategy'!$D$9,AND('Debt strategy'!$D$11='Debt strategy'!$D$9,2&lt;0))),1,0),IF(AND(U30+V30-W30&gt;0,OR('Debt strategy'!$D$12&gt;'Debt strategy'!$D$9,AND('Debt strategy'!$D$12='Debt strategy'!$D$9,3&lt;0))),1,0),IF(AND(AA30+AB30-AC30&gt;0,OR('Debt strategy'!$D$13&gt;'Debt strategy'!$D$9,AND('Debt strategy'!$D$13='Debt strategy'!$D$9,4&lt;0))),1,0)))</x:f>
        <x:v>99</x:v>
      </x:c>
      <x:c r="G30" s="6" t="n">
        <x:f>IF('Debt strategy'!$C$16&gt;0,0,MIN(C30+D30-E30,MAX(0,'Debt strategy'!$C$5-SUM(E30,K30,Q30,W30,AC30)-SUM(IF(L30&lt;F30,I30+J30-K30,0),IF(R30&lt;F30,O30+P30-Q30,0),IF(X30&lt;F30,U30+V30-W30,0),IF(AD30&lt;F30,AA30+AB30-AC30,0)))))</x:f>
        <x:v>0</x:v>
      </x:c>
      <x:c r="H30" s="6" t="n">
        <x:f>ROUND(MAX(0,C30+D30-E30-G30),2)</x:f>
        <x:v>0</x:v>
      </x:c>
      <x:c r="I30" s="6" t="n">
        <x:f>N29</x:f>
        <x:v>1810.03</x:v>
      </x:c>
      <x:c r="J30" s="6" t="n">
        <x:f>ROUND(I30*'Debt strategy'!$D$10/12,2)</x:f>
        <x:v>12.07</x:v>
      </x:c>
      <x:c r="K30" s="6" t="n">
        <x:f>MIN(I30+J30,'Debt strategy'!$E$10)</x:f>
        <x:v>150</x:v>
      </x:c>
      <x:c r="L30" s="27" t="n">
        <x:f>IF(I30+J30-K30&lt;=0,99,1+SUM(IF(AND(C30+D30-E30&gt;0,OR('Debt strategy'!$D$9&gt;'Debt strategy'!$D$10,AND('Debt strategy'!$D$9='Debt strategy'!$D$10,0&lt;1))),1,0),IF(AND(O30+P30-Q30&gt;0,OR('Debt strategy'!$D$11&gt;'Debt strategy'!$D$10,AND('Debt strategy'!$D$11='Debt strategy'!$D$10,2&lt;1))),1,0),IF(AND(U30+V30-W30&gt;0,OR('Debt strategy'!$D$12&gt;'Debt strategy'!$D$10,AND('Debt strategy'!$D$12='Debt strategy'!$D$10,3&lt;1))),1,0),IF(AND(AA30+AB30-AC30&gt;0,OR('Debt strategy'!$D$13&gt;'Debt strategy'!$D$10,AND('Debt strategy'!$D$13='Debt strategy'!$D$10,4&lt;1))),1,0)))</x:f>
        <x:v>1</x:v>
      </x:c>
      <x:c r="M30" s="6" t="n">
        <x:f>IF('Debt strategy'!$C$16&gt;0,0,MIN(I30+J30-K30,MAX(0,'Debt strategy'!$C$5-SUM(E30,K30,Q30,W30,AC30)-SUM(IF(F30&lt;L30,C30+D30-E30,0),IF(R30&lt;L30,O30+P30-Q30,0),IF(X30&lt;L30,U30+V30-W30,0),IF(AD30&lt;L30,AA30+AB30-AC30,0)))))</x:f>
        <x:v>225</x:v>
      </x:c>
      <x:c r="N30" s="6" t="n">
        <x:f>ROUND(MAX(0,I30+J30-K30-M30),2)</x:f>
        <x:v>1447.1</x:v>
      </x:c>
      <x:c r="O30" s="6" t="n">
        <x:f>T29</x:f>
        <x:v>75</x:v>
      </x:c>
      <x:c r="P30" s="6" t="n">
        <x:f>ROUND(O30*'Debt strategy'!$D$11/12,2)</x:f>
        <x:v>0</x:v>
      </x:c>
      <x:c r="Q30" s="6" t="n">
        <x:f>MIN(O30+P30,'Debt strategy'!$E$11)</x:f>
        <x:v>25</x:v>
      </x:c>
      <x:c r="R30" s="27" t="n">
        <x:f>IF(O30+P30-Q30&lt;=0,99,1+SUM(IF(AND(C30+D30-E30&gt;0,OR('Debt strategy'!$D$9&gt;'Debt strategy'!$D$11,AND('Debt strategy'!$D$9='Debt strategy'!$D$11,0&lt;2))),1,0),IF(AND(I30+J30-K30&gt;0,OR('Debt strategy'!$D$10&gt;'Debt strategy'!$D$11,AND('Debt strategy'!$D$10='Debt strategy'!$D$11,1&lt;2))),1,0),IF(AND(U30+V30-W30&gt;0,OR('Debt strategy'!$D$12&gt;'Debt strategy'!$D$11,AND('Debt strategy'!$D$12='Debt strategy'!$D$11,3&lt;2))),1,0),IF(AND(AA30+AB30-AC30&gt;0,OR('Debt strategy'!$D$13&gt;'Debt strategy'!$D$11,AND('Debt strategy'!$D$13='Debt strategy'!$D$11,4&lt;2))),1,0)))</x:f>
        <x:v>2</x:v>
      </x:c>
      <x:c r="S30" s="6" t="n">
        <x:f>IF('Debt strategy'!$C$16&gt;0,0,MIN(O30+P30-Q30,MAX(0,'Debt strategy'!$C$5-SUM(E30,K30,Q30,W30,AC30)-SUM(IF(F30&lt;R30,C30+D30-E30,0),IF(L30&lt;R30,I30+J30-K30,0),IF(X30&lt;R30,U30+V30-W30,0),IF(AD30&lt;R30,AA30+AB30-AC30,0)))))</x:f>
        <x:v>0</x:v>
      </x:c>
      <x:c r="T30" s="6" t="n">
        <x:f>ROUND(MAX(0,O30+P30-Q30-S30),2)</x:f>
        <x:v>50</x:v>
      </x:c>
      <x:c r="U30" s="6" t="n">
        <x:f>Z29</x:f>
        <x:v>0</x:v>
      </x:c>
      <x:c r="V30" s="6" t="n">
        <x:f>ROUND(U30*'Debt strategy'!$D$12/12,2)</x:f>
        <x:v>0</x:v>
      </x:c>
      <x:c r="W30" s="6" t="n">
        <x:f>MIN(U30+V30,'Debt strategy'!$E$12)</x:f>
        <x:v>0</x:v>
      </x:c>
      <x:c r="X30" s="27" t="n">
        <x:f>IF(U30+V30-W30&lt;=0,99,1+SUM(IF(AND(C30+D30-E30&gt;0,OR('Debt strategy'!$D$9&gt;'Debt strategy'!$D$12,AND('Debt strategy'!$D$9='Debt strategy'!$D$12,0&lt;3))),1,0),IF(AND(I30+J30-K30&gt;0,OR('Debt strategy'!$D$10&gt;'Debt strategy'!$D$12,AND('Debt strategy'!$D$10='Debt strategy'!$D$12,1&lt;3))),1,0),IF(AND(O30+P30-Q30&gt;0,OR('Debt strategy'!$D$11&gt;'Debt strategy'!$D$12,AND('Debt strategy'!$D$11='Debt strategy'!$D$12,2&lt;3))),1,0),IF(AND(AA30+AB30-AC30&gt;0,OR('Debt strategy'!$D$13&gt;'Debt strategy'!$D$12,AND('Debt strategy'!$D$13='Debt strategy'!$D$12,4&lt;3))),1,0)))</x:f>
        <x:v>99</x:v>
      </x:c>
      <x:c r="Y30" s="6" t="n">
        <x:f>IF('Debt strategy'!$C$16&gt;0,0,MIN(U30+V30-W30,MAX(0,'Debt strategy'!$C$5-SUM(E30,K30,Q30,W30,AC30)-SUM(IF(F30&lt;X30,C30+D30-E30,0),IF(L30&lt;X30,I30+J30-K30,0),IF(R30&lt;X30,O30+P30-Q30,0),IF(AD30&lt;X30,AA30+AB30-AC30,0)))))</x:f>
        <x:v>0</x:v>
      </x:c>
      <x:c r="Z30" s="6" t="n">
        <x:f>ROUND(MAX(0,U30+V30-W30-Y30),2)</x:f>
        <x:v>0</x:v>
      </x:c>
      <x:c r="AA30" s="6" t="n">
        <x:f>AF29</x:f>
        <x:v>0</x:v>
      </x:c>
      <x:c r="AB30" s="6" t="n">
        <x:f>ROUND(AA30*'Debt strategy'!$D$13/12,2)</x:f>
        <x:v>0</x:v>
      </x:c>
      <x:c r="AC30" s="6" t="n">
        <x:f>MIN(AA30+AB30,'Debt strategy'!$E$13)</x:f>
        <x:v>0</x:v>
      </x:c>
      <x:c r="AD30" s="27" t="n">
        <x:f>IF(AA30+AB30-AC30&lt;=0,99,1+SUM(IF(AND(C30+D30-E30&gt;0,OR('Debt strategy'!$D$9&gt;'Debt strategy'!$D$13,AND('Debt strategy'!$D$9='Debt strategy'!$D$13,0&lt;4))),1,0),IF(AND(I30+J30-K30&gt;0,OR('Debt strategy'!$D$10&gt;'Debt strategy'!$D$13,AND('Debt strategy'!$D$10='Debt strategy'!$D$13,1&lt;4))),1,0),IF(AND(O30+P30-Q30&gt;0,OR('Debt strategy'!$D$11&gt;'Debt strategy'!$D$13,AND('Debt strategy'!$D$11='Debt strategy'!$D$13,2&lt;4))),1,0),IF(AND(U30+V30-W30&gt;0,OR('Debt strategy'!$D$12&gt;'Debt strategy'!$D$13,AND('Debt strategy'!$D$12='Debt strategy'!$D$13,3&lt;4))),1,0)))</x:f>
        <x:v>99</x:v>
      </x:c>
      <x:c r="AE30" s="6" t="n">
        <x:f>IF('Debt strategy'!$C$16&gt;0,0,MIN(AA30+AB30-AC30,MAX(0,'Debt strategy'!$C$5-SUM(E30,K30,Q30,W30,AC30)-SUM(IF(F30&lt;AD30,C30+D30-E30,0),IF(L30&lt;AD30,I30+J30-K30,0),IF(R30&lt;AD30,O30+P30-Q30,0),IF(X30&lt;AD30,U30+V30-W30,0)))))</x:f>
        <x:v>0</x:v>
      </x:c>
      <x:c r="AF30" s="6" t="n">
        <x:f>ROUND(MAX(0,AA30+AB30-AC30-AE30),2)</x:f>
        <x:v>0</x:v>
      </x:c>
      <x:c r="AG30" s="6" t="n">
        <x:f>SUM(H30,N30,T30,Z30,AF30)</x:f>
        <x:v>1497.1</x:v>
      </x:c>
      <x:c r="AH30" s="6" t="n">
        <x:f>SUM(D30,J30,P30,V30,AB30)+AH29</x:f>
        <x:v>1197.1000000000001</x:v>
      </x:c>
      <x:c r="AI30" s="2"/>
    </x:row>
    <x:row r="31" ht="23" customHeight="1">
      <x:c r="B31" s="2" t="n">
        <x:f>23</x:f>
        <x:v>23</x:v>
      </x:c>
      <x:c r="C31" s="6" t="n">
        <x:f>H30</x:f>
        <x:v>0</x:v>
      </x:c>
      <x:c r="D31" s="6" t="n">
        <x:f>ROUND(C31*'Debt strategy'!$D$9/12,2)</x:f>
        <x:v>0</x:v>
      </x:c>
      <x:c r="E31" s="6" t="n">
        <x:f>MIN(C31+D31,'Debt strategy'!$E$9)</x:f>
        <x:v>0</x:v>
      </x:c>
      <x:c r="F31" s="27" t="n">
        <x:f>IF(C31+D31-E31&lt;=0,99,1+SUM(IF(AND(I31+J31-K31&gt;0,OR('Debt strategy'!$D$10&gt;'Debt strategy'!$D$9,AND('Debt strategy'!$D$10='Debt strategy'!$D$9,1&lt;0))),1,0),IF(AND(O31+P31-Q31&gt;0,OR('Debt strategy'!$D$11&gt;'Debt strategy'!$D$9,AND('Debt strategy'!$D$11='Debt strategy'!$D$9,2&lt;0))),1,0),IF(AND(U31+V31-W31&gt;0,OR('Debt strategy'!$D$12&gt;'Debt strategy'!$D$9,AND('Debt strategy'!$D$12='Debt strategy'!$D$9,3&lt;0))),1,0),IF(AND(AA31+AB31-AC31&gt;0,OR('Debt strategy'!$D$13&gt;'Debt strategy'!$D$9,AND('Debt strategy'!$D$13='Debt strategy'!$D$9,4&lt;0))),1,0)))</x:f>
        <x:v>99</x:v>
      </x:c>
      <x:c r="G31" s="6" t="n">
        <x:f>IF('Debt strategy'!$C$16&gt;0,0,MIN(C31+D31-E31,MAX(0,'Debt strategy'!$C$5-SUM(E31,K31,Q31,W31,AC31)-SUM(IF(L31&lt;F31,I31+J31-K31,0),IF(R31&lt;F31,O31+P31-Q31,0),IF(X31&lt;F31,U31+V31-W31,0),IF(AD31&lt;F31,AA31+AB31-AC31,0)))))</x:f>
        <x:v>0</x:v>
      </x:c>
      <x:c r="H31" s="6" t="n">
        <x:f>ROUND(MAX(0,C31+D31-E31-G31),2)</x:f>
        <x:v>0</x:v>
      </x:c>
      <x:c r="I31" s="6" t="n">
        <x:f>N30</x:f>
        <x:v>1447.1</x:v>
      </x:c>
      <x:c r="J31" s="6" t="n">
        <x:f>ROUND(I31*'Debt strategy'!$D$10/12,2)</x:f>
        <x:v>9.65</x:v>
      </x:c>
      <x:c r="K31" s="6" t="n">
        <x:f>MIN(I31+J31,'Debt strategy'!$E$10)</x:f>
        <x:v>150</x:v>
      </x:c>
      <x:c r="L31" s="27" t="n">
        <x:f>IF(I31+J31-K31&lt;=0,99,1+SUM(IF(AND(C31+D31-E31&gt;0,OR('Debt strategy'!$D$9&gt;'Debt strategy'!$D$10,AND('Debt strategy'!$D$9='Debt strategy'!$D$10,0&lt;1))),1,0),IF(AND(O31+P31-Q31&gt;0,OR('Debt strategy'!$D$11&gt;'Debt strategy'!$D$10,AND('Debt strategy'!$D$11='Debt strategy'!$D$10,2&lt;1))),1,0),IF(AND(U31+V31-W31&gt;0,OR('Debt strategy'!$D$12&gt;'Debt strategy'!$D$10,AND('Debt strategy'!$D$12='Debt strategy'!$D$10,3&lt;1))),1,0),IF(AND(AA31+AB31-AC31&gt;0,OR('Debt strategy'!$D$13&gt;'Debt strategy'!$D$10,AND('Debt strategy'!$D$13='Debt strategy'!$D$10,4&lt;1))),1,0)))</x:f>
        <x:v>1</x:v>
      </x:c>
      <x:c r="M31" s="6" t="n">
        <x:f>IF('Debt strategy'!$C$16&gt;0,0,MIN(I31+J31-K31,MAX(0,'Debt strategy'!$C$5-SUM(E31,K31,Q31,W31,AC31)-SUM(IF(F31&lt;L31,C31+D31-E31,0),IF(R31&lt;L31,O31+P31-Q31,0),IF(X31&lt;L31,U31+V31-W31,0),IF(AD31&lt;L31,AA31+AB31-AC31,0)))))</x:f>
        <x:v>225</x:v>
      </x:c>
      <x:c r="N31" s="6" t="n">
        <x:f>ROUND(MAX(0,I31+J31-K31-M31),2)</x:f>
        <x:v>1081.75</x:v>
      </x:c>
      <x:c r="O31" s="6" t="n">
        <x:f>T30</x:f>
        <x:v>50</x:v>
      </x:c>
      <x:c r="P31" s="6" t="n">
        <x:f>ROUND(O31*'Debt strategy'!$D$11/12,2)</x:f>
        <x:v>0</x:v>
      </x:c>
      <x:c r="Q31" s="6" t="n">
        <x:f>MIN(O31+P31,'Debt strategy'!$E$11)</x:f>
        <x:v>25</x:v>
      </x:c>
      <x:c r="R31" s="27" t="n">
        <x:f>IF(O31+P31-Q31&lt;=0,99,1+SUM(IF(AND(C31+D31-E31&gt;0,OR('Debt strategy'!$D$9&gt;'Debt strategy'!$D$11,AND('Debt strategy'!$D$9='Debt strategy'!$D$11,0&lt;2))),1,0),IF(AND(I31+J31-K31&gt;0,OR('Debt strategy'!$D$10&gt;'Debt strategy'!$D$11,AND('Debt strategy'!$D$10='Debt strategy'!$D$11,1&lt;2))),1,0),IF(AND(U31+V31-W31&gt;0,OR('Debt strategy'!$D$12&gt;'Debt strategy'!$D$11,AND('Debt strategy'!$D$12='Debt strategy'!$D$11,3&lt;2))),1,0),IF(AND(AA31+AB31-AC31&gt;0,OR('Debt strategy'!$D$13&gt;'Debt strategy'!$D$11,AND('Debt strategy'!$D$13='Debt strategy'!$D$11,4&lt;2))),1,0)))</x:f>
        <x:v>2</x:v>
      </x:c>
      <x:c r="S31" s="6" t="n">
        <x:f>IF('Debt strategy'!$C$16&gt;0,0,MIN(O31+P31-Q31,MAX(0,'Debt strategy'!$C$5-SUM(E31,K31,Q31,W31,AC31)-SUM(IF(F31&lt;R31,C31+D31-E31,0),IF(L31&lt;R31,I31+J31-K31,0),IF(X31&lt;R31,U31+V31-W31,0),IF(AD31&lt;R31,AA31+AB31-AC31,0)))))</x:f>
        <x:v>0</x:v>
      </x:c>
      <x:c r="T31" s="6" t="n">
        <x:f>ROUND(MAX(0,O31+P31-Q31-S31),2)</x:f>
        <x:v>25</x:v>
      </x:c>
      <x:c r="U31" s="6" t="n">
        <x:f>Z30</x:f>
        <x:v>0</x:v>
      </x:c>
      <x:c r="V31" s="6" t="n">
        <x:f>ROUND(U31*'Debt strategy'!$D$12/12,2)</x:f>
        <x:v>0</x:v>
      </x:c>
      <x:c r="W31" s="6" t="n">
        <x:f>MIN(U31+V31,'Debt strategy'!$E$12)</x:f>
        <x:v>0</x:v>
      </x:c>
      <x:c r="X31" s="27" t="n">
        <x:f>IF(U31+V31-W31&lt;=0,99,1+SUM(IF(AND(C31+D31-E31&gt;0,OR('Debt strategy'!$D$9&gt;'Debt strategy'!$D$12,AND('Debt strategy'!$D$9='Debt strategy'!$D$12,0&lt;3))),1,0),IF(AND(I31+J31-K31&gt;0,OR('Debt strategy'!$D$10&gt;'Debt strategy'!$D$12,AND('Debt strategy'!$D$10='Debt strategy'!$D$12,1&lt;3))),1,0),IF(AND(O31+P31-Q31&gt;0,OR('Debt strategy'!$D$11&gt;'Debt strategy'!$D$12,AND('Debt strategy'!$D$11='Debt strategy'!$D$12,2&lt;3))),1,0),IF(AND(AA31+AB31-AC31&gt;0,OR('Debt strategy'!$D$13&gt;'Debt strategy'!$D$12,AND('Debt strategy'!$D$13='Debt strategy'!$D$12,4&lt;3))),1,0)))</x:f>
        <x:v>99</x:v>
      </x:c>
      <x:c r="Y31" s="6" t="n">
        <x:f>IF('Debt strategy'!$C$16&gt;0,0,MIN(U31+V31-W31,MAX(0,'Debt strategy'!$C$5-SUM(E31,K31,Q31,W31,AC31)-SUM(IF(F31&lt;X31,C31+D31-E31,0),IF(L31&lt;X31,I31+J31-K31,0),IF(R31&lt;X31,O31+P31-Q31,0),IF(AD31&lt;X31,AA31+AB31-AC31,0)))))</x:f>
        <x:v>0</x:v>
      </x:c>
      <x:c r="Z31" s="6" t="n">
        <x:f>ROUND(MAX(0,U31+V31-W31-Y31),2)</x:f>
        <x:v>0</x:v>
      </x:c>
      <x:c r="AA31" s="6" t="n">
        <x:f>AF30</x:f>
        <x:v>0</x:v>
      </x:c>
      <x:c r="AB31" s="6" t="n">
        <x:f>ROUND(AA31*'Debt strategy'!$D$13/12,2)</x:f>
        <x:v>0</x:v>
      </x:c>
      <x:c r="AC31" s="6" t="n">
        <x:f>MIN(AA31+AB31,'Debt strategy'!$E$13)</x:f>
        <x:v>0</x:v>
      </x:c>
      <x:c r="AD31" s="27" t="n">
        <x:f>IF(AA31+AB31-AC31&lt;=0,99,1+SUM(IF(AND(C31+D31-E31&gt;0,OR('Debt strategy'!$D$9&gt;'Debt strategy'!$D$13,AND('Debt strategy'!$D$9='Debt strategy'!$D$13,0&lt;4))),1,0),IF(AND(I31+J31-K31&gt;0,OR('Debt strategy'!$D$10&gt;'Debt strategy'!$D$13,AND('Debt strategy'!$D$10='Debt strategy'!$D$13,1&lt;4))),1,0),IF(AND(O31+P31-Q31&gt;0,OR('Debt strategy'!$D$11&gt;'Debt strategy'!$D$13,AND('Debt strategy'!$D$11='Debt strategy'!$D$13,2&lt;4))),1,0),IF(AND(U31+V31-W31&gt;0,OR('Debt strategy'!$D$12&gt;'Debt strategy'!$D$13,AND('Debt strategy'!$D$12='Debt strategy'!$D$13,3&lt;4))),1,0)))</x:f>
        <x:v>99</x:v>
      </x:c>
      <x:c r="AE31" s="6" t="n">
        <x:f>IF('Debt strategy'!$C$16&gt;0,0,MIN(AA31+AB31-AC31,MAX(0,'Debt strategy'!$C$5-SUM(E31,K31,Q31,W31,AC31)-SUM(IF(F31&lt;AD31,C31+D31-E31,0),IF(L31&lt;AD31,I31+J31-K31,0),IF(R31&lt;AD31,O31+P31-Q31,0),IF(X31&lt;AD31,U31+V31-W31,0)))))</x:f>
        <x:v>0</x:v>
      </x:c>
      <x:c r="AF31" s="6" t="n">
        <x:f>ROUND(MAX(0,AA31+AB31-AC31-AE31),2)</x:f>
        <x:v>0</x:v>
      </x:c>
      <x:c r="AG31" s="6" t="n">
        <x:f>SUM(H31,N31,T31,Z31,AF31)</x:f>
        <x:v>1106.75</x:v>
      </x:c>
      <x:c r="AH31" s="6" t="n">
        <x:f>SUM(D31,J31,P31,V31,AB31)+AH30</x:f>
        <x:v>1206.7500000000002</x:v>
      </x:c>
      <x:c r="AI31" s="2"/>
    </x:row>
    <x:row r="32" ht="23" customHeight="1">
      <x:c r="B32" s="2" t="n">
        <x:f>24</x:f>
        <x:v>24</x:v>
      </x:c>
      <x:c r="C32" s="6" t="n">
        <x:f>H31</x:f>
        <x:v>0</x:v>
      </x:c>
      <x:c r="D32" s="6" t="n">
        <x:f>ROUND(C32*'Debt strategy'!$D$9/12,2)</x:f>
        <x:v>0</x:v>
      </x:c>
      <x:c r="E32" s="6" t="n">
        <x:f>MIN(C32+D32,'Debt strategy'!$E$9)</x:f>
        <x:v>0</x:v>
      </x:c>
      <x:c r="F32" s="27" t="n">
        <x:f>IF(C32+D32-E32&lt;=0,99,1+SUM(IF(AND(I32+J32-K32&gt;0,OR('Debt strategy'!$D$10&gt;'Debt strategy'!$D$9,AND('Debt strategy'!$D$10='Debt strategy'!$D$9,1&lt;0))),1,0),IF(AND(O32+P32-Q32&gt;0,OR('Debt strategy'!$D$11&gt;'Debt strategy'!$D$9,AND('Debt strategy'!$D$11='Debt strategy'!$D$9,2&lt;0))),1,0),IF(AND(U32+V32-W32&gt;0,OR('Debt strategy'!$D$12&gt;'Debt strategy'!$D$9,AND('Debt strategy'!$D$12='Debt strategy'!$D$9,3&lt;0))),1,0),IF(AND(AA32+AB32-AC32&gt;0,OR('Debt strategy'!$D$13&gt;'Debt strategy'!$D$9,AND('Debt strategy'!$D$13='Debt strategy'!$D$9,4&lt;0))),1,0)))</x:f>
        <x:v>99</x:v>
      </x:c>
      <x:c r="G32" s="6" t="n">
        <x:f>IF('Debt strategy'!$C$16&gt;0,0,MIN(C32+D32-E32,MAX(0,'Debt strategy'!$C$5-SUM(E32,K32,Q32,W32,AC32)-SUM(IF(L32&lt;F32,I32+J32-K32,0),IF(R32&lt;F32,O32+P32-Q32,0),IF(X32&lt;F32,U32+V32-W32,0),IF(AD32&lt;F32,AA32+AB32-AC32,0)))))</x:f>
        <x:v>0</x:v>
      </x:c>
      <x:c r="H32" s="6" t="n">
        <x:f>ROUND(MAX(0,C32+D32-E32-G32),2)</x:f>
        <x:v>0</x:v>
      </x:c>
      <x:c r="I32" s="6" t="n">
        <x:f>N31</x:f>
        <x:v>1081.75</x:v>
      </x:c>
      <x:c r="J32" s="6" t="n">
        <x:f>ROUND(I32*'Debt strategy'!$D$10/12,2)</x:f>
        <x:v>7.21</x:v>
      </x:c>
      <x:c r="K32" s="6" t="n">
        <x:f>MIN(I32+J32,'Debt strategy'!$E$10)</x:f>
        <x:v>150</x:v>
      </x:c>
      <x:c r="L32" s="27" t="n">
        <x:f>IF(I32+J32-K32&lt;=0,99,1+SUM(IF(AND(C32+D32-E32&gt;0,OR('Debt strategy'!$D$9&gt;'Debt strategy'!$D$10,AND('Debt strategy'!$D$9='Debt strategy'!$D$10,0&lt;1))),1,0),IF(AND(O32+P32-Q32&gt;0,OR('Debt strategy'!$D$11&gt;'Debt strategy'!$D$10,AND('Debt strategy'!$D$11='Debt strategy'!$D$10,2&lt;1))),1,0),IF(AND(U32+V32-W32&gt;0,OR('Debt strategy'!$D$12&gt;'Debt strategy'!$D$10,AND('Debt strategy'!$D$12='Debt strategy'!$D$10,3&lt;1))),1,0),IF(AND(AA32+AB32-AC32&gt;0,OR('Debt strategy'!$D$13&gt;'Debt strategy'!$D$10,AND('Debt strategy'!$D$13='Debt strategy'!$D$10,4&lt;1))),1,0)))</x:f>
        <x:v>1</x:v>
      </x:c>
      <x:c r="M32" s="6" t="n">
        <x:f>IF('Debt strategy'!$C$16&gt;0,0,MIN(I32+J32-K32,MAX(0,'Debt strategy'!$C$5-SUM(E32,K32,Q32,W32,AC32)-SUM(IF(F32&lt;L32,C32+D32-E32,0),IF(R32&lt;L32,O32+P32-Q32,0),IF(X32&lt;L32,U32+V32-W32,0),IF(AD32&lt;L32,AA32+AB32-AC32,0)))))</x:f>
        <x:v>225</x:v>
      </x:c>
      <x:c r="N32" s="6" t="n">
        <x:f>ROUND(MAX(0,I32+J32-K32-M32),2)</x:f>
        <x:v>713.96</x:v>
      </x:c>
      <x:c r="O32" s="6" t="n">
        <x:f>T31</x:f>
        <x:v>25</x:v>
      </x:c>
      <x:c r="P32" s="6" t="n">
        <x:f>ROUND(O32*'Debt strategy'!$D$11/12,2)</x:f>
        <x:v>0</x:v>
      </x:c>
      <x:c r="Q32" s="6" t="n">
        <x:f>MIN(O32+P32,'Debt strategy'!$E$11)</x:f>
        <x:v>25</x:v>
      </x:c>
      <x:c r="R32" s="27" t="n">
        <x:f>IF(O32+P32-Q32&lt;=0,99,1+SUM(IF(AND(C32+D32-E32&gt;0,OR('Debt strategy'!$D$9&gt;'Debt strategy'!$D$11,AND('Debt strategy'!$D$9='Debt strategy'!$D$11,0&lt;2))),1,0),IF(AND(I32+J32-K32&gt;0,OR('Debt strategy'!$D$10&gt;'Debt strategy'!$D$11,AND('Debt strategy'!$D$10='Debt strategy'!$D$11,1&lt;2))),1,0),IF(AND(U32+V32-W32&gt;0,OR('Debt strategy'!$D$12&gt;'Debt strategy'!$D$11,AND('Debt strategy'!$D$12='Debt strategy'!$D$11,3&lt;2))),1,0),IF(AND(AA32+AB32-AC32&gt;0,OR('Debt strategy'!$D$13&gt;'Debt strategy'!$D$11,AND('Debt strategy'!$D$13='Debt strategy'!$D$11,4&lt;2))),1,0)))</x:f>
        <x:v>99</x:v>
      </x:c>
      <x:c r="S32" s="6" t="n">
        <x:f>IF('Debt strategy'!$C$16&gt;0,0,MIN(O32+P32-Q32,MAX(0,'Debt strategy'!$C$5-SUM(E32,K32,Q32,W32,AC32)-SUM(IF(F32&lt;R32,C32+D32-E32,0),IF(L32&lt;R32,I32+J32-K32,0),IF(X32&lt;R32,U32+V32-W32,0),IF(AD32&lt;R32,AA32+AB32-AC32,0)))))</x:f>
        <x:v>0</x:v>
      </x:c>
      <x:c r="T32" s="6" t="n">
        <x:f>ROUND(MAX(0,O32+P32-Q32-S32),2)</x:f>
        <x:v>0</x:v>
      </x:c>
      <x:c r="U32" s="6" t="n">
        <x:f>Z31</x:f>
        <x:v>0</x:v>
      </x:c>
      <x:c r="V32" s="6" t="n">
        <x:f>ROUND(U32*'Debt strategy'!$D$12/12,2)</x:f>
        <x:v>0</x:v>
      </x:c>
      <x:c r="W32" s="6" t="n">
        <x:f>MIN(U32+V32,'Debt strategy'!$E$12)</x:f>
        <x:v>0</x:v>
      </x:c>
      <x:c r="X32" s="27" t="n">
        <x:f>IF(U32+V32-W32&lt;=0,99,1+SUM(IF(AND(C32+D32-E32&gt;0,OR('Debt strategy'!$D$9&gt;'Debt strategy'!$D$12,AND('Debt strategy'!$D$9='Debt strategy'!$D$12,0&lt;3))),1,0),IF(AND(I32+J32-K32&gt;0,OR('Debt strategy'!$D$10&gt;'Debt strategy'!$D$12,AND('Debt strategy'!$D$10='Debt strategy'!$D$12,1&lt;3))),1,0),IF(AND(O32+P32-Q32&gt;0,OR('Debt strategy'!$D$11&gt;'Debt strategy'!$D$12,AND('Debt strategy'!$D$11='Debt strategy'!$D$12,2&lt;3))),1,0),IF(AND(AA32+AB32-AC32&gt;0,OR('Debt strategy'!$D$13&gt;'Debt strategy'!$D$12,AND('Debt strategy'!$D$13='Debt strategy'!$D$12,4&lt;3))),1,0)))</x:f>
        <x:v>99</x:v>
      </x:c>
      <x:c r="Y32" s="6" t="n">
        <x:f>IF('Debt strategy'!$C$16&gt;0,0,MIN(U32+V32-W32,MAX(0,'Debt strategy'!$C$5-SUM(E32,K32,Q32,W32,AC32)-SUM(IF(F32&lt;X32,C32+D32-E32,0),IF(L32&lt;X32,I32+J32-K32,0),IF(R32&lt;X32,O32+P32-Q32,0),IF(AD32&lt;X32,AA32+AB32-AC32,0)))))</x:f>
        <x:v>0</x:v>
      </x:c>
      <x:c r="Z32" s="6" t="n">
        <x:f>ROUND(MAX(0,U32+V32-W32-Y32),2)</x:f>
        <x:v>0</x:v>
      </x:c>
      <x:c r="AA32" s="6" t="n">
        <x:f>AF31</x:f>
        <x:v>0</x:v>
      </x:c>
      <x:c r="AB32" s="6" t="n">
        <x:f>ROUND(AA32*'Debt strategy'!$D$13/12,2)</x:f>
        <x:v>0</x:v>
      </x:c>
      <x:c r="AC32" s="6" t="n">
        <x:f>MIN(AA32+AB32,'Debt strategy'!$E$13)</x:f>
        <x:v>0</x:v>
      </x:c>
      <x:c r="AD32" s="27" t="n">
        <x:f>IF(AA32+AB32-AC32&lt;=0,99,1+SUM(IF(AND(C32+D32-E32&gt;0,OR('Debt strategy'!$D$9&gt;'Debt strategy'!$D$13,AND('Debt strategy'!$D$9='Debt strategy'!$D$13,0&lt;4))),1,0),IF(AND(I32+J32-K32&gt;0,OR('Debt strategy'!$D$10&gt;'Debt strategy'!$D$13,AND('Debt strategy'!$D$10='Debt strategy'!$D$13,1&lt;4))),1,0),IF(AND(O32+P32-Q32&gt;0,OR('Debt strategy'!$D$11&gt;'Debt strategy'!$D$13,AND('Debt strategy'!$D$11='Debt strategy'!$D$13,2&lt;4))),1,0),IF(AND(U32+V32-W32&gt;0,OR('Debt strategy'!$D$12&gt;'Debt strategy'!$D$13,AND('Debt strategy'!$D$12='Debt strategy'!$D$13,3&lt;4))),1,0)))</x:f>
        <x:v>99</x:v>
      </x:c>
      <x:c r="AE32" s="6" t="n">
        <x:f>IF('Debt strategy'!$C$16&gt;0,0,MIN(AA32+AB32-AC32,MAX(0,'Debt strategy'!$C$5-SUM(E32,K32,Q32,W32,AC32)-SUM(IF(F32&lt;AD32,C32+D32-E32,0),IF(L32&lt;AD32,I32+J32-K32,0),IF(R32&lt;AD32,O32+P32-Q32,0),IF(X32&lt;AD32,U32+V32-W32,0)))))</x:f>
        <x:v>0</x:v>
      </x:c>
      <x:c r="AF32" s="6" t="n">
        <x:f>ROUND(MAX(0,AA32+AB32-AC32-AE32),2)</x:f>
        <x:v>0</x:v>
      </x:c>
      <x:c r="AG32" s="6" t="n">
        <x:f>SUM(H32,N32,T32,Z32,AF32)</x:f>
        <x:v>713.96</x:v>
      </x:c>
      <x:c r="AH32" s="6" t="n">
        <x:f>SUM(D32,J32,P32,V32,AB32)+AH31</x:f>
        <x:v>1213.9600000000003</x:v>
      </x:c>
      <x:c r="AI32" s="2"/>
    </x:row>
    <x:row r="33" ht="23" customHeight="1">
      <x:c r="B33" s="2" t="n">
        <x:f>25</x:f>
        <x:v>25</x:v>
      </x:c>
      <x:c r="C33" s="6" t="n">
        <x:f>H32</x:f>
        <x:v>0</x:v>
      </x:c>
      <x:c r="D33" s="6" t="n">
        <x:f>ROUND(C33*'Debt strategy'!$D$9/12,2)</x:f>
        <x:v>0</x:v>
      </x:c>
      <x:c r="E33" s="6" t="n">
        <x:f>MIN(C33+D33,'Debt strategy'!$E$9)</x:f>
        <x:v>0</x:v>
      </x:c>
      <x:c r="F33" s="27" t="n">
        <x:f>IF(C33+D33-E33&lt;=0,99,1+SUM(IF(AND(I33+J33-K33&gt;0,OR('Debt strategy'!$D$10&gt;'Debt strategy'!$D$9,AND('Debt strategy'!$D$10='Debt strategy'!$D$9,1&lt;0))),1,0),IF(AND(O33+P33-Q33&gt;0,OR('Debt strategy'!$D$11&gt;'Debt strategy'!$D$9,AND('Debt strategy'!$D$11='Debt strategy'!$D$9,2&lt;0))),1,0),IF(AND(U33+V33-W33&gt;0,OR('Debt strategy'!$D$12&gt;'Debt strategy'!$D$9,AND('Debt strategy'!$D$12='Debt strategy'!$D$9,3&lt;0))),1,0),IF(AND(AA33+AB33-AC33&gt;0,OR('Debt strategy'!$D$13&gt;'Debt strategy'!$D$9,AND('Debt strategy'!$D$13='Debt strategy'!$D$9,4&lt;0))),1,0)))</x:f>
        <x:v>99</x:v>
      </x:c>
      <x:c r="G33" s="6" t="n">
        <x:f>IF('Debt strategy'!$C$16&gt;0,0,MIN(C33+D33-E33,MAX(0,'Debt strategy'!$C$5-SUM(E33,K33,Q33,W33,AC33)-SUM(IF(L33&lt;F33,I33+J33-K33,0),IF(R33&lt;F33,O33+P33-Q33,0),IF(X33&lt;F33,U33+V33-W33,0),IF(AD33&lt;F33,AA33+AB33-AC33,0)))))</x:f>
        <x:v>0</x:v>
      </x:c>
      <x:c r="H33" s="6" t="n">
        <x:f>ROUND(MAX(0,C33+D33-E33-G33),2)</x:f>
        <x:v>0</x:v>
      </x:c>
      <x:c r="I33" s="6" t="n">
        <x:f>N32</x:f>
        <x:v>713.96</x:v>
      </x:c>
      <x:c r="J33" s="6" t="n">
        <x:f>ROUND(I33*'Debt strategy'!$D$10/12,2)</x:f>
        <x:v>4.76</x:v>
      </x:c>
      <x:c r="K33" s="6" t="n">
        <x:f>MIN(I33+J33,'Debt strategy'!$E$10)</x:f>
        <x:v>150</x:v>
      </x:c>
      <x:c r="L33" s="27" t="n">
        <x:f>IF(I33+J33-K33&lt;=0,99,1+SUM(IF(AND(C33+D33-E33&gt;0,OR('Debt strategy'!$D$9&gt;'Debt strategy'!$D$10,AND('Debt strategy'!$D$9='Debt strategy'!$D$10,0&lt;1))),1,0),IF(AND(O33+P33-Q33&gt;0,OR('Debt strategy'!$D$11&gt;'Debt strategy'!$D$10,AND('Debt strategy'!$D$11='Debt strategy'!$D$10,2&lt;1))),1,0),IF(AND(U33+V33-W33&gt;0,OR('Debt strategy'!$D$12&gt;'Debt strategy'!$D$10,AND('Debt strategy'!$D$12='Debt strategy'!$D$10,3&lt;1))),1,0),IF(AND(AA33+AB33-AC33&gt;0,OR('Debt strategy'!$D$13&gt;'Debt strategy'!$D$10,AND('Debt strategy'!$D$13='Debt strategy'!$D$10,4&lt;1))),1,0)))</x:f>
        <x:v>1</x:v>
      </x:c>
      <x:c r="M33" s="6" t="n">
        <x:f>IF('Debt strategy'!$C$16&gt;0,0,MIN(I33+J33-K33,MAX(0,'Debt strategy'!$C$5-SUM(E33,K33,Q33,W33,AC33)-SUM(IF(F33&lt;L33,C33+D33-E33,0),IF(R33&lt;L33,O33+P33-Q33,0),IF(X33&lt;L33,U33+V33-W33,0),IF(AD33&lt;L33,AA33+AB33-AC33,0)))))</x:f>
        <x:v>250</x:v>
      </x:c>
      <x:c r="N33" s="6" t="n">
        <x:f>ROUND(MAX(0,I33+J33-K33-M33),2)</x:f>
        <x:v>318.72</x:v>
      </x:c>
      <x:c r="O33" s="6" t="n">
        <x:f>T32</x:f>
        <x:v>0</x:v>
      </x:c>
      <x:c r="P33" s="6" t="n">
        <x:f>ROUND(O33*'Debt strategy'!$D$11/12,2)</x:f>
        <x:v>0</x:v>
      </x:c>
      <x:c r="Q33" s="6" t="n">
        <x:f>MIN(O33+P33,'Debt strategy'!$E$11)</x:f>
        <x:v>0</x:v>
      </x:c>
      <x:c r="R33" s="27" t="n">
        <x:f>IF(O33+P33-Q33&lt;=0,99,1+SUM(IF(AND(C33+D33-E33&gt;0,OR('Debt strategy'!$D$9&gt;'Debt strategy'!$D$11,AND('Debt strategy'!$D$9='Debt strategy'!$D$11,0&lt;2))),1,0),IF(AND(I33+J33-K33&gt;0,OR('Debt strategy'!$D$10&gt;'Debt strategy'!$D$11,AND('Debt strategy'!$D$10='Debt strategy'!$D$11,1&lt;2))),1,0),IF(AND(U33+V33-W33&gt;0,OR('Debt strategy'!$D$12&gt;'Debt strategy'!$D$11,AND('Debt strategy'!$D$12='Debt strategy'!$D$11,3&lt;2))),1,0),IF(AND(AA33+AB33-AC33&gt;0,OR('Debt strategy'!$D$13&gt;'Debt strategy'!$D$11,AND('Debt strategy'!$D$13='Debt strategy'!$D$11,4&lt;2))),1,0)))</x:f>
        <x:v>99</x:v>
      </x:c>
      <x:c r="S33" s="6" t="n">
        <x:f>IF('Debt strategy'!$C$16&gt;0,0,MIN(O33+P33-Q33,MAX(0,'Debt strategy'!$C$5-SUM(E33,K33,Q33,W33,AC33)-SUM(IF(F33&lt;R33,C33+D33-E33,0),IF(L33&lt;R33,I33+J33-K33,0),IF(X33&lt;R33,U33+V33-W33,0),IF(AD33&lt;R33,AA33+AB33-AC33,0)))))</x:f>
        <x:v>0</x:v>
      </x:c>
      <x:c r="T33" s="6" t="n">
        <x:f>ROUND(MAX(0,O33+P33-Q33-S33),2)</x:f>
        <x:v>0</x:v>
      </x:c>
      <x:c r="U33" s="6" t="n">
        <x:f>Z32</x:f>
        <x:v>0</x:v>
      </x:c>
      <x:c r="V33" s="6" t="n">
        <x:f>ROUND(U33*'Debt strategy'!$D$12/12,2)</x:f>
        <x:v>0</x:v>
      </x:c>
      <x:c r="W33" s="6" t="n">
        <x:f>MIN(U33+V33,'Debt strategy'!$E$12)</x:f>
        <x:v>0</x:v>
      </x:c>
      <x:c r="X33" s="27" t="n">
        <x:f>IF(U33+V33-W33&lt;=0,99,1+SUM(IF(AND(C33+D33-E33&gt;0,OR('Debt strategy'!$D$9&gt;'Debt strategy'!$D$12,AND('Debt strategy'!$D$9='Debt strategy'!$D$12,0&lt;3))),1,0),IF(AND(I33+J33-K33&gt;0,OR('Debt strategy'!$D$10&gt;'Debt strategy'!$D$12,AND('Debt strategy'!$D$10='Debt strategy'!$D$12,1&lt;3))),1,0),IF(AND(O33+P33-Q33&gt;0,OR('Debt strategy'!$D$11&gt;'Debt strategy'!$D$12,AND('Debt strategy'!$D$11='Debt strategy'!$D$12,2&lt;3))),1,0),IF(AND(AA33+AB33-AC33&gt;0,OR('Debt strategy'!$D$13&gt;'Debt strategy'!$D$12,AND('Debt strategy'!$D$13='Debt strategy'!$D$12,4&lt;3))),1,0)))</x:f>
        <x:v>99</x:v>
      </x:c>
      <x:c r="Y33" s="6" t="n">
        <x:f>IF('Debt strategy'!$C$16&gt;0,0,MIN(U33+V33-W33,MAX(0,'Debt strategy'!$C$5-SUM(E33,K33,Q33,W33,AC33)-SUM(IF(F33&lt;X33,C33+D33-E33,0),IF(L33&lt;X33,I33+J33-K33,0),IF(R33&lt;X33,O33+P33-Q33,0),IF(AD33&lt;X33,AA33+AB33-AC33,0)))))</x:f>
        <x:v>0</x:v>
      </x:c>
      <x:c r="Z33" s="6" t="n">
        <x:f>ROUND(MAX(0,U33+V33-W33-Y33),2)</x:f>
        <x:v>0</x:v>
      </x:c>
      <x:c r="AA33" s="6" t="n">
        <x:f>AF32</x:f>
        <x:v>0</x:v>
      </x:c>
      <x:c r="AB33" s="6" t="n">
        <x:f>ROUND(AA33*'Debt strategy'!$D$13/12,2)</x:f>
        <x:v>0</x:v>
      </x:c>
      <x:c r="AC33" s="6" t="n">
        <x:f>MIN(AA33+AB33,'Debt strategy'!$E$13)</x:f>
        <x:v>0</x:v>
      </x:c>
      <x:c r="AD33" s="27" t="n">
        <x:f>IF(AA33+AB33-AC33&lt;=0,99,1+SUM(IF(AND(C33+D33-E33&gt;0,OR('Debt strategy'!$D$9&gt;'Debt strategy'!$D$13,AND('Debt strategy'!$D$9='Debt strategy'!$D$13,0&lt;4))),1,0),IF(AND(I33+J33-K33&gt;0,OR('Debt strategy'!$D$10&gt;'Debt strategy'!$D$13,AND('Debt strategy'!$D$10='Debt strategy'!$D$13,1&lt;4))),1,0),IF(AND(O33+P33-Q33&gt;0,OR('Debt strategy'!$D$11&gt;'Debt strategy'!$D$13,AND('Debt strategy'!$D$11='Debt strategy'!$D$13,2&lt;4))),1,0),IF(AND(U33+V33-W33&gt;0,OR('Debt strategy'!$D$12&gt;'Debt strategy'!$D$13,AND('Debt strategy'!$D$12='Debt strategy'!$D$13,3&lt;4))),1,0)))</x:f>
        <x:v>99</x:v>
      </x:c>
      <x:c r="AE33" s="6" t="n">
        <x:f>IF('Debt strategy'!$C$16&gt;0,0,MIN(AA33+AB33-AC33,MAX(0,'Debt strategy'!$C$5-SUM(E33,K33,Q33,W33,AC33)-SUM(IF(F33&lt;AD33,C33+D33-E33,0),IF(L33&lt;AD33,I33+J33-K33,0),IF(R33&lt;AD33,O33+P33-Q33,0),IF(X33&lt;AD33,U33+V33-W33,0)))))</x:f>
        <x:v>0</x:v>
      </x:c>
      <x:c r="AF33" s="6" t="n">
        <x:f>ROUND(MAX(0,AA33+AB33-AC33-AE33),2)</x:f>
        <x:v>0</x:v>
      </x:c>
      <x:c r="AG33" s="6" t="n">
        <x:f>SUM(H33,N33,T33,Z33,AF33)</x:f>
        <x:v>318.72</x:v>
      </x:c>
      <x:c r="AH33" s="6" t="n">
        <x:f>SUM(D33,J33,P33,V33,AB33)+AH32</x:f>
        <x:v>1218.7200000000003</x:v>
      </x:c>
      <x:c r="AI33" s="2"/>
    </x:row>
    <x:row r="34" ht="23" customHeight="1">
      <x:c r="B34" s="2" t="n">
        <x:f>26</x:f>
        <x:v>26</x:v>
      </x:c>
      <x:c r="C34" s="6" t="n">
        <x:f>H33</x:f>
        <x:v>0</x:v>
      </x:c>
      <x:c r="D34" s="6" t="n">
        <x:f>ROUND(C34*'Debt strategy'!$D$9/12,2)</x:f>
        <x:v>0</x:v>
      </x:c>
      <x:c r="E34" s="6" t="n">
        <x:f>MIN(C34+D34,'Debt strategy'!$E$9)</x:f>
        <x:v>0</x:v>
      </x:c>
      <x:c r="F34" s="27" t="n">
        <x:f>IF(C34+D34-E34&lt;=0,99,1+SUM(IF(AND(I34+J34-K34&gt;0,OR('Debt strategy'!$D$10&gt;'Debt strategy'!$D$9,AND('Debt strategy'!$D$10='Debt strategy'!$D$9,1&lt;0))),1,0),IF(AND(O34+P34-Q34&gt;0,OR('Debt strategy'!$D$11&gt;'Debt strategy'!$D$9,AND('Debt strategy'!$D$11='Debt strategy'!$D$9,2&lt;0))),1,0),IF(AND(U34+V34-W34&gt;0,OR('Debt strategy'!$D$12&gt;'Debt strategy'!$D$9,AND('Debt strategy'!$D$12='Debt strategy'!$D$9,3&lt;0))),1,0),IF(AND(AA34+AB34-AC34&gt;0,OR('Debt strategy'!$D$13&gt;'Debt strategy'!$D$9,AND('Debt strategy'!$D$13='Debt strategy'!$D$9,4&lt;0))),1,0)))</x:f>
        <x:v>99</x:v>
      </x:c>
      <x:c r="G34" s="6" t="n">
        <x:f>IF('Debt strategy'!$C$16&gt;0,0,MIN(C34+D34-E34,MAX(0,'Debt strategy'!$C$5-SUM(E34,K34,Q34,W34,AC34)-SUM(IF(L34&lt;F34,I34+J34-K34,0),IF(R34&lt;F34,O34+P34-Q34,0),IF(X34&lt;F34,U34+V34-W34,0),IF(AD34&lt;F34,AA34+AB34-AC34,0)))))</x:f>
        <x:v>0</x:v>
      </x:c>
      <x:c r="H34" s="6" t="n">
        <x:f>ROUND(MAX(0,C34+D34-E34-G34),2)</x:f>
        <x:v>0</x:v>
      </x:c>
      <x:c r="I34" s="6" t="n">
        <x:f>N33</x:f>
        <x:v>318.72</x:v>
      </x:c>
      <x:c r="J34" s="6" t="n">
        <x:f>ROUND(I34*'Debt strategy'!$D$10/12,2)</x:f>
        <x:v>2.12</x:v>
      </x:c>
      <x:c r="K34" s="6" t="n">
        <x:f>MIN(I34+J34,'Debt strategy'!$E$10)</x:f>
        <x:v>150</x:v>
      </x:c>
      <x:c r="L34" s="27" t="n">
        <x:f>IF(I34+J34-K34&lt;=0,99,1+SUM(IF(AND(C34+D34-E34&gt;0,OR('Debt strategy'!$D$9&gt;'Debt strategy'!$D$10,AND('Debt strategy'!$D$9='Debt strategy'!$D$10,0&lt;1))),1,0),IF(AND(O34+P34-Q34&gt;0,OR('Debt strategy'!$D$11&gt;'Debt strategy'!$D$10,AND('Debt strategy'!$D$11='Debt strategy'!$D$10,2&lt;1))),1,0),IF(AND(U34+V34-W34&gt;0,OR('Debt strategy'!$D$12&gt;'Debt strategy'!$D$10,AND('Debt strategy'!$D$12='Debt strategy'!$D$10,3&lt;1))),1,0),IF(AND(AA34+AB34-AC34&gt;0,OR('Debt strategy'!$D$13&gt;'Debt strategy'!$D$10,AND('Debt strategy'!$D$13='Debt strategy'!$D$10,4&lt;1))),1,0)))</x:f>
        <x:v>1</x:v>
      </x:c>
      <x:c r="M34" s="6" t="n">
        <x:f>IF('Debt strategy'!$C$16&gt;0,0,MIN(I34+J34-K34,MAX(0,'Debt strategy'!$C$5-SUM(E34,K34,Q34,W34,AC34)-SUM(IF(F34&lt;L34,C34+D34-E34,0),IF(R34&lt;L34,O34+P34-Q34,0),IF(X34&lt;L34,U34+V34-W34,0),IF(AD34&lt;L34,AA34+AB34-AC34,0)))))</x:f>
        <x:v>170.84000000000003</x:v>
      </x:c>
      <x:c r="N34" s="6" t="n">
        <x:f>ROUND(MAX(0,I34+J34-K34-M34),2)</x:f>
        <x:v>0</x:v>
      </x:c>
      <x:c r="O34" s="6" t="n">
        <x:f>T33</x:f>
        <x:v>0</x:v>
      </x:c>
      <x:c r="P34" s="6" t="n">
        <x:f>ROUND(O34*'Debt strategy'!$D$11/12,2)</x:f>
        <x:v>0</x:v>
      </x:c>
      <x:c r="Q34" s="6" t="n">
        <x:f>MIN(O34+P34,'Debt strategy'!$E$11)</x:f>
        <x:v>0</x:v>
      </x:c>
      <x:c r="R34" s="27" t="n">
        <x:f>IF(O34+P34-Q34&lt;=0,99,1+SUM(IF(AND(C34+D34-E34&gt;0,OR('Debt strategy'!$D$9&gt;'Debt strategy'!$D$11,AND('Debt strategy'!$D$9='Debt strategy'!$D$11,0&lt;2))),1,0),IF(AND(I34+J34-K34&gt;0,OR('Debt strategy'!$D$10&gt;'Debt strategy'!$D$11,AND('Debt strategy'!$D$10='Debt strategy'!$D$11,1&lt;2))),1,0),IF(AND(U34+V34-W34&gt;0,OR('Debt strategy'!$D$12&gt;'Debt strategy'!$D$11,AND('Debt strategy'!$D$12='Debt strategy'!$D$11,3&lt;2))),1,0),IF(AND(AA34+AB34-AC34&gt;0,OR('Debt strategy'!$D$13&gt;'Debt strategy'!$D$11,AND('Debt strategy'!$D$13='Debt strategy'!$D$11,4&lt;2))),1,0)))</x:f>
        <x:v>99</x:v>
      </x:c>
      <x:c r="S34" s="6" t="n">
        <x:f>IF('Debt strategy'!$C$16&gt;0,0,MIN(O34+P34-Q34,MAX(0,'Debt strategy'!$C$5-SUM(E34,K34,Q34,W34,AC34)-SUM(IF(F34&lt;R34,C34+D34-E34,0),IF(L34&lt;R34,I34+J34-K34,0),IF(X34&lt;R34,U34+V34-W34,0),IF(AD34&lt;R34,AA34+AB34-AC34,0)))))</x:f>
        <x:v>0</x:v>
      </x:c>
      <x:c r="T34" s="6" t="n">
        <x:f>ROUND(MAX(0,O34+P34-Q34-S34),2)</x:f>
        <x:v>0</x:v>
      </x:c>
      <x:c r="U34" s="6" t="n">
        <x:f>Z33</x:f>
        <x:v>0</x:v>
      </x:c>
      <x:c r="V34" s="6" t="n">
        <x:f>ROUND(U34*'Debt strategy'!$D$12/12,2)</x:f>
        <x:v>0</x:v>
      </x:c>
      <x:c r="W34" s="6" t="n">
        <x:f>MIN(U34+V34,'Debt strategy'!$E$12)</x:f>
        <x:v>0</x:v>
      </x:c>
      <x:c r="X34" s="27" t="n">
        <x:f>IF(U34+V34-W34&lt;=0,99,1+SUM(IF(AND(C34+D34-E34&gt;0,OR('Debt strategy'!$D$9&gt;'Debt strategy'!$D$12,AND('Debt strategy'!$D$9='Debt strategy'!$D$12,0&lt;3))),1,0),IF(AND(I34+J34-K34&gt;0,OR('Debt strategy'!$D$10&gt;'Debt strategy'!$D$12,AND('Debt strategy'!$D$10='Debt strategy'!$D$12,1&lt;3))),1,0),IF(AND(O34+P34-Q34&gt;0,OR('Debt strategy'!$D$11&gt;'Debt strategy'!$D$12,AND('Debt strategy'!$D$11='Debt strategy'!$D$12,2&lt;3))),1,0),IF(AND(AA34+AB34-AC34&gt;0,OR('Debt strategy'!$D$13&gt;'Debt strategy'!$D$12,AND('Debt strategy'!$D$13='Debt strategy'!$D$12,4&lt;3))),1,0)))</x:f>
        <x:v>99</x:v>
      </x:c>
      <x:c r="Y34" s="6" t="n">
        <x:f>IF('Debt strategy'!$C$16&gt;0,0,MIN(U34+V34-W34,MAX(0,'Debt strategy'!$C$5-SUM(E34,K34,Q34,W34,AC34)-SUM(IF(F34&lt;X34,C34+D34-E34,0),IF(L34&lt;X34,I34+J34-K34,0),IF(R34&lt;X34,O34+P34-Q34,0),IF(AD34&lt;X34,AA34+AB34-AC34,0)))))</x:f>
        <x:v>0</x:v>
      </x:c>
      <x:c r="Z34" s="6" t="n">
        <x:f>ROUND(MAX(0,U34+V34-W34-Y34),2)</x:f>
        <x:v>0</x:v>
      </x:c>
      <x:c r="AA34" s="6" t="n">
        <x:f>AF33</x:f>
        <x:v>0</x:v>
      </x:c>
      <x:c r="AB34" s="6" t="n">
        <x:f>ROUND(AA34*'Debt strategy'!$D$13/12,2)</x:f>
        <x:v>0</x:v>
      </x:c>
      <x:c r="AC34" s="6" t="n">
        <x:f>MIN(AA34+AB34,'Debt strategy'!$E$13)</x:f>
        <x:v>0</x:v>
      </x:c>
      <x:c r="AD34" s="27" t="n">
        <x:f>IF(AA34+AB34-AC34&lt;=0,99,1+SUM(IF(AND(C34+D34-E34&gt;0,OR('Debt strategy'!$D$9&gt;'Debt strategy'!$D$13,AND('Debt strategy'!$D$9='Debt strategy'!$D$13,0&lt;4))),1,0),IF(AND(I34+J34-K34&gt;0,OR('Debt strategy'!$D$10&gt;'Debt strategy'!$D$13,AND('Debt strategy'!$D$10='Debt strategy'!$D$13,1&lt;4))),1,0),IF(AND(O34+P34-Q34&gt;0,OR('Debt strategy'!$D$11&gt;'Debt strategy'!$D$13,AND('Debt strategy'!$D$11='Debt strategy'!$D$13,2&lt;4))),1,0),IF(AND(U34+V34-W34&gt;0,OR('Debt strategy'!$D$12&gt;'Debt strategy'!$D$13,AND('Debt strategy'!$D$12='Debt strategy'!$D$13,3&lt;4))),1,0)))</x:f>
        <x:v>99</x:v>
      </x:c>
      <x:c r="AE34" s="6" t="n">
        <x:f>IF('Debt strategy'!$C$16&gt;0,0,MIN(AA34+AB34-AC34,MAX(0,'Debt strategy'!$C$5-SUM(E34,K34,Q34,W34,AC34)-SUM(IF(F34&lt;AD34,C34+D34-E34,0),IF(L34&lt;AD34,I34+J34-K34,0),IF(R34&lt;AD34,O34+P34-Q34,0),IF(X34&lt;AD34,U34+V34-W34,0)))))</x:f>
        <x:v>0</x:v>
      </x:c>
      <x:c r="AF34" s="6" t="n">
        <x:f>ROUND(MAX(0,AA34+AB34-AC34-AE34),2)</x:f>
        <x:v>0</x:v>
      </x:c>
      <x:c r="AG34" s="6" t="n">
        <x:f>SUM(H34,N34,T34,Z34,AF34)</x:f>
        <x:v>0</x:v>
      </x:c>
      <x:c r="AH34" s="6" t="n">
        <x:f>SUM(D34,J34,P34,V34,AB34)+AH33</x:f>
        <x:v>1220.8400000000001</x:v>
      </x:c>
      <x:c r="AI34" s="2"/>
    </x:row>
    <x:row r="35" ht="23" customHeight="1">
      <x:c r="B35" s="2" t="n">
        <x:f>27</x:f>
        <x:v>27</x:v>
      </x:c>
      <x:c r="C35" s="6" t="n">
        <x:f>H34</x:f>
        <x:v>0</x:v>
      </x:c>
      <x:c r="D35" s="6" t="n">
        <x:f>ROUND(C35*'Debt strategy'!$D$9/12,2)</x:f>
        <x:v>0</x:v>
      </x:c>
      <x:c r="E35" s="6" t="n">
        <x:f>MIN(C35+D35,'Debt strategy'!$E$9)</x:f>
        <x:v>0</x:v>
      </x:c>
      <x:c r="F35" s="27" t="n">
        <x:f>IF(C35+D35-E35&lt;=0,99,1+SUM(IF(AND(I35+J35-K35&gt;0,OR('Debt strategy'!$D$10&gt;'Debt strategy'!$D$9,AND('Debt strategy'!$D$10='Debt strategy'!$D$9,1&lt;0))),1,0),IF(AND(O35+P35-Q35&gt;0,OR('Debt strategy'!$D$11&gt;'Debt strategy'!$D$9,AND('Debt strategy'!$D$11='Debt strategy'!$D$9,2&lt;0))),1,0),IF(AND(U35+V35-W35&gt;0,OR('Debt strategy'!$D$12&gt;'Debt strategy'!$D$9,AND('Debt strategy'!$D$12='Debt strategy'!$D$9,3&lt;0))),1,0),IF(AND(AA35+AB35-AC35&gt;0,OR('Debt strategy'!$D$13&gt;'Debt strategy'!$D$9,AND('Debt strategy'!$D$13='Debt strategy'!$D$9,4&lt;0))),1,0)))</x:f>
        <x:v>99</x:v>
      </x:c>
      <x:c r="G35" s="6" t="n">
        <x:f>IF('Debt strategy'!$C$16&gt;0,0,MIN(C35+D35-E35,MAX(0,'Debt strategy'!$C$5-SUM(E35,K35,Q35,W35,AC35)-SUM(IF(L35&lt;F35,I35+J35-K35,0),IF(R35&lt;F35,O35+P35-Q35,0),IF(X35&lt;F35,U35+V35-W35,0),IF(AD35&lt;F35,AA35+AB35-AC35,0)))))</x:f>
        <x:v>0</x:v>
      </x:c>
      <x:c r="H35" s="6" t="n">
        <x:f>ROUND(MAX(0,C35+D35-E35-G35),2)</x:f>
        <x:v>0</x:v>
      </x:c>
      <x:c r="I35" s="6" t="n">
        <x:f>N34</x:f>
        <x:v>0</x:v>
      </x:c>
      <x:c r="J35" s="6" t="n">
        <x:f>ROUND(I35*'Debt strategy'!$D$10/12,2)</x:f>
        <x:v>0</x:v>
      </x:c>
      <x:c r="K35" s="6" t="n">
        <x:f>MIN(I35+J35,'Debt strategy'!$E$10)</x:f>
        <x:v>0</x:v>
      </x:c>
      <x:c r="L35" s="27" t="n">
        <x:f>IF(I35+J35-K35&lt;=0,99,1+SUM(IF(AND(C35+D35-E35&gt;0,OR('Debt strategy'!$D$9&gt;'Debt strategy'!$D$10,AND('Debt strategy'!$D$9='Debt strategy'!$D$10,0&lt;1))),1,0),IF(AND(O35+P35-Q35&gt;0,OR('Debt strategy'!$D$11&gt;'Debt strategy'!$D$10,AND('Debt strategy'!$D$11='Debt strategy'!$D$10,2&lt;1))),1,0),IF(AND(U35+V35-W35&gt;0,OR('Debt strategy'!$D$12&gt;'Debt strategy'!$D$10,AND('Debt strategy'!$D$12='Debt strategy'!$D$10,3&lt;1))),1,0),IF(AND(AA35+AB35-AC35&gt;0,OR('Debt strategy'!$D$13&gt;'Debt strategy'!$D$10,AND('Debt strategy'!$D$13='Debt strategy'!$D$10,4&lt;1))),1,0)))</x:f>
        <x:v>99</x:v>
      </x:c>
      <x:c r="M35" s="6" t="n">
        <x:f>IF('Debt strategy'!$C$16&gt;0,0,MIN(I35+J35-K35,MAX(0,'Debt strategy'!$C$5-SUM(E35,K35,Q35,W35,AC35)-SUM(IF(F35&lt;L35,C35+D35-E35,0),IF(R35&lt;L35,O35+P35-Q35,0),IF(X35&lt;L35,U35+V35-W35,0),IF(AD35&lt;L35,AA35+AB35-AC35,0)))))</x:f>
        <x:v>0</x:v>
      </x:c>
      <x:c r="N35" s="6" t="n">
        <x:f>ROUND(MAX(0,I35+J35-K35-M35),2)</x:f>
        <x:v>0</x:v>
      </x:c>
      <x:c r="O35" s="6" t="n">
        <x:f>T34</x:f>
        <x:v>0</x:v>
      </x:c>
      <x:c r="P35" s="6" t="n">
        <x:f>ROUND(O35*'Debt strategy'!$D$11/12,2)</x:f>
        <x:v>0</x:v>
      </x:c>
      <x:c r="Q35" s="6" t="n">
        <x:f>MIN(O35+P35,'Debt strategy'!$E$11)</x:f>
        <x:v>0</x:v>
      </x:c>
      <x:c r="R35" s="27" t="n">
        <x:f>IF(O35+P35-Q35&lt;=0,99,1+SUM(IF(AND(C35+D35-E35&gt;0,OR('Debt strategy'!$D$9&gt;'Debt strategy'!$D$11,AND('Debt strategy'!$D$9='Debt strategy'!$D$11,0&lt;2))),1,0),IF(AND(I35+J35-K35&gt;0,OR('Debt strategy'!$D$10&gt;'Debt strategy'!$D$11,AND('Debt strategy'!$D$10='Debt strategy'!$D$11,1&lt;2))),1,0),IF(AND(U35+V35-W35&gt;0,OR('Debt strategy'!$D$12&gt;'Debt strategy'!$D$11,AND('Debt strategy'!$D$12='Debt strategy'!$D$11,3&lt;2))),1,0),IF(AND(AA35+AB35-AC35&gt;0,OR('Debt strategy'!$D$13&gt;'Debt strategy'!$D$11,AND('Debt strategy'!$D$13='Debt strategy'!$D$11,4&lt;2))),1,0)))</x:f>
        <x:v>99</x:v>
      </x:c>
      <x:c r="S35" s="6" t="n">
        <x:f>IF('Debt strategy'!$C$16&gt;0,0,MIN(O35+P35-Q35,MAX(0,'Debt strategy'!$C$5-SUM(E35,K35,Q35,W35,AC35)-SUM(IF(F35&lt;R35,C35+D35-E35,0),IF(L35&lt;R35,I35+J35-K35,0),IF(X35&lt;R35,U35+V35-W35,0),IF(AD35&lt;R35,AA35+AB35-AC35,0)))))</x:f>
        <x:v>0</x:v>
      </x:c>
      <x:c r="T35" s="6" t="n">
        <x:f>ROUND(MAX(0,O35+P35-Q35-S35),2)</x:f>
        <x:v>0</x:v>
      </x:c>
      <x:c r="U35" s="6" t="n">
        <x:f>Z34</x:f>
        <x:v>0</x:v>
      </x:c>
      <x:c r="V35" s="6" t="n">
        <x:f>ROUND(U35*'Debt strategy'!$D$12/12,2)</x:f>
        <x:v>0</x:v>
      </x:c>
      <x:c r="W35" s="6" t="n">
        <x:f>MIN(U35+V35,'Debt strategy'!$E$12)</x:f>
        <x:v>0</x:v>
      </x:c>
      <x:c r="X35" s="27" t="n">
        <x:f>IF(U35+V35-W35&lt;=0,99,1+SUM(IF(AND(C35+D35-E35&gt;0,OR('Debt strategy'!$D$9&gt;'Debt strategy'!$D$12,AND('Debt strategy'!$D$9='Debt strategy'!$D$12,0&lt;3))),1,0),IF(AND(I35+J35-K35&gt;0,OR('Debt strategy'!$D$10&gt;'Debt strategy'!$D$12,AND('Debt strategy'!$D$10='Debt strategy'!$D$12,1&lt;3))),1,0),IF(AND(O35+P35-Q35&gt;0,OR('Debt strategy'!$D$11&gt;'Debt strategy'!$D$12,AND('Debt strategy'!$D$11='Debt strategy'!$D$12,2&lt;3))),1,0),IF(AND(AA35+AB35-AC35&gt;0,OR('Debt strategy'!$D$13&gt;'Debt strategy'!$D$12,AND('Debt strategy'!$D$13='Debt strategy'!$D$12,4&lt;3))),1,0)))</x:f>
        <x:v>99</x:v>
      </x:c>
      <x:c r="Y35" s="6" t="n">
        <x:f>IF('Debt strategy'!$C$16&gt;0,0,MIN(U35+V35-W35,MAX(0,'Debt strategy'!$C$5-SUM(E35,K35,Q35,W35,AC35)-SUM(IF(F35&lt;X35,C35+D35-E35,0),IF(L35&lt;X35,I35+J35-K35,0),IF(R35&lt;X35,O35+P35-Q35,0),IF(AD35&lt;X35,AA35+AB35-AC35,0)))))</x:f>
        <x:v>0</x:v>
      </x:c>
      <x:c r="Z35" s="6" t="n">
        <x:f>ROUND(MAX(0,U35+V35-W35-Y35),2)</x:f>
        <x:v>0</x:v>
      </x:c>
      <x:c r="AA35" s="6" t="n">
        <x:f>AF34</x:f>
        <x:v>0</x:v>
      </x:c>
      <x:c r="AB35" s="6" t="n">
        <x:f>ROUND(AA35*'Debt strategy'!$D$13/12,2)</x:f>
        <x:v>0</x:v>
      </x:c>
      <x:c r="AC35" s="6" t="n">
        <x:f>MIN(AA35+AB35,'Debt strategy'!$E$13)</x:f>
        <x:v>0</x:v>
      </x:c>
      <x:c r="AD35" s="27" t="n">
        <x:f>IF(AA35+AB35-AC35&lt;=0,99,1+SUM(IF(AND(C35+D35-E35&gt;0,OR('Debt strategy'!$D$9&gt;'Debt strategy'!$D$13,AND('Debt strategy'!$D$9='Debt strategy'!$D$13,0&lt;4))),1,0),IF(AND(I35+J35-K35&gt;0,OR('Debt strategy'!$D$10&gt;'Debt strategy'!$D$13,AND('Debt strategy'!$D$10='Debt strategy'!$D$13,1&lt;4))),1,0),IF(AND(O35+P35-Q35&gt;0,OR('Debt strategy'!$D$11&gt;'Debt strategy'!$D$13,AND('Debt strategy'!$D$11='Debt strategy'!$D$13,2&lt;4))),1,0),IF(AND(U35+V35-W35&gt;0,OR('Debt strategy'!$D$12&gt;'Debt strategy'!$D$13,AND('Debt strategy'!$D$12='Debt strategy'!$D$13,3&lt;4))),1,0)))</x:f>
        <x:v>99</x:v>
      </x:c>
      <x:c r="AE35" s="6" t="n">
        <x:f>IF('Debt strategy'!$C$16&gt;0,0,MIN(AA35+AB35-AC35,MAX(0,'Debt strategy'!$C$5-SUM(E35,K35,Q35,W35,AC35)-SUM(IF(F35&lt;AD35,C35+D35-E35,0),IF(L35&lt;AD35,I35+J35-K35,0),IF(R35&lt;AD35,O35+P35-Q35,0),IF(X35&lt;AD35,U35+V35-W35,0)))))</x:f>
        <x:v>0</x:v>
      </x:c>
      <x:c r="AF35" s="6" t="n">
        <x:f>ROUND(MAX(0,AA35+AB35-AC35-AE35),2)</x:f>
        <x:v>0</x:v>
      </x:c>
      <x:c r="AG35" s="6" t="n">
        <x:f>SUM(H35,N35,T35,Z35,AF35)</x:f>
        <x:v>0</x:v>
      </x:c>
      <x:c r="AH35" s="6" t="n">
        <x:f>SUM(D35,J35,P35,V35,AB35)+AH34</x:f>
        <x:v>1220.8400000000001</x:v>
      </x:c>
      <x:c r="AI35" s="2"/>
    </x:row>
    <x:row r="36" ht="23" customHeight="1">
      <x:c r="B36" s="2" t="n">
        <x:f>28</x:f>
        <x:v>28</x:v>
      </x:c>
      <x:c r="C36" s="6" t="n">
        <x:f>H35</x:f>
        <x:v>0</x:v>
      </x:c>
      <x:c r="D36" s="6" t="n">
        <x:f>ROUND(C36*'Debt strategy'!$D$9/12,2)</x:f>
        <x:v>0</x:v>
      </x:c>
      <x:c r="E36" s="6" t="n">
        <x:f>MIN(C36+D36,'Debt strategy'!$E$9)</x:f>
        <x:v>0</x:v>
      </x:c>
      <x:c r="F36" s="27" t="n">
        <x:f>IF(C36+D36-E36&lt;=0,99,1+SUM(IF(AND(I36+J36-K36&gt;0,OR('Debt strategy'!$D$10&gt;'Debt strategy'!$D$9,AND('Debt strategy'!$D$10='Debt strategy'!$D$9,1&lt;0))),1,0),IF(AND(O36+P36-Q36&gt;0,OR('Debt strategy'!$D$11&gt;'Debt strategy'!$D$9,AND('Debt strategy'!$D$11='Debt strategy'!$D$9,2&lt;0))),1,0),IF(AND(U36+V36-W36&gt;0,OR('Debt strategy'!$D$12&gt;'Debt strategy'!$D$9,AND('Debt strategy'!$D$12='Debt strategy'!$D$9,3&lt;0))),1,0),IF(AND(AA36+AB36-AC36&gt;0,OR('Debt strategy'!$D$13&gt;'Debt strategy'!$D$9,AND('Debt strategy'!$D$13='Debt strategy'!$D$9,4&lt;0))),1,0)))</x:f>
        <x:v>99</x:v>
      </x:c>
      <x:c r="G36" s="6" t="n">
        <x:f>IF('Debt strategy'!$C$16&gt;0,0,MIN(C36+D36-E36,MAX(0,'Debt strategy'!$C$5-SUM(E36,K36,Q36,W36,AC36)-SUM(IF(L36&lt;F36,I36+J36-K36,0),IF(R36&lt;F36,O36+P36-Q36,0),IF(X36&lt;F36,U36+V36-W36,0),IF(AD36&lt;F36,AA36+AB36-AC36,0)))))</x:f>
        <x:v>0</x:v>
      </x:c>
      <x:c r="H36" s="6" t="n">
        <x:f>ROUND(MAX(0,C36+D36-E36-G36),2)</x:f>
        <x:v>0</x:v>
      </x:c>
      <x:c r="I36" s="6" t="n">
        <x:f>N35</x:f>
        <x:v>0</x:v>
      </x:c>
      <x:c r="J36" s="6" t="n">
        <x:f>ROUND(I36*'Debt strategy'!$D$10/12,2)</x:f>
        <x:v>0</x:v>
      </x:c>
      <x:c r="K36" s="6" t="n">
        <x:f>MIN(I36+J36,'Debt strategy'!$E$10)</x:f>
        <x:v>0</x:v>
      </x:c>
      <x:c r="L36" s="27" t="n">
        <x:f>IF(I36+J36-K36&lt;=0,99,1+SUM(IF(AND(C36+D36-E36&gt;0,OR('Debt strategy'!$D$9&gt;'Debt strategy'!$D$10,AND('Debt strategy'!$D$9='Debt strategy'!$D$10,0&lt;1))),1,0),IF(AND(O36+P36-Q36&gt;0,OR('Debt strategy'!$D$11&gt;'Debt strategy'!$D$10,AND('Debt strategy'!$D$11='Debt strategy'!$D$10,2&lt;1))),1,0),IF(AND(U36+V36-W36&gt;0,OR('Debt strategy'!$D$12&gt;'Debt strategy'!$D$10,AND('Debt strategy'!$D$12='Debt strategy'!$D$10,3&lt;1))),1,0),IF(AND(AA36+AB36-AC36&gt;0,OR('Debt strategy'!$D$13&gt;'Debt strategy'!$D$10,AND('Debt strategy'!$D$13='Debt strategy'!$D$10,4&lt;1))),1,0)))</x:f>
        <x:v>99</x:v>
      </x:c>
      <x:c r="M36" s="6" t="n">
        <x:f>IF('Debt strategy'!$C$16&gt;0,0,MIN(I36+J36-K36,MAX(0,'Debt strategy'!$C$5-SUM(E36,K36,Q36,W36,AC36)-SUM(IF(F36&lt;L36,C36+D36-E36,0),IF(R36&lt;L36,O36+P36-Q36,0),IF(X36&lt;L36,U36+V36-W36,0),IF(AD36&lt;L36,AA36+AB36-AC36,0)))))</x:f>
        <x:v>0</x:v>
      </x:c>
      <x:c r="N36" s="6" t="n">
        <x:f>ROUND(MAX(0,I36+J36-K36-M36),2)</x:f>
        <x:v>0</x:v>
      </x:c>
      <x:c r="O36" s="6" t="n">
        <x:f>T35</x:f>
        <x:v>0</x:v>
      </x:c>
      <x:c r="P36" s="6" t="n">
        <x:f>ROUND(O36*'Debt strategy'!$D$11/12,2)</x:f>
        <x:v>0</x:v>
      </x:c>
      <x:c r="Q36" s="6" t="n">
        <x:f>MIN(O36+P36,'Debt strategy'!$E$11)</x:f>
        <x:v>0</x:v>
      </x:c>
      <x:c r="R36" s="27" t="n">
        <x:f>IF(O36+P36-Q36&lt;=0,99,1+SUM(IF(AND(C36+D36-E36&gt;0,OR('Debt strategy'!$D$9&gt;'Debt strategy'!$D$11,AND('Debt strategy'!$D$9='Debt strategy'!$D$11,0&lt;2))),1,0),IF(AND(I36+J36-K36&gt;0,OR('Debt strategy'!$D$10&gt;'Debt strategy'!$D$11,AND('Debt strategy'!$D$10='Debt strategy'!$D$11,1&lt;2))),1,0),IF(AND(U36+V36-W36&gt;0,OR('Debt strategy'!$D$12&gt;'Debt strategy'!$D$11,AND('Debt strategy'!$D$12='Debt strategy'!$D$11,3&lt;2))),1,0),IF(AND(AA36+AB36-AC36&gt;0,OR('Debt strategy'!$D$13&gt;'Debt strategy'!$D$11,AND('Debt strategy'!$D$13='Debt strategy'!$D$11,4&lt;2))),1,0)))</x:f>
        <x:v>99</x:v>
      </x:c>
      <x:c r="S36" s="6" t="n">
        <x:f>IF('Debt strategy'!$C$16&gt;0,0,MIN(O36+P36-Q36,MAX(0,'Debt strategy'!$C$5-SUM(E36,K36,Q36,W36,AC36)-SUM(IF(F36&lt;R36,C36+D36-E36,0),IF(L36&lt;R36,I36+J36-K36,0),IF(X36&lt;R36,U36+V36-W36,0),IF(AD36&lt;R36,AA36+AB36-AC36,0)))))</x:f>
        <x:v>0</x:v>
      </x:c>
      <x:c r="T36" s="6" t="n">
        <x:f>ROUND(MAX(0,O36+P36-Q36-S36),2)</x:f>
        <x:v>0</x:v>
      </x:c>
      <x:c r="U36" s="6" t="n">
        <x:f>Z35</x:f>
        <x:v>0</x:v>
      </x:c>
      <x:c r="V36" s="6" t="n">
        <x:f>ROUND(U36*'Debt strategy'!$D$12/12,2)</x:f>
        <x:v>0</x:v>
      </x:c>
      <x:c r="W36" s="6" t="n">
        <x:f>MIN(U36+V36,'Debt strategy'!$E$12)</x:f>
        <x:v>0</x:v>
      </x:c>
      <x:c r="X36" s="27" t="n">
        <x:f>IF(U36+V36-W36&lt;=0,99,1+SUM(IF(AND(C36+D36-E36&gt;0,OR('Debt strategy'!$D$9&gt;'Debt strategy'!$D$12,AND('Debt strategy'!$D$9='Debt strategy'!$D$12,0&lt;3))),1,0),IF(AND(I36+J36-K36&gt;0,OR('Debt strategy'!$D$10&gt;'Debt strategy'!$D$12,AND('Debt strategy'!$D$10='Debt strategy'!$D$12,1&lt;3))),1,0),IF(AND(O36+P36-Q36&gt;0,OR('Debt strategy'!$D$11&gt;'Debt strategy'!$D$12,AND('Debt strategy'!$D$11='Debt strategy'!$D$12,2&lt;3))),1,0),IF(AND(AA36+AB36-AC36&gt;0,OR('Debt strategy'!$D$13&gt;'Debt strategy'!$D$12,AND('Debt strategy'!$D$13='Debt strategy'!$D$12,4&lt;3))),1,0)))</x:f>
        <x:v>99</x:v>
      </x:c>
      <x:c r="Y36" s="6" t="n">
        <x:f>IF('Debt strategy'!$C$16&gt;0,0,MIN(U36+V36-W36,MAX(0,'Debt strategy'!$C$5-SUM(E36,K36,Q36,W36,AC36)-SUM(IF(F36&lt;X36,C36+D36-E36,0),IF(L36&lt;X36,I36+J36-K36,0),IF(R36&lt;X36,O36+P36-Q36,0),IF(AD36&lt;X36,AA36+AB36-AC36,0)))))</x:f>
        <x:v>0</x:v>
      </x:c>
      <x:c r="Z36" s="6" t="n">
        <x:f>ROUND(MAX(0,U36+V36-W36-Y36),2)</x:f>
        <x:v>0</x:v>
      </x:c>
      <x:c r="AA36" s="6" t="n">
        <x:f>AF35</x:f>
        <x:v>0</x:v>
      </x:c>
      <x:c r="AB36" s="6" t="n">
        <x:f>ROUND(AA36*'Debt strategy'!$D$13/12,2)</x:f>
        <x:v>0</x:v>
      </x:c>
      <x:c r="AC36" s="6" t="n">
        <x:f>MIN(AA36+AB36,'Debt strategy'!$E$13)</x:f>
        <x:v>0</x:v>
      </x:c>
      <x:c r="AD36" s="27" t="n">
        <x:f>IF(AA36+AB36-AC36&lt;=0,99,1+SUM(IF(AND(C36+D36-E36&gt;0,OR('Debt strategy'!$D$9&gt;'Debt strategy'!$D$13,AND('Debt strategy'!$D$9='Debt strategy'!$D$13,0&lt;4))),1,0),IF(AND(I36+J36-K36&gt;0,OR('Debt strategy'!$D$10&gt;'Debt strategy'!$D$13,AND('Debt strategy'!$D$10='Debt strategy'!$D$13,1&lt;4))),1,0),IF(AND(O36+P36-Q36&gt;0,OR('Debt strategy'!$D$11&gt;'Debt strategy'!$D$13,AND('Debt strategy'!$D$11='Debt strategy'!$D$13,2&lt;4))),1,0),IF(AND(U36+V36-W36&gt;0,OR('Debt strategy'!$D$12&gt;'Debt strategy'!$D$13,AND('Debt strategy'!$D$12='Debt strategy'!$D$13,3&lt;4))),1,0)))</x:f>
        <x:v>99</x:v>
      </x:c>
      <x:c r="AE36" s="6" t="n">
        <x:f>IF('Debt strategy'!$C$16&gt;0,0,MIN(AA36+AB36-AC36,MAX(0,'Debt strategy'!$C$5-SUM(E36,K36,Q36,W36,AC36)-SUM(IF(F36&lt;AD36,C36+D36-E36,0),IF(L36&lt;AD36,I36+J36-K36,0),IF(R36&lt;AD36,O36+P36-Q36,0),IF(X36&lt;AD36,U36+V36-W36,0)))))</x:f>
        <x:v>0</x:v>
      </x:c>
      <x:c r="AF36" s="6" t="n">
        <x:f>ROUND(MAX(0,AA36+AB36-AC36-AE36),2)</x:f>
        <x:v>0</x:v>
      </x:c>
      <x:c r="AG36" s="6" t="n">
        <x:f>SUM(H36,N36,T36,Z36,AF36)</x:f>
        <x:v>0</x:v>
      </x:c>
      <x:c r="AH36" s="6" t="n">
        <x:f>SUM(D36,J36,P36,V36,AB36)+AH35</x:f>
        <x:v>1220.8400000000001</x:v>
      </x:c>
      <x:c r="AI36" s="2"/>
    </x:row>
    <x:row r="37" ht="23" customHeight="1">
      <x:c r="B37" s="2" t="n">
        <x:f>29</x:f>
        <x:v>29</x:v>
      </x:c>
      <x:c r="C37" s="6" t="n">
        <x:f>H36</x:f>
        <x:v>0</x:v>
      </x:c>
      <x:c r="D37" s="6" t="n">
        <x:f>ROUND(C37*'Debt strategy'!$D$9/12,2)</x:f>
        <x:v>0</x:v>
      </x:c>
      <x:c r="E37" s="6" t="n">
        <x:f>MIN(C37+D37,'Debt strategy'!$E$9)</x:f>
        <x:v>0</x:v>
      </x:c>
      <x:c r="F37" s="27" t="n">
        <x:f>IF(C37+D37-E37&lt;=0,99,1+SUM(IF(AND(I37+J37-K37&gt;0,OR('Debt strategy'!$D$10&gt;'Debt strategy'!$D$9,AND('Debt strategy'!$D$10='Debt strategy'!$D$9,1&lt;0))),1,0),IF(AND(O37+P37-Q37&gt;0,OR('Debt strategy'!$D$11&gt;'Debt strategy'!$D$9,AND('Debt strategy'!$D$11='Debt strategy'!$D$9,2&lt;0))),1,0),IF(AND(U37+V37-W37&gt;0,OR('Debt strategy'!$D$12&gt;'Debt strategy'!$D$9,AND('Debt strategy'!$D$12='Debt strategy'!$D$9,3&lt;0))),1,0),IF(AND(AA37+AB37-AC37&gt;0,OR('Debt strategy'!$D$13&gt;'Debt strategy'!$D$9,AND('Debt strategy'!$D$13='Debt strategy'!$D$9,4&lt;0))),1,0)))</x:f>
        <x:v>99</x:v>
      </x:c>
      <x:c r="G37" s="6" t="n">
        <x:f>IF('Debt strategy'!$C$16&gt;0,0,MIN(C37+D37-E37,MAX(0,'Debt strategy'!$C$5-SUM(E37,K37,Q37,W37,AC37)-SUM(IF(L37&lt;F37,I37+J37-K37,0),IF(R37&lt;F37,O37+P37-Q37,0),IF(X37&lt;F37,U37+V37-W37,0),IF(AD37&lt;F37,AA37+AB37-AC37,0)))))</x:f>
        <x:v>0</x:v>
      </x:c>
      <x:c r="H37" s="6" t="n">
        <x:f>ROUND(MAX(0,C37+D37-E37-G37),2)</x:f>
        <x:v>0</x:v>
      </x:c>
      <x:c r="I37" s="6" t="n">
        <x:f>N36</x:f>
        <x:v>0</x:v>
      </x:c>
      <x:c r="J37" s="6" t="n">
        <x:f>ROUND(I37*'Debt strategy'!$D$10/12,2)</x:f>
        <x:v>0</x:v>
      </x:c>
      <x:c r="K37" s="6" t="n">
        <x:f>MIN(I37+J37,'Debt strategy'!$E$10)</x:f>
        <x:v>0</x:v>
      </x:c>
      <x:c r="L37" s="27" t="n">
        <x:f>IF(I37+J37-K37&lt;=0,99,1+SUM(IF(AND(C37+D37-E37&gt;0,OR('Debt strategy'!$D$9&gt;'Debt strategy'!$D$10,AND('Debt strategy'!$D$9='Debt strategy'!$D$10,0&lt;1))),1,0),IF(AND(O37+P37-Q37&gt;0,OR('Debt strategy'!$D$11&gt;'Debt strategy'!$D$10,AND('Debt strategy'!$D$11='Debt strategy'!$D$10,2&lt;1))),1,0),IF(AND(U37+V37-W37&gt;0,OR('Debt strategy'!$D$12&gt;'Debt strategy'!$D$10,AND('Debt strategy'!$D$12='Debt strategy'!$D$10,3&lt;1))),1,0),IF(AND(AA37+AB37-AC37&gt;0,OR('Debt strategy'!$D$13&gt;'Debt strategy'!$D$10,AND('Debt strategy'!$D$13='Debt strategy'!$D$10,4&lt;1))),1,0)))</x:f>
        <x:v>99</x:v>
      </x:c>
      <x:c r="M37" s="6" t="n">
        <x:f>IF('Debt strategy'!$C$16&gt;0,0,MIN(I37+J37-K37,MAX(0,'Debt strategy'!$C$5-SUM(E37,K37,Q37,W37,AC37)-SUM(IF(F37&lt;L37,C37+D37-E37,0),IF(R37&lt;L37,O37+P37-Q37,0),IF(X37&lt;L37,U37+V37-W37,0),IF(AD37&lt;L37,AA37+AB37-AC37,0)))))</x:f>
        <x:v>0</x:v>
      </x:c>
      <x:c r="N37" s="6" t="n">
        <x:f>ROUND(MAX(0,I37+J37-K37-M37),2)</x:f>
        <x:v>0</x:v>
      </x:c>
      <x:c r="O37" s="6" t="n">
        <x:f>T36</x:f>
        <x:v>0</x:v>
      </x:c>
      <x:c r="P37" s="6" t="n">
        <x:f>ROUND(O37*'Debt strategy'!$D$11/12,2)</x:f>
        <x:v>0</x:v>
      </x:c>
      <x:c r="Q37" s="6" t="n">
        <x:f>MIN(O37+P37,'Debt strategy'!$E$11)</x:f>
        <x:v>0</x:v>
      </x:c>
      <x:c r="R37" s="27" t="n">
        <x:f>IF(O37+P37-Q37&lt;=0,99,1+SUM(IF(AND(C37+D37-E37&gt;0,OR('Debt strategy'!$D$9&gt;'Debt strategy'!$D$11,AND('Debt strategy'!$D$9='Debt strategy'!$D$11,0&lt;2))),1,0),IF(AND(I37+J37-K37&gt;0,OR('Debt strategy'!$D$10&gt;'Debt strategy'!$D$11,AND('Debt strategy'!$D$10='Debt strategy'!$D$11,1&lt;2))),1,0),IF(AND(U37+V37-W37&gt;0,OR('Debt strategy'!$D$12&gt;'Debt strategy'!$D$11,AND('Debt strategy'!$D$12='Debt strategy'!$D$11,3&lt;2))),1,0),IF(AND(AA37+AB37-AC37&gt;0,OR('Debt strategy'!$D$13&gt;'Debt strategy'!$D$11,AND('Debt strategy'!$D$13='Debt strategy'!$D$11,4&lt;2))),1,0)))</x:f>
        <x:v>99</x:v>
      </x:c>
      <x:c r="S37" s="6" t="n">
        <x:f>IF('Debt strategy'!$C$16&gt;0,0,MIN(O37+P37-Q37,MAX(0,'Debt strategy'!$C$5-SUM(E37,K37,Q37,W37,AC37)-SUM(IF(F37&lt;R37,C37+D37-E37,0),IF(L37&lt;R37,I37+J37-K37,0),IF(X37&lt;R37,U37+V37-W37,0),IF(AD37&lt;R37,AA37+AB37-AC37,0)))))</x:f>
        <x:v>0</x:v>
      </x:c>
      <x:c r="T37" s="6" t="n">
        <x:f>ROUND(MAX(0,O37+P37-Q37-S37),2)</x:f>
        <x:v>0</x:v>
      </x:c>
      <x:c r="U37" s="6" t="n">
        <x:f>Z36</x:f>
        <x:v>0</x:v>
      </x:c>
      <x:c r="V37" s="6" t="n">
        <x:f>ROUND(U37*'Debt strategy'!$D$12/12,2)</x:f>
        <x:v>0</x:v>
      </x:c>
      <x:c r="W37" s="6" t="n">
        <x:f>MIN(U37+V37,'Debt strategy'!$E$12)</x:f>
        <x:v>0</x:v>
      </x:c>
      <x:c r="X37" s="27" t="n">
        <x:f>IF(U37+V37-W37&lt;=0,99,1+SUM(IF(AND(C37+D37-E37&gt;0,OR('Debt strategy'!$D$9&gt;'Debt strategy'!$D$12,AND('Debt strategy'!$D$9='Debt strategy'!$D$12,0&lt;3))),1,0),IF(AND(I37+J37-K37&gt;0,OR('Debt strategy'!$D$10&gt;'Debt strategy'!$D$12,AND('Debt strategy'!$D$10='Debt strategy'!$D$12,1&lt;3))),1,0),IF(AND(O37+P37-Q37&gt;0,OR('Debt strategy'!$D$11&gt;'Debt strategy'!$D$12,AND('Debt strategy'!$D$11='Debt strategy'!$D$12,2&lt;3))),1,0),IF(AND(AA37+AB37-AC37&gt;0,OR('Debt strategy'!$D$13&gt;'Debt strategy'!$D$12,AND('Debt strategy'!$D$13='Debt strategy'!$D$12,4&lt;3))),1,0)))</x:f>
        <x:v>99</x:v>
      </x:c>
      <x:c r="Y37" s="6" t="n">
        <x:f>IF('Debt strategy'!$C$16&gt;0,0,MIN(U37+V37-W37,MAX(0,'Debt strategy'!$C$5-SUM(E37,K37,Q37,W37,AC37)-SUM(IF(F37&lt;X37,C37+D37-E37,0),IF(L37&lt;X37,I37+J37-K37,0),IF(R37&lt;X37,O37+P37-Q37,0),IF(AD37&lt;X37,AA37+AB37-AC37,0)))))</x:f>
        <x:v>0</x:v>
      </x:c>
      <x:c r="Z37" s="6" t="n">
        <x:f>ROUND(MAX(0,U37+V37-W37-Y37),2)</x:f>
        <x:v>0</x:v>
      </x:c>
      <x:c r="AA37" s="6" t="n">
        <x:f>AF36</x:f>
        <x:v>0</x:v>
      </x:c>
      <x:c r="AB37" s="6" t="n">
        <x:f>ROUND(AA37*'Debt strategy'!$D$13/12,2)</x:f>
        <x:v>0</x:v>
      </x:c>
      <x:c r="AC37" s="6" t="n">
        <x:f>MIN(AA37+AB37,'Debt strategy'!$E$13)</x:f>
        <x:v>0</x:v>
      </x:c>
      <x:c r="AD37" s="27" t="n">
        <x:f>IF(AA37+AB37-AC37&lt;=0,99,1+SUM(IF(AND(C37+D37-E37&gt;0,OR('Debt strategy'!$D$9&gt;'Debt strategy'!$D$13,AND('Debt strategy'!$D$9='Debt strategy'!$D$13,0&lt;4))),1,0),IF(AND(I37+J37-K37&gt;0,OR('Debt strategy'!$D$10&gt;'Debt strategy'!$D$13,AND('Debt strategy'!$D$10='Debt strategy'!$D$13,1&lt;4))),1,0),IF(AND(O37+P37-Q37&gt;0,OR('Debt strategy'!$D$11&gt;'Debt strategy'!$D$13,AND('Debt strategy'!$D$11='Debt strategy'!$D$13,2&lt;4))),1,0),IF(AND(U37+V37-W37&gt;0,OR('Debt strategy'!$D$12&gt;'Debt strategy'!$D$13,AND('Debt strategy'!$D$12='Debt strategy'!$D$13,3&lt;4))),1,0)))</x:f>
        <x:v>99</x:v>
      </x:c>
      <x:c r="AE37" s="6" t="n">
        <x:f>IF('Debt strategy'!$C$16&gt;0,0,MIN(AA37+AB37-AC37,MAX(0,'Debt strategy'!$C$5-SUM(E37,K37,Q37,W37,AC37)-SUM(IF(F37&lt;AD37,C37+D37-E37,0),IF(L37&lt;AD37,I37+J37-K37,0),IF(R37&lt;AD37,O37+P37-Q37,0),IF(X37&lt;AD37,U37+V37-W37,0)))))</x:f>
        <x:v>0</x:v>
      </x:c>
      <x:c r="AF37" s="6" t="n">
        <x:f>ROUND(MAX(0,AA37+AB37-AC37-AE37),2)</x:f>
        <x:v>0</x:v>
      </x:c>
      <x:c r="AG37" s="6" t="n">
        <x:f>SUM(H37,N37,T37,Z37,AF37)</x:f>
        <x:v>0</x:v>
      </x:c>
      <x:c r="AH37" s="6" t="n">
        <x:f>SUM(D37,J37,P37,V37,AB37)+AH36</x:f>
        <x:v>1220.8400000000001</x:v>
      </x:c>
      <x:c r="AI37" s="2"/>
    </x:row>
    <x:row r="38" ht="23" customHeight="1">
      <x:c r="B38" s="2" t="n">
        <x:f>30</x:f>
        <x:v>30</x:v>
      </x:c>
      <x:c r="C38" s="6" t="n">
        <x:f>H37</x:f>
        <x:v>0</x:v>
      </x:c>
      <x:c r="D38" s="6" t="n">
        <x:f>ROUND(C38*'Debt strategy'!$D$9/12,2)</x:f>
        <x:v>0</x:v>
      </x:c>
      <x:c r="E38" s="6" t="n">
        <x:f>MIN(C38+D38,'Debt strategy'!$E$9)</x:f>
        <x:v>0</x:v>
      </x:c>
      <x:c r="F38" s="27" t="n">
        <x:f>IF(C38+D38-E38&lt;=0,99,1+SUM(IF(AND(I38+J38-K38&gt;0,OR('Debt strategy'!$D$10&gt;'Debt strategy'!$D$9,AND('Debt strategy'!$D$10='Debt strategy'!$D$9,1&lt;0))),1,0),IF(AND(O38+P38-Q38&gt;0,OR('Debt strategy'!$D$11&gt;'Debt strategy'!$D$9,AND('Debt strategy'!$D$11='Debt strategy'!$D$9,2&lt;0))),1,0),IF(AND(U38+V38-W38&gt;0,OR('Debt strategy'!$D$12&gt;'Debt strategy'!$D$9,AND('Debt strategy'!$D$12='Debt strategy'!$D$9,3&lt;0))),1,0),IF(AND(AA38+AB38-AC38&gt;0,OR('Debt strategy'!$D$13&gt;'Debt strategy'!$D$9,AND('Debt strategy'!$D$13='Debt strategy'!$D$9,4&lt;0))),1,0)))</x:f>
        <x:v>99</x:v>
      </x:c>
      <x:c r="G38" s="6" t="n">
        <x:f>IF('Debt strategy'!$C$16&gt;0,0,MIN(C38+D38-E38,MAX(0,'Debt strategy'!$C$5-SUM(E38,K38,Q38,W38,AC38)-SUM(IF(L38&lt;F38,I38+J38-K38,0),IF(R38&lt;F38,O38+P38-Q38,0),IF(X38&lt;F38,U38+V38-W38,0),IF(AD38&lt;F38,AA38+AB38-AC38,0)))))</x:f>
        <x:v>0</x:v>
      </x:c>
      <x:c r="H38" s="6" t="n">
        <x:f>ROUND(MAX(0,C38+D38-E38-G38),2)</x:f>
        <x:v>0</x:v>
      </x:c>
      <x:c r="I38" s="6" t="n">
        <x:f>N37</x:f>
        <x:v>0</x:v>
      </x:c>
      <x:c r="J38" s="6" t="n">
        <x:f>ROUND(I38*'Debt strategy'!$D$10/12,2)</x:f>
        <x:v>0</x:v>
      </x:c>
      <x:c r="K38" s="6" t="n">
        <x:f>MIN(I38+J38,'Debt strategy'!$E$10)</x:f>
        <x:v>0</x:v>
      </x:c>
      <x:c r="L38" s="27" t="n">
        <x:f>IF(I38+J38-K38&lt;=0,99,1+SUM(IF(AND(C38+D38-E38&gt;0,OR('Debt strategy'!$D$9&gt;'Debt strategy'!$D$10,AND('Debt strategy'!$D$9='Debt strategy'!$D$10,0&lt;1))),1,0),IF(AND(O38+P38-Q38&gt;0,OR('Debt strategy'!$D$11&gt;'Debt strategy'!$D$10,AND('Debt strategy'!$D$11='Debt strategy'!$D$10,2&lt;1))),1,0),IF(AND(U38+V38-W38&gt;0,OR('Debt strategy'!$D$12&gt;'Debt strategy'!$D$10,AND('Debt strategy'!$D$12='Debt strategy'!$D$10,3&lt;1))),1,0),IF(AND(AA38+AB38-AC38&gt;0,OR('Debt strategy'!$D$13&gt;'Debt strategy'!$D$10,AND('Debt strategy'!$D$13='Debt strategy'!$D$10,4&lt;1))),1,0)))</x:f>
        <x:v>99</x:v>
      </x:c>
      <x:c r="M38" s="6" t="n">
        <x:f>IF('Debt strategy'!$C$16&gt;0,0,MIN(I38+J38-K38,MAX(0,'Debt strategy'!$C$5-SUM(E38,K38,Q38,W38,AC38)-SUM(IF(F38&lt;L38,C38+D38-E38,0),IF(R38&lt;L38,O38+P38-Q38,0),IF(X38&lt;L38,U38+V38-W38,0),IF(AD38&lt;L38,AA38+AB38-AC38,0)))))</x:f>
        <x:v>0</x:v>
      </x:c>
      <x:c r="N38" s="6" t="n">
        <x:f>ROUND(MAX(0,I38+J38-K38-M38),2)</x:f>
        <x:v>0</x:v>
      </x:c>
      <x:c r="O38" s="6" t="n">
        <x:f>T37</x:f>
        <x:v>0</x:v>
      </x:c>
      <x:c r="P38" s="6" t="n">
        <x:f>ROUND(O38*'Debt strategy'!$D$11/12,2)</x:f>
        <x:v>0</x:v>
      </x:c>
      <x:c r="Q38" s="6" t="n">
        <x:f>MIN(O38+P38,'Debt strategy'!$E$11)</x:f>
        <x:v>0</x:v>
      </x:c>
      <x:c r="R38" s="27" t="n">
        <x:f>IF(O38+P38-Q38&lt;=0,99,1+SUM(IF(AND(C38+D38-E38&gt;0,OR('Debt strategy'!$D$9&gt;'Debt strategy'!$D$11,AND('Debt strategy'!$D$9='Debt strategy'!$D$11,0&lt;2))),1,0),IF(AND(I38+J38-K38&gt;0,OR('Debt strategy'!$D$10&gt;'Debt strategy'!$D$11,AND('Debt strategy'!$D$10='Debt strategy'!$D$11,1&lt;2))),1,0),IF(AND(U38+V38-W38&gt;0,OR('Debt strategy'!$D$12&gt;'Debt strategy'!$D$11,AND('Debt strategy'!$D$12='Debt strategy'!$D$11,3&lt;2))),1,0),IF(AND(AA38+AB38-AC38&gt;0,OR('Debt strategy'!$D$13&gt;'Debt strategy'!$D$11,AND('Debt strategy'!$D$13='Debt strategy'!$D$11,4&lt;2))),1,0)))</x:f>
        <x:v>99</x:v>
      </x:c>
      <x:c r="S38" s="6" t="n">
        <x:f>IF('Debt strategy'!$C$16&gt;0,0,MIN(O38+P38-Q38,MAX(0,'Debt strategy'!$C$5-SUM(E38,K38,Q38,W38,AC38)-SUM(IF(F38&lt;R38,C38+D38-E38,0),IF(L38&lt;R38,I38+J38-K38,0),IF(X38&lt;R38,U38+V38-W38,0),IF(AD38&lt;R38,AA38+AB38-AC38,0)))))</x:f>
        <x:v>0</x:v>
      </x:c>
      <x:c r="T38" s="6" t="n">
        <x:f>ROUND(MAX(0,O38+P38-Q38-S38),2)</x:f>
        <x:v>0</x:v>
      </x:c>
      <x:c r="U38" s="6" t="n">
        <x:f>Z37</x:f>
        <x:v>0</x:v>
      </x:c>
      <x:c r="V38" s="6" t="n">
        <x:f>ROUND(U38*'Debt strategy'!$D$12/12,2)</x:f>
        <x:v>0</x:v>
      </x:c>
      <x:c r="W38" s="6" t="n">
        <x:f>MIN(U38+V38,'Debt strategy'!$E$12)</x:f>
        <x:v>0</x:v>
      </x:c>
      <x:c r="X38" s="27" t="n">
        <x:f>IF(U38+V38-W38&lt;=0,99,1+SUM(IF(AND(C38+D38-E38&gt;0,OR('Debt strategy'!$D$9&gt;'Debt strategy'!$D$12,AND('Debt strategy'!$D$9='Debt strategy'!$D$12,0&lt;3))),1,0),IF(AND(I38+J38-K38&gt;0,OR('Debt strategy'!$D$10&gt;'Debt strategy'!$D$12,AND('Debt strategy'!$D$10='Debt strategy'!$D$12,1&lt;3))),1,0),IF(AND(O38+P38-Q38&gt;0,OR('Debt strategy'!$D$11&gt;'Debt strategy'!$D$12,AND('Debt strategy'!$D$11='Debt strategy'!$D$12,2&lt;3))),1,0),IF(AND(AA38+AB38-AC38&gt;0,OR('Debt strategy'!$D$13&gt;'Debt strategy'!$D$12,AND('Debt strategy'!$D$13='Debt strategy'!$D$12,4&lt;3))),1,0)))</x:f>
        <x:v>99</x:v>
      </x:c>
      <x:c r="Y38" s="6" t="n">
        <x:f>IF('Debt strategy'!$C$16&gt;0,0,MIN(U38+V38-W38,MAX(0,'Debt strategy'!$C$5-SUM(E38,K38,Q38,W38,AC38)-SUM(IF(F38&lt;X38,C38+D38-E38,0),IF(L38&lt;X38,I38+J38-K38,0),IF(R38&lt;X38,O38+P38-Q38,0),IF(AD38&lt;X38,AA38+AB38-AC38,0)))))</x:f>
        <x:v>0</x:v>
      </x:c>
      <x:c r="Z38" s="6" t="n">
        <x:f>ROUND(MAX(0,U38+V38-W38-Y38),2)</x:f>
        <x:v>0</x:v>
      </x:c>
      <x:c r="AA38" s="6" t="n">
        <x:f>AF37</x:f>
        <x:v>0</x:v>
      </x:c>
      <x:c r="AB38" s="6" t="n">
        <x:f>ROUND(AA38*'Debt strategy'!$D$13/12,2)</x:f>
        <x:v>0</x:v>
      </x:c>
      <x:c r="AC38" s="6" t="n">
        <x:f>MIN(AA38+AB38,'Debt strategy'!$E$13)</x:f>
        <x:v>0</x:v>
      </x:c>
      <x:c r="AD38" s="27" t="n">
        <x:f>IF(AA38+AB38-AC38&lt;=0,99,1+SUM(IF(AND(C38+D38-E38&gt;0,OR('Debt strategy'!$D$9&gt;'Debt strategy'!$D$13,AND('Debt strategy'!$D$9='Debt strategy'!$D$13,0&lt;4))),1,0),IF(AND(I38+J38-K38&gt;0,OR('Debt strategy'!$D$10&gt;'Debt strategy'!$D$13,AND('Debt strategy'!$D$10='Debt strategy'!$D$13,1&lt;4))),1,0),IF(AND(O38+P38-Q38&gt;0,OR('Debt strategy'!$D$11&gt;'Debt strategy'!$D$13,AND('Debt strategy'!$D$11='Debt strategy'!$D$13,2&lt;4))),1,0),IF(AND(U38+V38-W38&gt;0,OR('Debt strategy'!$D$12&gt;'Debt strategy'!$D$13,AND('Debt strategy'!$D$12='Debt strategy'!$D$13,3&lt;4))),1,0)))</x:f>
        <x:v>99</x:v>
      </x:c>
      <x:c r="AE38" s="6" t="n">
        <x:f>IF('Debt strategy'!$C$16&gt;0,0,MIN(AA38+AB38-AC38,MAX(0,'Debt strategy'!$C$5-SUM(E38,K38,Q38,W38,AC38)-SUM(IF(F38&lt;AD38,C38+D38-E38,0),IF(L38&lt;AD38,I38+J38-K38,0),IF(R38&lt;AD38,O38+P38-Q38,0),IF(X38&lt;AD38,U38+V38-W38,0)))))</x:f>
        <x:v>0</x:v>
      </x:c>
      <x:c r="AF38" s="6" t="n">
        <x:f>ROUND(MAX(0,AA38+AB38-AC38-AE38),2)</x:f>
        <x:v>0</x:v>
      </x:c>
      <x:c r="AG38" s="6" t="n">
        <x:f>SUM(H38,N38,T38,Z38,AF38)</x:f>
        <x:v>0</x:v>
      </x:c>
      <x:c r="AH38" s="6" t="n">
        <x:f>SUM(D38,J38,P38,V38,AB38)+AH37</x:f>
        <x:v>1220.8400000000001</x:v>
      </x:c>
      <x:c r="AI38" s="2"/>
    </x:row>
    <x:row r="39" ht="23" customHeight="1">
      <x:c r="B39" s="2" t="n">
        <x:f>31</x:f>
        <x:v>31</x:v>
      </x:c>
      <x:c r="C39" s="6" t="n">
        <x:f>H38</x:f>
        <x:v>0</x:v>
      </x:c>
      <x:c r="D39" s="6" t="n">
        <x:f>ROUND(C39*'Debt strategy'!$D$9/12,2)</x:f>
        <x:v>0</x:v>
      </x:c>
      <x:c r="E39" s="6" t="n">
        <x:f>MIN(C39+D39,'Debt strategy'!$E$9)</x:f>
        <x:v>0</x:v>
      </x:c>
      <x:c r="F39" s="27" t="n">
        <x:f>IF(C39+D39-E39&lt;=0,99,1+SUM(IF(AND(I39+J39-K39&gt;0,OR('Debt strategy'!$D$10&gt;'Debt strategy'!$D$9,AND('Debt strategy'!$D$10='Debt strategy'!$D$9,1&lt;0))),1,0),IF(AND(O39+P39-Q39&gt;0,OR('Debt strategy'!$D$11&gt;'Debt strategy'!$D$9,AND('Debt strategy'!$D$11='Debt strategy'!$D$9,2&lt;0))),1,0),IF(AND(U39+V39-W39&gt;0,OR('Debt strategy'!$D$12&gt;'Debt strategy'!$D$9,AND('Debt strategy'!$D$12='Debt strategy'!$D$9,3&lt;0))),1,0),IF(AND(AA39+AB39-AC39&gt;0,OR('Debt strategy'!$D$13&gt;'Debt strategy'!$D$9,AND('Debt strategy'!$D$13='Debt strategy'!$D$9,4&lt;0))),1,0)))</x:f>
        <x:v>99</x:v>
      </x:c>
      <x:c r="G39" s="6" t="n">
        <x:f>IF('Debt strategy'!$C$16&gt;0,0,MIN(C39+D39-E39,MAX(0,'Debt strategy'!$C$5-SUM(E39,K39,Q39,W39,AC39)-SUM(IF(L39&lt;F39,I39+J39-K39,0),IF(R39&lt;F39,O39+P39-Q39,0),IF(X39&lt;F39,U39+V39-W39,0),IF(AD39&lt;F39,AA39+AB39-AC39,0)))))</x:f>
        <x:v>0</x:v>
      </x:c>
      <x:c r="H39" s="6" t="n">
        <x:f>ROUND(MAX(0,C39+D39-E39-G39),2)</x:f>
        <x:v>0</x:v>
      </x:c>
      <x:c r="I39" s="6" t="n">
        <x:f>N38</x:f>
        <x:v>0</x:v>
      </x:c>
      <x:c r="J39" s="6" t="n">
        <x:f>ROUND(I39*'Debt strategy'!$D$10/12,2)</x:f>
        <x:v>0</x:v>
      </x:c>
      <x:c r="K39" s="6" t="n">
        <x:f>MIN(I39+J39,'Debt strategy'!$E$10)</x:f>
        <x:v>0</x:v>
      </x:c>
      <x:c r="L39" s="27" t="n">
        <x:f>IF(I39+J39-K39&lt;=0,99,1+SUM(IF(AND(C39+D39-E39&gt;0,OR('Debt strategy'!$D$9&gt;'Debt strategy'!$D$10,AND('Debt strategy'!$D$9='Debt strategy'!$D$10,0&lt;1))),1,0),IF(AND(O39+P39-Q39&gt;0,OR('Debt strategy'!$D$11&gt;'Debt strategy'!$D$10,AND('Debt strategy'!$D$11='Debt strategy'!$D$10,2&lt;1))),1,0),IF(AND(U39+V39-W39&gt;0,OR('Debt strategy'!$D$12&gt;'Debt strategy'!$D$10,AND('Debt strategy'!$D$12='Debt strategy'!$D$10,3&lt;1))),1,0),IF(AND(AA39+AB39-AC39&gt;0,OR('Debt strategy'!$D$13&gt;'Debt strategy'!$D$10,AND('Debt strategy'!$D$13='Debt strategy'!$D$10,4&lt;1))),1,0)))</x:f>
        <x:v>99</x:v>
      </x:c>
      <x:c r="M39" s="6" t="n">
        <x:f>IF('Debt strategy'!$C$16&gt;0,0,MIN(I39+J39-K39,MAX(0,'Debt strategy'!$C$5-SUM(E39,K39,Q39,W39,AC39)-SUM(IF(F39&lt;L39,C39+D39-E39,0),IF(R39&lt;L39,O39+P39-Q39,0),IF(X39&lt;L39,U39+V39-W39,0),IF(AD39&lt;L39,AA39+AB39-AC39,0)))))</x:f>
        <x:v>0</x:v>
      </x:c>
      <x:c r="N39" s="6" t="n">
        <x:f>ROUND(MAX(0,I39+J39-K39-M39),2)</x:f>
        <x:v>0</x:v>
      </x:c>
      <x:c r="O39" s="6" t="n">
        <x:f>T38</x:f>
        <x:v>0</x:v>
      </x:c>
      <x:c r="P39" s="6" t="n">
        <x:f>ROUND(O39*'Debt strategy'!$D$11/12,2)</x:f>
        <x:v>0</x:v>
      </x:c>
      <x:c r="Q39" s="6" t="n">
        <x:f>MIN(O39+P39,'Debt strategy'!$E$11)</x:f>
        <x:v>0</x:v>
      </x:c>
      <x:c r="R39" s="27" t="n">
        <x:f>IF(O39+P39-Q39&lt;=0,99,1+SUM(IF(AND(C39+D39-E39&gt;0,OR('Debt strategy'!$D$9&gt;'Debt strategy'!$D$11,AND('Debt strategy'!$D$9='Debt strategy'!$D$11,0&lt;2))),1,0),IF(AND(I39+J39-K39&gt;0,OR('Debt strategy'!$D$10&gt;'Debt strategy'!$D$11,AND('Debt strategy'!$D$10='Debt strategy'!$D$11,1&lt;2))),1,0),IF(AND(U39+V39-W39&gt;0,OR('Debt strategy'!$D$12&gt;'Debt strategy'!$D$11,AND('Debt strategy'!$D$12='Debt strategy'!$D$11,3&lt;2))),1,0),IF(AND(AA39+AB39-AC39&gt;0,OR('Debt strategy'!$D$13&gt;'Debt strategy'!$D$11,AND('Debt strategy'!$D$13='Debt strategy'!$D$11,4&lt;2))),1,0)))</x:f>
        <x:v>99</x:v>
      </x:c>
      <x:c r="S39" s="6" t="n">
        <x:f>IF('Debt strategy'!$C$16&gt;0,0,MIN(O39+P39-Q39,MAX(0,'Debt strategy'!$C$5-SUM(E39,K39,Q39,W39,AC39)-SUM(IF(F39&lt;R39,C39+D39-E39,0),IF(L39&lt;R39,I39+J39-K39,0),IF(X39&lt;R39,U39+V39-W39,0),IF(AD39&lt;R39,AA39+AB39-AC39,0)))))</x:f>
        <x:v>0</x:v>
      </x:c>
      <x:c r="T39" s="6" t="n">
        <x:f>ROUND(MAX(0,O39+P39-Q39-S39),2)</x:f>
        <x:v>0</x:v>
      </x:c>
      <x:c r="U39" s="6" t="n">
        <x:f>Z38</x:f>
        <x:v>0</x:v>
      </x:c>
      <x:c r="V39" s="6" t="n">
        <x:f>ROUND(U39*'Debt strategy'!$D$12/12,2)</x:f>
        <x:v>0</x:v>
      </x:c>
      <x:c r="W39" s="6" t="n">
        <x:f>MIN(U39+V39,'Debt strategy'!$E$12)</x:f>
        <x:v>0</x:v>
      </x:c>
      <x:c r="X39" s="27" t="n">
        <x:f>IF(U39+V39-W39&lt;=0,99,1+SUM(IF(AND(C39+D39-E39&gt;0,OR('Debt strategy'!$D$9&gt;'Debt strategy'!$D$12,AND('Debt strategy'!$D$9='Debt strategy'!$D$12,0&lt;3))),1,0),IF(AND(I39+J39-K39&gt;0,OR('Debt strategy'!$D$10&gt;'Debt strategy'!$D$12,AND('Debt strategy'!$D$10='Debt strategy'!$D$12,1&lt;3))),1,0),IF(AND(O39+P39-Q39&gt;0,OR('Debt strategy'!$D$11&gt;'Debt strategy'!$D$12,AND('Debt strategy'!$D$11='Debt strategy'!$D$12,2&lt;3))),1,0),IF(AND(AA39+AB39-AC39&gt;0,OR('Debt strategy'!$D$13&gt;'Debt strategy'!$D$12,AND('Debt strategy'!$D$13='Debt strategy'!$D$12,4&lt;3))),1,0)))</x:f>
        <x:v>99</x:v>
      </x:c>
      <x:c r="Y39" s="6" t="n">
        <x:f>IF('Debt strategy'!$C$16&gt;0,0,MIN(U39+V39-W39,MAX(0,'Debt strategy'!$C$5-SUM(E39,K39,Q39,W39,AC39)-SUM(IF(F39&lt;X39,C39+D39-E39,0),IF(L39&lt;X39,I39+J39-K39,0),IF(R39&lt;X39,O39+P39-Q39,0),IF(AD39&lt;X39,AA39+AB39-AC39,0)))))</x:f>
        <x:v>0</x:v>
      </x:c>
      <x:c r="Z39" s="6" t="n">
        <x:f>ROUND(MAX(0,U39+V39-W39-Y39),2)</x:f>
        <x:v>0</x:v>
      </x:c>
      <x:c r="AA39" s="6" t="n">
        <x:f>AF38</x:f>
        <x:v>0</x:v>
      </x:c>
      <x:c r="AB39" s="6" t="n">
        <x:f>ROUND(AA39*'Debt strategy'!$D$13/12,2)</x:f>
        <x:v>0</x:v>
      </x:c>
      <x:c r="AC39" s="6" t="n">
        <x:f>MIN(AA39+AB39,'Debt strategy'!$E$13)</x:f>
        <x:v>0</x:v>
      </x:c>
      <x:c r="AD39" s="27" t="n">
        <x:f>IF(AA39+AB39-AC39&lt;=0,99,1+SUM(IF(AND(C39+D39-E39&gt;0,OR('Debt strategy'!$D$9&gt;'Debt strategy'!$D$13,AND('Debt strategy'!$D$9='Debt strategy'!$D$13,0&lt;4))),1,0),IF(AND(I39+J39-K39&gt;0,OR('Debt strategy'!$D$10&gt;'Debt strategy'!$D$13,AND('Debt strategy'!$D$10='Debt strategy'!$D$13,1&lt;4))),1,0),IF(AND(O39+P39-Q39&gt;0,OR('Debt strategy'!$D$11&gt;'Debt strategy'!$D$13,AND('Debt strategy'!$D$11='Debt strategy'!$D$13,2&lt;4))),1,0),IF(AND(U39+V39-W39&gt;0,OR('Debt strategy'!$D$12&gt;'Debt strategy'!$D$13,AND('Debt strategy'!$D$12='Debt strategy'!$D$13,3&lt;4))),1,0)))</x:f>
        <x:v>99</x:v>
      </x:c>
      <x:c r="AE39" s="6" t="n">
        <x:f>IF('Debt strategy'!$C$16&gt;0,0,MIN(AA39+AB39-AC39,MAX(0,'Debt strategy'!$C$5-SUM(E39,K39,Q39,W39,AC39)-SUM(IF(F39&lt;AD39,C39+D39-E39,0),IF(L39&lt;AD39,I39+J39-K39,0),IF(R39&lt;AD39,O39+P39-Q39,0),IF(X39&lt;AD39,U39+V39-W39,0)))))</x:f>
        <x:v>0</x:v>
      </x:c>
      <x:c r="AF39" s="6" t="n">
        <x:f>ROUND(MAX(0,AA39+AB39-AC39-AE39),2)</x:f>
        <x:v>0</x:v>
      </x:c>
      <x:c r="AG39" s="6" t="n">
        <x:f>SUM(H39,N39,T39,Z39,AF39)</x:f>
        <x:v>0</x:v>
      </x:c>
      <x:c r="AH39" s="6" t="n">
        <x:f>SUM(D39,J39,P39,V39,AB39)+AH38</x:f>
        <x:v>1220.8400000000001</x:v>
      </x:c>
      <x:c r="AI39" s="2"/>
    </x:row>
    <x:row r="40" ht="23" customHeight="1">
      <x:c r="B40" s="2" t="n">
        <x:f>32</x:f>
        <x:v>32</x:v>
      </x:c>
      <x:c r="C40" s="6" t="n">
        <x:f>H39</x:f>
        <x:v>0</x:v>
      </x:c>
      <x:c r="D40" s="6" t="n">
        <x:f>ROUND(C40*'Debt strategy'!$D$9/12,2)</x:f>
        <x:v>0</x:v>
      </x:c>
      <x:c r="E40" s="6" t="n">
        <x:f>MIN(C40+D40,'Debt strategy'!$E$9)</x:f>
        <x:v>0</x:v>
      </x:c>
      <x:c r="F40" s="27" t="n">
        <x:f>IF(C40+D40-E40&lt;=0,99,1+SUM(IF(AND(I40+J40-K40&gt;0,OR('Debt strategy'!$D$10&gt;'Debt strategy'!$D$9,AND('Debt strategy'!$D$10='Debt strategy'!$D$9,1&lt;0))),1,0),IF(AND(O40+P40-Q40&gt;0,OR('Debt strategy'!$D$11&gt;'Debt strategy'!$D$9,AND('Debt strategy'!$D$11='Debt strategy'!$D$9,2&lt;0))),1,0),IF(AND(U40+V40-W40&gt;0,OR('Debt strategy'!$D$12&gt;'Debt strategy'!$D$9,AND('Debt strategy'!$D$12='Debt strategy'!$D$9,3&lt;0))),1,0),IF(AND(AA40+AB40-AC40&gt;0,OR('Debt strategy'!$D$13&gt;'Debt strategy'!$D$9,AND('Debt strategy'!$D$13='Debt strategy'!$D$9,4&lt;0))),1,0)))</x:f>
        <x:v>99</x:v>
      </x:c>
      <x:c r="G40" s="6" t="n">
        <x:f>IF('Debt strategy'!$C$16&gt;0,0,MIN(C40+D40-E40,MAX(0,'Debt strategy'!$C$5-SUM(E40,K40,Q40,W40,AC40)-SUM(IF(L40&lt;F40,I40+J40-K40,0),IF(R40&lt;F40,O40+P40-Q40,0),IF(X40&lt;F40,U40+V40-W40,0),IF(AD40&lt;F40,AA40+AB40-AC40,0)))))</x:f>
        <x:v>0</x:v>
      </x:c>
      <x:c r="H40" s="6" t="n">
        <x:f>ROUND(MAX(0,C40+D40-E40-G40),2)</x:f>
        <x:v>0</x:v>
      </x:c>
      <x:c r="I40" s="6" t="n">
        <x:f>N39</x:f>
        <x:v>0</x:v>
      </x:c>
      <x:c r="J40" s="6" t="n">
        <x:f>ROUND(I40*'Debt strategy'!$D$10/12,2)</x:f>
        <x:v>0</x:v>
      </x:c>
      <x:c r="K40" s="6" t="n">
        <x:f>MIN(I40+J40,'Debt strategy'!$E$10)</x:f>
        <x:v>0</x:v>
      </x:c>
      <x:c r="L40" s="27" t="n">
        <x:f>IF(I40+J40-K40&lt;=0,99,1+SUM(IF(AND(C40+D40-E40&gt;0,OR('Debt strategy'!$D$9&gt;'Debt strategy'!$D$10,AND('Debt strategy'!$D$9='Debt strategy'!$D$10,0&lt;1))),1,0),IF(AND(O40+P40-Q40&gt;0,OR('Debt strategy'!$D$11&gt;'Debt strategy'!$D$10,AND('Debt strategy'!$D$11='Debt strategy'!$D$10,2&lt;1))),1,0),IF(AND(U40+V40-W40&gt;0,OR('Debt strategy'!$D$12&gt;'Debt strategy'!$D$10,AND('Debt strategy'!$D$12='Debt strategy'!$D$10,3&lt;1))),1,0),IF(AND(AA40+AB40-AC40&gt;0,OR('Debt strategy'!$D$13&gt;'Debt strategy'!$D$10,AND('Debt strategy'!$D$13='Debt strategy'!$D$10,4&lt;1))),1,0)))</x:f>
        <x:v>99</x:v>
      </x:c>
      <x:c r="M40" s="6" t="n">
        <x:f>IF('Debt strategy'!$C$16&gt;0,0,MIN(I40+J40-K40,MAX(0,'Debt strategy'!$C$5-SUM(E40,K40,Q40,W40,AC40)-SUM(IF(F40&lt;L40,C40+D40-E40,0),IF(R40&lt;L40,O40+P40-Q40,0),IF(X40&lt;L40,U40+V40-W40,0),IF(AD40&lt;L40,AA40+AB40-AC40,0)))))</x:f>
        <x:v>0</x:v>
      </x:c>
      <x:c r="N40" s="6" t="n">
        <x:f>ROUND(MAX(0,I40+J40-K40-M40),2)</x:f>
        <x:v>0</x:v>
      </x:c>
      <x:c r="O40" s="6" t="n">
        <x:f>T39</x:f>
        <x:v>0</x:v>
      </x:c>
      <x:c r="P40" s="6" t="n">
        <x:f>ROUND(O40*'Debt strategy'!$D$11/12,2)</x:f>
        <x:v>0</x:v>
      </x:c>
      <x:c r="Q40" s="6" t="n">
        <x:f>MIN(O40+P40,'Debt strategy'!$E$11)</x:f>
        <x:v>0</x:v>
      </x:c>
      <x:c r="R40" s="27" t="n">
        <x:f>IF(O40+P40-Q40&lt;=0,99,1+SUM(IF(AND(C40+D40-E40&gt;0,OR('Debt strategy'!$D$9&gt;'Debt strategy'!$D$11,AND('Debt strategy'!$D$9='Debt strategy'!$D$11,0&lt;2))),1,0),IF(AND(I40+J40-K40&gt;0,OR('Debt strategy'!$D$10&gt;'Debt strategy'!$D$11,AND('Debt strategy'!$D$10='Debt strategy'!$D$11,1&lt;2))),1,0),IF(AND(U40+V40-W40&gt;0,OR('Debt strategy'!$D$12&gt;'Debt strategy'!$D$11,AND('Debt strategy'!$D$12='Debt strategy'!$D$11,3&lt;2))),1,0),IF(AND(AA40+AB40-AC40&gt;0,OR('Debt strategy'!$D$13&gt;'Debt strategy'!$D$11,AND('Debt strategy'!$D$13='Debt strategy'!$D$11,4&lt;2))),1,0)))</x:f>
        <x:v>99</x:v>
      </x:c>
      <x:c r="S40" s="6" t="n">
        <x:f>IF('Debt strategy'!$C$16&gt;0,0,MIN(O40+P40-Q40,MAX(0,'Debt strategy'!$C$5-SUM(E40,K40,Q40,W40,AC40)-SUM(IF(F40&lt;R40,C40+D40-E40,0),IF(L40&lt;R40,I40+J40-K40,0),IF(X40&lt;R40,U40+V40-W40,0),IF(AD40&lt;R40,AA40+AB40-AC40,0)))))</x:f>
        <x:v>0</x:v>
      </x:c>
      <x:c r="T40" s="6" t="n">
        <x:f>ROUND(MAX(0,O40+P40-Q40-S40),2)</x:f>
        <x:v>0</x:v>
      </x:c>
      <x:c r="U40" s="6" t="n">
        <x:f>Z39</x:f>
        <x:v>0</x:v>
      </x:c>
      <x:c r="V40" s="6" t="n">
        <x:f>ROUND(U40*'Debt strategy'!$D$12/12,2)</x:f>
        <x:v>0</x:v>
      </x:c>
      <x:c r="W40" s="6" t="n">
        <x:f>MIN(U40+V40,'Debt strategy'!$E$12)</x:f>
        <x:v>0</x:v>
      </x:c>
      <x:c r="X40" s="27" t="n">
        <x:f>IF(U40+V40-W40&lt;=0,99,1+SUM(IF(AND(C40+D40-E40&gt;0,OR('Debt strategy'!$D$9&gt;'Debt strategy'!$D$12,AND('Debt strategy'!$D$9='Debt strategy'!$D$12,0&lt;3))),1,0),IF(AND(I40+J40-K40&gt;0,OR('Debt strategy'!$D$10&gt;'Debt strategy'!$D$12,AND('Debt strategy'!$D$10='Debt strategy'!$D$12,1&lt;3))),1,0),IF(AND(O40+P40-Q40&gt;0,OR('Debt strategy'!$D$11&gt;'Debt strategy'!$D$12,AND('Debt strategy'!$D$11='Debt strategy'!$D$12,2&lt;3))),1,0),IF(AND(AA40+AB40-AC40&gt;0,OR('Debt strategy'!$D$13&gt;'Debt strategy'!$D$12,AND('Debt strategy'!$D$13='Debt strategy'!$D$12,4&lt;3))),1,0)))</x:f>
        <x:v>99</x:v>
      </x:c>
      <x:c r="Y40" s="6" t="n">
        <x:f>IF('Debt strategy'!$C$16&gt;0,0,MIN(U40+V40-W40,MAX(0,'Debt strategy'!$C$5-SUM(E40,K40,Q40,W40,AC40)-SUM(IF(F40&lt;X40,C40+D40-E40,0),IF(L40&lt;X40,I40+J40-K40,0),IF(R40&lt;X40,O40+P40-Q40,0),IF(AD40&lt;X40,AA40+AB40-AC40,0)))))</x:f>
        <x:v>0</x:v>
      </x:c>
      <x:c r="Z40" s="6" t="n">
        <x:f>ROUND(MAX(0,U40+V40-W40-Y40),2)</x:f>
        <x:v>0</x:v>
      </x:c>
      <x:c r="AA40" s="6" t="n">
        <x:f>AF39</x:f>
        <x:v>0</x:v>
      </x:c>
      <x:c r="AB40" s="6" t="n">
        <x:f>ROUND(AA40*'Debt strategy'!$D$13/12,2)</x:f>
        <x:v>0</x:v>
      </x:c>
      <x:c r="AC40" s="6" t="n">
        <x:f>MIN(AA40+AB40,'Debt strategy'!$E$13)</x:f>
        <x:v>0</x:v>
      </x:c>
      <x:c r="AD40" s="27" t="n">
        <x:f>IF(AA40+AB40-AC40&lt;=0,99,1+SUM(IF(AND(C40+D40-E40&gt;0,OR('Debt strategy'!$D$9&gt;'Debt strategy'!$D$13,AND('Debt strategy'!$D$9='Debt strategy'!$D$13,0&lt;4))),1,0),IF(AND(I40+J40-K40&gt;0,OR('Debt strategy'!$D$10&gt;'Debt strategy'!$D$13,AND('Debt strategy'!$D$10='Debt strategy'!$D$13,1&lt;4))),1,0),IF(AND(O40+P40-Q40&gt;0,OR('Debt strategy'!$D$11&gt;'Debt strategy'!$D$13,AND('Debt strategy'!$D$11='Debt strategy'!$D$13,2&lt;4))),1,0),IF(AND(U40+V40-W40&gt;0,OR('Debt strategy'!$D$12&gt;'Debt strategy'!$D$13,AND('Debt strategy'!$D$12='Debt strategy'!$D$13,3&lt;4))),1,0)))</x:f>
        <x:v>99</x:v>
      </x:c>
      <x:c r="AE40" s="6" t="n">
        <x:f>IF('Debt strategy'!$C$16&gt;0,0,MIN(AA40+AB40-AC40,MAX(0,'Debt strategy'!$C$5-SUM(E40,K40,Q40,W40,AC40)-SUM(IF(F40&lt;AD40,C40+D40-E40,0),IF(L40&lt;AD40,I40+J40-K40,0),IF(R40&lt;AD40,O40+P40-Q40,0),IF(X40&lt;AD40,U40+V40-W40,0)))))</x:f>
        <x:v>0</x:v>
      </x:c>
      <x:c r="AF40" s="6" t="n">
        <x:f>ROUND(MAX(0,AA40+AB40-AC40-AE40),2)</x:f>
        <x:v>0</x:v>
      </x:c>
      <x:c r="AG40" s="6" t="n">
        <x:f>SUM(H40,N40,T40,Z40,AF40)</x:f>
        <x:v>0</x:v>
      </x:c>
      <x:c r="AH40" s="6" t="n">
        <x:f>SUM(D40,J40,P40,V40,AB40)+AH39</x:f>
        <x:v>1220.8400000000001</x:v>
      </x:c>
      <x:c r="AI40" s="2"/>
    </x:row>
    <x:row r="41" ht="23" customHeight="1">
      <x:c r="B41" s="2" t="n">
        <x:f>33</x:f>
        <x:v>33</x:v>
      </x:c>
      <x:c r="C41" s="6" t="n">
        <x:f>H40</x:f>
        <x:v>0</x:v>
      </x:c>
      <x:c r="D41" s="6" t="n">
        <x:f>ROUND(C41*'Debt strategy'!$D$9/12,2)</x:f>
        <x:v>0</x:v>
      </x:c>
      <x:c r="E41" s="6" t="n">
        <x:f>MIN(C41+D41,'Debt strategy'!$E$9)</x:f>
        <x:v>0</x:v>
      </x:c>
      <x:c r="F41" s="27" t="n">
        <x:f>IF(C41+D41-E41&lt;=0,99,1+SUM(IF(AND(I41+J41-K41&gt;0,OR('Debt strategy'!$D$10&gt;'Debt strategy'!$D$9,AND('Debt strategy'!$D$10='Debt strategy'!$D$9,1&lt;0))),1,0),IF(AND(O41+P41-Q41&gt;0,OR('Debt strategy'!$D$11&gt;'Debt strategy'!$D$9,AND('Debt strategy'!$D$11='Debt strategy'!$D$9,2&lt;0))),1,0),IF(AND(U41+V41-W41&gt;0,OR('Debt strategy'!$D$12&gt;'Debt strategy'!$D$9,AND('Debt strategy'!$D$12='Debt strategy'!$D$9,3&lt;0))),1,0),IF(AND(AA41+AB41-AC41&gt;0,OR('Debt strategy'!$D$13&gt;'Debt strategy'!$D$9,AND('Debt strategy'!$D$13='Debt strategy'!$D$9,4&lt;0))),1,0)))</x:f>
        <x:v>99</x:v>
      </x:c>
      <x:c r="G41" s="6" t="n">
        <x:f>IF('Debt strategy'!$C$16&gt;0,0,MIN(C41+D41-E41,MAX(0,'Debt strategy'!$C$5-SUM(E41,K41,Q41,W41,AC41)-SUM(IF(L41&lt;F41,I41+J41-K41,0),IF(R41&lt;F41,O41+P41-Q41,0),IF(X41&lt;F41,U41+V41-W41,0),IF(AD41&lt;F41,AA41+AB41-AC41,0)))))</x:f>
        <x:v>0</x:v>
      </x:c>
      <x:c r="H41" s="6" t="n">
        <x:f>ROUND(MAX(0,C41+D41-E41-G41),2)</x:f>
        <x:v>0</x:v>
      </x:c>
      <x:c r="I41" s="6" t="n">
        <x:f>N40</x:f>
        <x:v>0</x:v>
      </x:c>
      <x:c r="J41" s="6" t="n">
        <x:f>ROUND(I41*'Debt strategy'!$D$10/12,2)</x:f>
        <x:v>0</x:v>
      </x:c>
      <x:c r="K41" s="6" t="n">
        <x:f>MIN(I41+J41,'Debt strategy'!$E$10)</x:f>
        <x:v>0</x:v>
      </x:c>
      <x:c r="L41" s="27" t="n">
        <x:f>IF(I41+J41-K41&lt;=0,99,1+SUM(IF(AND(C41+D41-E41&gt;0,OR('Debt strategy'!$D$9&gt;'Debt strategy'!$D$10,AND('Debt strategy'!$D$9='Debt strategy'!$D$10,0&lt;1))),1,0),IF(AND(O41+P41-Q41&gt;0,OR('Debt strategy'!$D$11&gt;'Debt strategy'!$D$10,AND('Debt strategy'!$D$11='Debt strategy'!$D$10,2&lt;1))),1,0),IF(AND(U41+V41-W41&gt;0,OR('Debt strategy'!$D$12&gt;'Debt strategy'!$D$10,AND('Debt strategy'!$D$12='Debt strategy'!$D$10,3&lt;1))),1,0),IF(AND(AA41+AB41-AC41&gt;0,OR('Debt strategy'!$D$13&gt;'Debt strategy'!$D$10,AND('Debt strategy'!$D$13='Debt strategy'!$D$10,4&lt;1))),1,0)))</x:f>
        <x:v>99</x:v>
      </x:c>
      <x:c r="M41" s="6" t="n">
        <x:f>IF('Debt strategy'!$C$16&gt;0,0,MIN(I41+J41-K41,MAX(0,'Debt strategy'!$C$5-SUM(E41,K41,Q41,W41,AC41)-SUM(IF(F41&lt;L41,C41+D41-E41,0),IF(R41&lt;L41,O41+P41-Q41,0),IF(X41&lt;L41,U41+V41-W41,0),IF(AD41&lt;L41,AA41+AB41-AC41,0)))))</x:f>
        <x:v>0</x:v>
      </x:c>
      <x:c r="N41" s="6" t="n">
        <x:f>ROUND(MAX(0,I41+J41-K41-M41),2)</x:f>
        <x:v>0</x:v>
      </x:c>
      <x:c r="O41" s="6" t="n">
        <x:f>T40</x:f>
        <x:v>0</x:v>
      </x:c>
      <x:c r="P41" s="6" t="n">
        <x:f>ROUND(O41*'Debt strategy'!$D$11/12,2)</x:f>
        <x:v>0</x:v>
      </x:c>
      <x:c r="Q41" s="6" t="n">
        <x:f>MIN(O41+P41,'Debt strategy'!$E$11)</x:f>
        <x:v>0</x:v>
      </x:c>
      <x:c r="R41" s="27" t="n">
        <x:f>IF(O41+P41-Q41&lt;=0,99,1+SUM(IF(AND(C41+D41-E41&gt;0,OR('Debt strategy'!$D$9&gt;'Debt strategy'!$D$11,AND('Debt strategy'!$D$9='Debt strategy'!$D$11,0&lt;2))),1,0),IF(AND(I41+J41-K41&gt;0,OR('Debt strategy'!$D$10&gt;'Debt strategy'!$D$11,AND('Debt strategy'!$D$10='Debt strategy'!$D$11,1&lt;2))),1,0),IF(AND(U41+V41-W41&gt;0,OR('Debt strategy'!$D$12&gt;'Debt strategy'!$D$11,AND('Debt strategy'!$D$12='Debt strategy'!$D$11,3&lt;2))),1,0),IF(AND(AA41+AB41-AC41&gt;0,OR('Debt strategy'!$D$13&gt;'Debt strategy'!$D$11,AND('Debt strategy'!$D$13='Debt strategy'!$D$11,4&lt;2))),1,0)))</x:f>
        <x:v>99</x:v>
      </x:c>
      <x:c r="S41" s="6" t="n">
        <x:f>IF('Debt strategy'!$C$16&gt;0,0,MIN(O41+P41-Q41,MAX(0,'Debt strategy'!$C$5-SUM(E41,K41,Q41,W41,AC41)-SUM(IF(F41&lt;R41,C41+D41-E41,0),IF(L41&lt;R41,I41+J41-K41,0),IF(X41&lt;R41,U41+V41-W41,0),IF(AD41&lt;R41,AA41+AB41-AC41,0)))))</x:f>
        <x:v>0</x:v>
      </x:c>
      <x:c r="T41" s="6" t="n">
        <x:f>ROUND(MAX(0,O41+P41-Q41-S41),2)</x:f>
        <x:v>0</x:v>
      </x:c>
      <x:c r="U41" s="6" t="n">
        <x:f>Z40</x:f>
        <x:v>0</x:v>
      </x:c>
      <x:c r="V41" s="6" t="n">
        <x:f>ROUND(U41*'Debt strategy'!$D$12/12,2)</x:f>
        <x:v>0</x:v>
      </x:c>
      <x:c r="W41" s="6" t="n">
        <x:f>MIN(U41+V41,'Debt strategy'!$E$12)</x:f>
        <x:v>0</x:v>
      </x:c>
      <x:c r="X41" s="27" t="n">
        <x:f>IF(U41+V41-W41&lt;=0,99,1+SUM(IF(AND(C41+D41-E41&gt;0,OR('Debt strategy'!$D$9&gt;'Debt strategy'!$D$12,AND('Debt strategy'!$D$9='Debt strategy'!$D$12,0&lt;3))),1,0),IF(AND(I41+J41-K41&gt;0,OR('Debt strategy'!$D$10&gt;'Debt strategy'!$D$12,AND('Debt strategy'!$D$10='Debt strategy'!$D$12,1&lt;3))),1,0),IF(AND(O41+P41-Q41&gt;0,OR('Debt strategy'!$D$11&gt;'Debt strategy'!$D$12,AND('Debt strategy'!$D$11='Debt strategy'!$D$12,2&lt;3))),1,0),IF(AND(AA41+AB41-AC41&gt;0,OR('Debt strategy'!$D$13&gt;'Debt strategy'!$D$12,AND('Debt strategy'!$D$13='Debt strategy'!$D$12,4&lt;3))),1,0)))</x:f>
        <x:v>99</x:v>
      </x:c>
      <x:c r="Y41" s="6" t="n">
        <x:f>IF('Debt strategy'!$C$16&gt;0,0,MIN(U41+V41-W41,MAX(0,'Debt strategy'!$C$5-SUM(E41,K41,Q41,W41,AC41)-SUM(IF(F41&lt;X41,C41+D41-E41,0),IF(L41&lt;X41,I41+J41-K41,0),IF(R41&lt;X41,O41+P41-Q41,0),IF(AD41&lt;X41,AA41+AB41-AC41,0)))))</x:f>
        <x:v>0</x:v>
      </x:c>
      <x:c r="Z41" s="6" t="n">
        <x:f>ROUND(MAX(0,U41+V41-W41-Y41),2)</x:f>
        <x:v>0</x:v>
      </x:c>
      <x:c r="AA41" s="6" t="n">
        <x:f>AF40</x:f>
        <x:v>0</x:v>
      </x:c>
      <x:c r="AB41" s="6" t="n">
        <x:f>ROUND(AA41*'Debt strategy'!$D$13/12,2)</x:f>
        <x:v>0</x:v>
      </x:c>
      <x:c r="AC41" s="6" t="n">
        <x:f>MIN(AA41+AB41,'Debt strategy'!$E$13)</x:f>
        <x:v>0</x:v>
      </x:c>
      <x:c r="AD41" s="27" t="n">
        <x:f>IF(AA41+AB41-AC41&lt;=0,99,1+SUM(IF(AND(C41+D41-E41&gt;0,OR('Debt strategy'!$D$9&gt;'Debt strategy'!$D$13,AND('Debt strategy'!$D$9='Debt strategy'!$D$13,0&lt;4))),1,0),IF(AND(I41+J41-K41&gt;0,OR('Debt strategy'!$D$10&gt;'Debt strategy'!$D$13,AND('Debt strategy'!$D$10='Debt strategy'!$D$13,1&lt;4))),1,0),IF(AND(O41+P41-Q41&gt;0,OR('Debt strategy'!$D$11&gt;'Debt strategy'!$D$13,AND('Debt strategy'!$D$11='Debt strategy'!$D$13,2&lt;4))),1,0),IF(AND(U41+V41-W41&gt;0,OR('Debt strategy'!$D$12&gt;'Debt strategy'!$D$13,AND('Debt strategy'!$D$12='Debt strategy'!$D$13,3&lt;4))),1,0)))</x:f>
        <x:v>99</x:v>
      </x:c>
      <x:c r="AE41" s="6" t="n">
        <x:f>IF('Debt strategy'!$C$16&gt;0,0,MIN(AA41+AB41-AC41,MAX(0,'Debt strategy'!$C$5-SUM(E41,K41,Q41,W41,AC41)-SUM(IF(F41&lt;AD41,C41+D41-E41,0),IF(L41&lt;AD41,I41+J41-K41,0),IF(R41&lt;AD41,O41+P41-Q41,0),IF(X41&lt;AD41,U41+V41-W41,0)))))</x:f>
        <x:v>0</x:v>
      </x:c>
      <x:c r="AF41" s="6" t="n">
        <x:f>ROUND(MAX(0,AA41+AB41-AC41-AE41),2)</x:f>
        <x:v>0</x:v>
      </x:c>
      <x:c r="AG41" s="6" t="n">
        <x:f>SUM(H41,N41,T41,Z41,AF41)</x:f>
        <x:v>0</x:v>
      </x:c>
      <x:c r="AH41" s="6" t="n">
        <x:f>SUM(D41,J41,P41,V41,AB41)+AH40</x:f>
        <x:v>1220.8400000000001</x:v>
      </x:c>
      <x:c r="AI41" s="2"/>
    </x:row>
    <x:row r="42" ht="23" customHeight="1">
      <x:c r="B42" s="2" t="n">
        <x:f>34</x:f>
        <x:v>34</x:v>
      </x:c>
      <x:c r="C42" s="6" t="n">
        <x:f>H41</x:f>
        <x:v>0</x:v>
      </x:c>
      <x:c r="D42" s="6" t="n">
        <x:f>ROUND(C42*'Debt strategy'!$D$9/12,2)</x:f>
        <x:v>0</x:v>
      </x:c>
      <x:c r="E42" s="6" t="n">
        <x:f>MIN(C42+D42,'Debt strategy'!$E$9)</x:f>
        <x:v>0</x:v>
      </x:c>
      <x:c r="F42" s="27" t="n">
        <x:f>IF(C42+D42-E42&lt;=0,99,1+SUM(IF(AND(I42+J42-K42&gt;0,OR('Debt strategy'!$D$10&gt;'Debt strategy'!$D$9,AND('Debt strategy'!$D$10='Debt strategy'!$D$9,1&lt;0))),1,0),IF(AND(O42+P42-Q42&gt;0,OR('Debt strategy'!$D$11&gt;'Debt strategy'!$D$9,AND('Debt strategy'!$D$11='Debt strategy'!$D$9,2&lt;0))),1,0),IF(AND(U42+V42-W42&gt;0,OR('Debt strategy'!$D$12&gt;'Debt strategy'!$D$9,AND('Debt strategy'!$D$12='Debt strategy'!$D$9,3&lt;0))),1,0),IF(AND(AA42+AB42-AC42&gt;0,OR('Debt strategy'!$D$13&gt;'Debt strategy'!$D$9,AND('Debt strategy'!$D$13='Debt strategy'!$D$9,4&lt;0))),1,0)))</x:f>
        <x:v>99</x:v>
      </x:c>
      <x:c r="G42" s="6" t="n">
        <x:f>IF('Debt strategy'!$C$16&gt;0,0,MIN(C42+D42-E42,MAX(0,'Debt strategy'!$C$5-SUM(E42,K42,Q42,W42,AC42)-SUM(IF(L42&lt;F42,I42+J42-K42,0),IF(R42&lt;F42,O42+P42-Q42,0),IF(X42&lt;F42,U42+V42-W42,0),IF(AD42&lt;F42,AA42+AB42-AC42,0)))))</x:f>
        <x:v>0</x:v>
      </x:c>
      <x:c r="H42" s="6" t="n">
        <x:f>ROUND(MAX(0,C42+D42-E42-G42),2)</x:f>
        <x:v>0</x:v>
      </x:c>
      <x:c r="I42" s="6" t="n">
        <x:f>N41</x:f>
        <x:v>0</x:v>
      </x:c>
      <x:c r="J42" s="6" t="n">
        <x:f>ROUND(I42*'Debt strategy'!$D$10/12,2)</x:f>
        <x:v>0</x:v>
      </x:c>
      <x:c r="K42" s="6" t="n">
        <x:f>MIN(I42+J42,'Debt strategy'!$E$10)</x:f>
        <x:v>0</x:v>
      </x:c>
      <x:c r="L42" s="27" t="n">
        <x:f>IF(I42+J42-K42&lt;=0,99,1+SUM(IF(AND(C42+D42-E42&gt;0,OR('Debt strategy'!$D$9&gt;'Debt strategy'!$D$10,AND('Debt strategy'!$D$9='Debt strategy'!$D$10,0&lt;1))),1,0),IF(AND(O42+P42-Q42&gt;0,OR('Debt strategy'!$D$11&gt;'Debt strategy'!$D$10,AND('Debt strategy'!$D$11='Debt strategy'!$D$10,2&lt;1))),1,0),IF(AND(U42+V42-W42&gt;0,OR('Debt strategy'!$D$12&gt;'Debt strategy'!$D$10,AND('Debt strategy'!$D$12='Debt strategy'!$D$10,3&lt;1))),1,0),IF(AND(AA42+AB42-AC42&gt;0,OR('Debt strategy'!$D$13&gt;'Debt strategy'!$D$10,AND('Debt strategy'!$D$13='Debt strategy'!$D$10,4&lt;1))),1,0)))</x:f>
        <x:v>99</x:v>
      </x:c>
      <x:c r="M42" s="6" t="n">
        <x:f>IF('Debt strategy'!$C$16&gt;0,0,MIN(I42+J42-K42,MAX(0,'Debt strategy'!$C$5-SUM(E42,K42,Q42,W42,AC42)-SUM(IF(F42&lt;L42,C42+D42-E42,0),IF(R42&lt;L42,O42+P42-Q42,0),IF(X42&lt;L42,U42+V42-W42,0),IF(AD42&lt;L42,AA42+AB42-AC42,0)))))</x:f>
        <x:v>0</x:v>
      </x:c>
      <x:c r="N42" s="6" t="n">
        <x:f>ROUND(MAX(0,I42+J42-K42-M42),2)</x:f>
        <x:v>0</x:v>
      </x:c>
      <x:c r="O42" s="6" t="n">
        <x:f>T41</x:f>
        <x:v>0</x:v>
      </x:c>
      <x:c r="P42" s="6" t="n">
        <x:f>ROUND(O42*'Debt strategy'!$D$11/12,2)</x:f>
        <x:v>0</x:v>
      </x:c>
      <x:c r="Q42" s="6" t="n">
        <x:f>MIN(O42+P42,'Debt strategy'!$E$11)</x:f>
        <x:v>0</x:v>
      </x:c>
      <x:c r="R42" s="27" t="n">
        <x:f>IF(O42+P42-Q42&lt;=0,99,1+SUM(IF(AND(C42+D42-E42&gt;0,OR('Debt strategy'!$D$9&gt;'Debt strategy'!$D$11,AND('Debt strategy'!$D$9='Debt strategy'!$D$11,0&lt;2))),1,0),IF(AND(I42+J42-K42&gt;0,OR('Debt strategy'!$D$10&gt;'Debt strategy'!$D$11,AND('Debt strategy'!$D$10='Debt strategy'!$D$11,1&lt;2))),1,0),IF(AND(U42+V42-W42&gt;0,OR('Debt strategy'!$D$12&gt;'Debt strategy'!$D$11,AND('Debt strategy'!$D$12='Debt strategy'!$D$11,3&lt;2))),1,0),IF(AND(AA42+AB42-AC42&gt;0,OR('Debt strategy'!$D$13&gt;'Debt strategy'!$D$11,AND('Debt strategy'!$D$13='Debt strategy'!$D$11,4&lt;2))),1,0)))</x:f>
        <x:v>99</x:v>
      </x:c>
      <x:c r="S42" s="6" t="n">
        <x:f>IF('Debt strategy'!$C$16&gt;0,0,MIN(O42+P42-Q42,MAX(0,'Debt strategy'!$C$5-SUM(E42,K42,Q42,W42,AC42)-SUM(IF(F42&lt;R42,C42+D42-E42,0),IF(L42&lt;R42,I42+J42-K42,0),IF(X42&lt;R42,U42+V42-W42,0),IF(AD42&lt;R42,AA42+AB42-AC42,0)))))</x:f>
        <x:v>0</x:v>
      </x:c>
      <x:c r="T42" s="6" t="n">
        <x:f>ROUND(MAX(0,O42+P42-Q42-S42),2)</x:f>
        <x:v>0</x:v>
      </x:c>
      <x:c r="U42" s="6" t="n">
        <x:f>Z41</x:f>
        <x:v>0</x:v>
      </x:c>
      <x:c r="V42" s="6" t="n">
        <x:f>ROUND(U42*'Debt strategy'!$D$12/12,2)</x:f>
        <x:v>0</x:v>
      </x:c>
      <x:c r="W42" s="6" t="n">
        <x:f>MIN(U42+V42,'Debt strategy'!$E$12)</x:f>
        <x:v>0</x:v>
      </x:c>
      <x:c r="X42" s="27" t="n">
        <x:f>IF(U42+V42-W42&lt;=0,99,1+SUM(IF(AND(C42+D42-E42&gt;0,OR('Debt strategy'!$D$9&gt;'Debt strategy'!$D$12,AND('Debt strategy'!$D$9='Debt strategy'!$D$12,0&lt;3))),1,0),IF(AND(I42+J42-K42&gt;0,OR('Debt strategy'!$D$10&gt;'Debt strategy'!$D$12,AND('Debt strategy'!$D$10='Debt strategy'!$D$12,1&lt;3))),1,0),IF(AND(O42+P42-Q42&gt;0,OR('Debt strategy'!$D$11&gt;'Debt strategy'!$D$12,AND('Debt strategy'!$D$11='Debt strategy'!$D$12,2&lt;3))),1,0),IF(AND(AA42+AB42-AC42&gt;0,OR('Debt strategy'!$D$13&gt;'Debt strategy'!$D$12,AND('Debt strategy'!$D$13='Debt strategy'!$D$12,4&lt;3))),1,0)))</x:f>
        <x:v>99</x:v>
      </x:c>
      <x:c r="Y42" s="6" t="n">
        <x:f>IF('Debt strategy'!$C$16&gt;0,0,MIN(U42+V42-W42,MAX(0,'Debt strategy'!$C$5-SUM(E42,K42,Q42,W42,AC42)-SUM(IF(F42&lt;X42,C42+D42-E42,0),IF(L42&lt;X42,I42+J42-K42,0),IF(R42&lt;X42,O42+P42-Q42,0),IF(AD42&lt;X42,AA42+AB42-AC42,0)))))</x:f>
        <x:v>0</x:v>
      </x:c>
      <x:c r="Z42" s="6" t="n">
        <x:f>ROUND(MAX(0,U42+V42-W42-Y42),2)</x:f>
        <x:v>0</x:v>
      </x:c>
      <x:c r="AA42" s="6" t="n">
        <x:f>AF41</x:f>
        <x:v>0</x:v>
      </x:c>
      <x:c r="AB42" s="6" t="n">
        <x:f>ROUND(AA42*'Debt strategy'!$D$13/12,2)</x:f>
        <x:v>0</x:v>
      </x:c>
      <x:c r="AC42" s="6" t="n">
        <x:f>MIN(AA42+AB42,'Debt strategy'!$E$13)</x:f>
        <x:v>0</x:v>
      </x:c>
      <x:c r="AD42" s="27" t="n">
        <x:f>IF(AA42+AB42-AC42&lt;=0,99,1+SUM(IF(AND(C42+D42-E42&gt;0,OR('Debt strategy'!$D$9&gt;'Debt strategy'!$D$13,AND('Debt strategy'!$D$9='Debt strategy'!$D$13,0&lt;4))),1,0),IF(AND(I42+J42-K42&gt;0,OR('Debt strategy'!$D$10&gt;'Debt strategy'!$D$13,AND('Debt strategy'!$D$10='Debt strategy'!$D$13,1&lt;4))),1,0),IF(AND(O42+P42-Q42&gt;0,OR('Debt strategy'!$D$11&gt;'Debt strategy'!$D$13,AND('Debt strategy'!$D$11='Debt strategy'!$D$13,2&lt;4))),1,0),IF(AND(U42+V42-W42&gt;0,OR('Debt strategy'!$D$12&gt;'Debt strategy'!$D$13,AND('Debt strategy'!$D$12='Debt strategy'!$D$13,3&lt;4))),1,0)))</x:f>
        <x:v>99</x:v>
      </x:c>
      <x:c r="AE42" s="6" t="n">
        <x:f>IF('Debt strategy'!$C$16&gt;0,0,MIN(AA42+AB42-AC42,MAX(0,'Debt strategy'!$C$5-SUM(E42,K42,Q42,W42,AC42)-SUM(IF(F42&lt;AD42,C42+D42-E42,0),IF(L42&lt;AD42,I42+J42-K42,0),IF(R42&lt;AD42,O42+P42-Q42,0),IF(X42&lt;AD42,U42+V42-W42,0)))))</x:f>
        <x:v>0</x:v>
      </x:c>
      <x:c r="AF42" s="6" t="n">
        <x:f>ROUND(MAX(0,AA42+AB42-AC42-AE42),2)</x:f>
        <x:v>0</x:v>
      </x:c>
      <x:c r="AG42" s="6" t="n">
        <x:f>SUM(H42,N42,T42,Z42,AF42)</x:f>
        <x:v>0</x:v>
      </x:c>
      <x:c r="AH42" s="6" t="n">
        <x:f>SUM(D42,J42,P42,V42,AB42)+AH41</x:f>
        <x:v>1220.8400000000001</x:v>
      </x:c>
      <x:c r="AI42" s="2"/>
    </x:row>
    <x:row r="43" ht="23" customHeight="1">
      <x:c r="B43" s="2" t="n">
        <x:f>35</x:f>
        <x:v>35</x:v>
      </x:c>
      <x:c r="C43" s="6" t="n">
        <x:f>H42</x:f>
        <x:v>0</x:v>
      </x:c>
      <x:c r="D43" s="6" t="n">
        <x:f>ROUND(C43*'Debt strategy'!$D$9/12,2)</x:f>
        <x:v>0</x:v>
      </x:c>
      <x:c r="E43" s="6" t="n">
        <x:f>MIN(C43+D43,'Debt strategy'!$E$9)</x:f>
        <x:v>0</x:v>
      </x:c>
      <x:c r="F43" s="27" t="n">
        <x:f>IF(C43+D43-E43&lt;=0,99,1+SUM(IF(AND(I43+J43-K43&gt;0,OR('Debt strategy'!$D$10&gt;'Debt strategy'!$D$9,AND('Debt strategy'!$D$10='Debt strategy'!$D$9,1&lt;0))),1,0),IF(AND(O43+P43-Q43&gt;0,OR('Debt strategy'!$D$11&gt;'Debt strategy'!$D$9,AND('Debt strategy'!$D$11='Debt strategy'!$D$9,2&lt;0))),1,0),IF(AND(U43+V43-W43&gt;0,OR('Debt strategy'!$D$12&gt;'Debt strategy'!$D$9,AND('Debt strategy'!$D$12='Debt strategy'!$D$9,3&lt;0))),1,0),IF(AND(AA43+AB43-AC43&gt;0,OR('Debt strategy'!$D$13&gt;'Debt strategy'!$D$9,AND('Debt strategy'!$D$13='Debt strategy'!$D$9,4&lt;0))),1,0)))</x:f>
        <x:v>99</x:v>
      </x:c>
      <x:c r="G43" s="6" t="n">
        <x:f>IF('Debt strategy'!$C$16&gt;0,0,MIN(C43+D43-E43,MAX(0,'Debt strategy'!$C$5-SUM(E43,K43,Q43,W43,AC43)-SUM(IF(L43&lt;F43,I43+J43-K43,0),IF(R43&lt;F43,O43+P43-Q43,0),IF(X43&lt;F43,U43+V43-W43,0),IF(AD43&lt;F43,AA43+AB43-AC43,0)))))</x:f>
        <x:v>0</x:v>
      </x:c>
      <x:c r="H43" s="6" t="n">
        <x:f>ROUND(MAX(0,C43+D43-E43-G43),2)</x:f>
        <x:v>0</x:v>
      </x:c>
      <x:c r="I43" s="6" t="n">
        <x:f>N42</x:f>
        <x:v>0</x:v>
      </x:c>
      <x:c r="J43" s="6" t="n">
        <x:f>ROUND(I43*'Debt strategy'!$D$10/12,2)</x:f>
        <x:v>0</x:v>
      </x:c>
      <x:c r="K43" s="6" t="n">
        <x:f>MIN(I43+J43,'Debt strategy'!$E$10)</x:f>
        <x:v>0</x:v>
      </x:c>
      <x:c r="L43" s="27" t="n">
        <x:f>IF(I43+J43-K43&lt;=0,99,1+SUM(IF(AND(C43+D43-E43&gt;0,OR('Debt strategy'!$D$9&gt;'Debt strategy'!$D$10,AND('Debt strategy'!$D$9='Debt strategy'!$D$10,0&lt;1))),1,0),IF(AND(O43+P43-Q43&gt;0,OR('Debt strategy'!$D$11&gt;'Debt strategy'!$D$10,AND('Debt strategy'!$D$11='Debt strategy'!$D$10,2&lt;1))),1,0),IF(AND(U43+V43-W43&gt;0,OR('Debt strategy'!$D$12&gt;'Debt strategy'!$D$10,AND('Debt strategy'!$D$12='Debt strategy'!$D$10,3&lt;1))),1,0),IF(AND(AA43+AB43-AC43&gt;0,OR('Debt strategy'!$D$13&gt;'Debt strategy'!$D$10,AND('Debt strategy'!$D$13='Debt strategy'!$D$10,4&lt;1))),1,0)))</x:f>
        <x:v>99</x:v>
      </x:c>
      <x:c r="M43" s="6" t="n">
        <x:f>IF('Debt strategy'!$C$16&gt;0,0,MIN(I43+J43-K43,MAX(0,'Debt strategy'!$C$5-SUM(E43,K43,Q43,W43,AC43)-SUM(IF(F43&lt;L43,C43+D43-E43,0),IF(R43&lt;L43,O43+P43-Q43,0),IF(X43&lt;L43,U43+V43-W43,0),IF(AD43&lt;L43,AA43+AB43-AC43,0)))))</x:f>
        <x:v>0</x:v>
      </x:c>
      <x:c r="N43" s="6" t="n">
        <x:f>ROUND(MAX(0,I43+J43-K43-M43),2)</x:f>
        <x:v>0</x:v>
      </x:c>
      <x:c r="O43" s="6" t="n">
        <x:f>T42</x:f>
        <x:v>0</x:v>
      </x:c>
      <x:c r="P43" s="6" t="n">
        <x:f>ROUND(O43*'Debt strategy'!$D$11/12,2)</x:f>
        <x:v>0</x:v>
      </x:c>
      <x:c r="Q43" s="6" t="n">
        <x:f>MIN(O43+P43,'Debt strategy'!$E$11)</x:f>
        <x:v>0</x:v>
      </x:c>
      <x:c r="R43" s="27" t="n">
        <x:f>IF(O43+P43-Q43&lt;=0,99,1+SUM(IF(AND(C43+D43-E43&gt;0,OR('Debt strategy'!$D$9&gt;'Debt strategy'!$D$11,AND('Debt strategy'!$D$9='Debt strategy'!$D$11,0&lt;2))),1,0),IF(AND(I43+J43-K43&gt;0,OR('Debt strategy'!$D$10&gt;'Debt strategy'!$D$11,AND('Debt strategy'!$D$10='Debt strategy'!$D$11,1&lt;2))),1,0),IF(AND(U43+V43-W43&gt;0,OR('Debt strategy'!$D$12&gt;'Debt strategy'!$D$11,AND('Debt strategy'!$D$12='Debt strategy'!$D$11,3&lt;2))),1,0),IF(AND(AA43+AB43-AC43&gt;0,OR('Debt strategy'!$D$13&gt;'Debt strategy'!$D$11,AND('Debt strategy'!$D$13='Debt strategy'!$D$11,4&lt;2))),1,0)))</x:f>
        <x:v>99</x:v>
      </x:c>
      <x:c r="S43" s="6" t="n">
        <x:f>IF('Debt strategy'!$C$16&gt;0,0,MIN(O43+P43-Q43,MAX(0,'Debt strategy'!$C$5-SUM(E43,K43,Q43,W43,AC43)-SUM(IF(F43&lt;R43,C43+D43-E43,0),IF(L43&lt;R43,I43+J43-K43,0),IF(X43&lt;R43,U43+V43-W43,0),IF(AD43&lt;R43,AA43+AB43-AC43,0)))))</x:f>
        <x:v>0</x:v>
      </x:c>
      <x:c r="T43" s="6" t="n">
        <x:f>ROUND(MAX(0,O43+P43-Q43-S43),2)</x:f>
        <x:v>0</x:v>
      </x:c>
      <x:c r="U43" s="6" t="n">
        <x:f>Z42</x:f>
        <x:v>0</x:v>
      </x:c>
      <x:c r="V43" s="6" t="n">
        <x:f>ROUND(U43*'Debt strategy'!$D$12/12,2)</x:f>
        <x:v>0</x:v>
      </x:c>
      <x:c r="W43" s="6" t="n">
        <x:f>MIN(U43+V43,'Debt strategy'!$E$12)</x:f>
        <x:v>0</x:v>
      </x:c>
      <x:c r="X43" s="27" t="n">
        <x:f>IF(U43+V43-W43&lt;=0,99,1+SUM(IF(AND(C43+D43-E43&gt;0,OR('Debt strategy'!$D$9&gt;'Debt strategy'!$D$12,AND('Debt strategy'!$D$9='Debt strategy'!$D$12,0&lt;3))),1,0),IF(AND(I43+J43-K43&gt;0,OR('Debt strategy'!$D$10&gt;'Debt strategy'!$D$12,AND('Debt strategy'!$D$10='Debt strategy'!$D$12,1&lt;3))),1,0),IF(AND(O43+P43-Q43&gt;0,OR('Debt strategy'!$D$11&gt;'Debt strategy'!$D$12,AND('Debt strategy'!$D$11='Debt strategy'!$D$12,2&lt;3))),1,0),IF(AND(AA43+AB43-AC43&gt;0,OR('Debt strategy'!$D$13&gt;'Debt strategy'!$D$12,AND('Debt strategy'!$D$13='Debt strategy'!$D$12,4&lt;3))),1,0)))</x:f>
        <x:v>99</x:v>
      </x:c>
      <x:c r="Y43" s="6" t="n">
        <x:f>IF('Debt strategy'!$C$16&gt;0,0,MIN(U43+V43-W43,MAX(0,'Debt strategy'!$C$5-SUM(E43,K43,Q43,W43,AC43)-SUM(IF(F43&lt;X43,C43+D43-E43,0),IF(L43&lt;X43,I43+J43-K43,0),IF(R43&lt;X43,O43+P43-Q43,0),IF(AD43&lt;X43,AA43+AB43-AC43,0)))))</x:f>
        <x:v>0</x:v>
      </x:c>
      <x:c r="Z43" s="6" t="n">
        <x:f>ROUND(MAX(0,U43+V43-W43-Y43),2)</x:f>
        <x:v>0</x:v>
      </x:c>
      <x:c r="AA43" s="6" t="n">
        <x:f>AF42</x:f>
        <x:v>0</x:v>
      </x:c>
      <x:c r="AB43" s="6" t="n">
        <x:f>ROUND(AA43*'Debt strategy'!$D$13/12,2)</x:f>
        <x:v>0</x:v>
      </x:c>
      <x:c r="AC43" s="6" t="n">
        <x:f>MIN(AA43+AB43,'Debt strategy'!$E$13)</x:f>
        <x:v>0</x:v>
      </x:c>
      <x:c r="AD43" s="27" t="n">
        <x:f>IF(AA43+AB43-AC43&lt;=0,99,1+SUM(IF(AND(C43+D43-E43&gt;0,OR('Debt strategy'!$D$9&gt;'Debt strategy'!$D$13,AND('Debt strategy'!$D$9='Debt strategy'!$D$13,0&lt;4))),1,0),IF(AND(I43+J43-K43&gt;0,OR('Debt strategy'!$D$10&gt;'Debt strategy'!$D$13,AND('Debt strategy'!$D$10='Debt strategy'!$D$13,1&lt;4))),1,0),IF(AND(O43+P43-Q43&gt;0,OR('Debt strategy'!$D$11&gt;'Debt strategy'!$D$13,AND('Debt strategy'!$D$11='Debt strategy'!$D$13,2&lt;4))),1,0),IF(AND(U43+V43-W43&gt;0,OR('Debt strategy'!$D$12&gt;'Debt strategy'!$D$13,AND('Debt strategy'!$D$12='Debt strategy'!$D$13,3&lt;4))),1,0)))</x:f>
        <x:v>99</x:v>
      </x:c>
      <x:c r="AE43" s="6" t="n">
        <x:f>IF('Debt strategy'!$C$16&gt;0,0,MIN(AA43+AB43-AC43,MAX(0,'Debt strategy'!$C$5-SUM(E43,K43,Q43,W43,AC43)-SUM(IF(F43&lt;AD43,C43+D43-E43,0),IF(L43&lt;AD43,I43+J43-K43,0),IF(R43&lt;AD43,O43+P43-Q43,0),IF(X43&lt;AD43,U43+V43-W43,0)))))</x:f>
        <x:v>0</x:v>
      </x:c>
      <x:c r="AF43" s="6" t="n">
        <x:f>ROUND(MAX(0,AA43+AB43-AC43-AE43),2)</x:f>
        <x:v>0</x:v>
      </x:c>
      <x:c r="AG43" s="6" t="n">
        <x:f>SUM(H43,N43,T43,Z43,AF43)</x:f>
        <x:v>0</x:v>
      </x:c>
      <x:c r="AH43" s="6" t="n">
        <x:f>SUM(D43,J43,P43,V43,AB43)+AH42</x:f>
        <x:v>1220.8400000000001</x:v>
      </x:c>
      <x:c r="AI43" s="2"/>
    </x:row>
    <x:row r="44" ht="23" customHeight="1">
      <x:c r="B44" s="2" t="n">
        <x:f>36</x:f>
        <x:v>36</x:v>
      </x:c>
      <x:c r="C44" s="6" t="n">
        <x:f>H43</x:f>
        <x:v>0</x:v>
      </x:c>
      <x:c r="D44" s="6" t="n">
        <x:f>ROUND(C44*'Debt strategy'!$D$9/12,2)</x:f>
        <x:v>0</x:v>
      </x:c>
      <x:c r="E44" s="6" t="n">
        <x:f>MIN(C44+D44,'Debt strategy'!$E$9)</x:f>
        <x:v>0</x:v>
      </x:c>
      <x:c r="F44" s="27" t="n">
        <x:f>IF(C44+D44-E44&lt;=0,99,1+SUM(IF(AND(I44+J44-K44&gt;0,OR('Debt strategy'!$D$10&gt;'Debt strategy'!$D$9,AND('Debt strategy'!$D$10='Debt strategy'!$D$9,1&lt;0))),1,0),IF(AND(O44+P44-Q44&gt;0,OR('Debt strategy'!$D$11&gt;'Debt strategy'!$D$9,AND('Debt strategy'!$D$11='Debt strategy'!$D$9,2&lt;0))),1,0),IF(AND(U44+V44-W44&gt;0,OR('Debt strategy'!$D$12&gt;'Debt strategy'!$D$9,AND('Debt strategy'!$D$12='Debt strategy'!$D$9,3&lt;0))),1,0),IF(AND(AA44+AB44-AC44&gt;0,OR('Debt strategy'!$D$13&gt;'Debt strategy'!$D$9,AND('Debt strategy'!$D$13='Debt strategy'!$D$9,4&lt;0))),1,0)))</x:f>
        <x:v>99</x:v>
      </x:c>
      <x:c r="G44" s="6" t="n">
        <x:f>IF('Debt strategy'!$C$16&gt;0,0,MIN(C44+D44-E44,MAX(0,'Debt strategy'!$C$5-SUM(E44,K44,Q44,W44,AC44)-SUM(IF(L44&lt;F44,I44+J44-K44,0),IF(R44&lt;F44,O44+P44-Q44,0),IF(X44&lt;F44,U44+V44-W44,0),IF(AD44&lt;F44,AA44+AB44-AC44,0)))))</x:f>
        <x:v>0</x:v>
      </x:c>
      <x:c r="H44" s="6" t="n">
        <x:f>ROUND(MAX(0,C44+D44-E44-G44),2)</x:f>
        <x:v>0</x:v>
      </x:c>
      <x:c r="I44" s="6" t="n">
        <x:f>N43</x:f>
        <x:v>0</x:v>
      </x:c>
      <x:c r="J44" s="6" t="n">
        <x:f>ROUND(I44*'Debt strategy'!$D$10/12,2)</x:f>
        <x:v>0</x:v>
      </x:c>
      <x:c r="K44" s="6" t="n">
        <x:f>MIN(I44+J44,'Debt strategy'!$E$10)</x:f>
        <x:v>0</x:v>
      </x:c>
      <x:c r="L44" s="27" t="n">
        <x:f>IF(I44+J44-K44&lt;=0,99,1+SUM(IF(AND(C44+D44-E44&gt;0,OR('Debt strategy'!$D$9&gt;'Debt strategy'!$D$10,AND('Debt strategy'!$D$9='Debt strategy'!$D$10,0&lt;1))),1,0),IF(AND(O44+P44-Q44&gt;0,OR('Debt strategy'!$D$11&gt;'Debt strategy'!$D$10,AND('Debt strategy'!$D$11='Debt strategy'!$D$10,2&lt;1))),1,0),IF(AND(U44+V44-W44&gt;0,OR('Debt strategy'!$D$12&gt;'Debt strategy'!$D$10,AND('Debt strategy'!$D$12='Debt strategy'!$D$10,3&lt;1))),1,0),IF(AND(AA44+AB44-AC44&gt;0,OR('Debt strategy'!$D$13&gt;'Debt strategy'!$D$10,AND('Debt strategy'!$D$13='Debt strategy'!$D$10,4&lt;1))),1,0)))</x:f>
        <x:v>99</x:v>
      </x:c>
      <x:c r="M44" s="6" t="n">
        <x:f>IF('Debt strategy'!$C$16&gt;0,0,MIN(I44+J44-K44,MAX(0,'Debt strategy'!$C$5-SUM(E44,K44,Q44,W44,AC44)-SUM(IF(F44&lt;L44,C44+D44-E44,0),IF(R44&lt;L44,O44+P44-Q44,0),IF(X44&lt;L44,U44+V44-W44,0),IF(AD44&lt;L44,AA44+AB44-AC44,0)))))</x:f>
        <x:v>0</x:v>
      </x:c>
      <x:c r="N44" s="6" t="n">
        <x:f>ROUND(MAX(0,I44+J44-K44-M44),2)</x:f>
        <x:v>0</x:v>
      </x:c>
      <x:c r="O44" s="6" t="n">
        <x:f>T43</x:f>
        <x:v>0</x:v>
      </x:c>
      <x:c r="P44" s="6" t="n">
        <x:f>ROUND(O44*'Debt strategy'!$D$11/12,2)</x:f>
        <x:v>0</x:v>
      </x:c>
      <x:c r="Q44" s="6" t="n">
        <x:f>MIN(O44+P44,'Debt strategy'!$E$11)</x:f>
        <x:v>0</x:v>
      </x:c>
      <x:c r="R44" s="27" t="n">
        <x:f>IF(O44+P44-Q44&lt;=0,99,1+SUM(IF(AND(C44+D44-E44&gt;0,OR('Debt strategy'!$D$9&gt;'Debt strategy'!$D$11,AND('Debt strategy'!$D$9='Debt strategy'!$D$11,0&lt;2))),1,0),IF(AND(I44+J44-K44&gt;0,OR('Debt strategy'!$D$10&gt;'Debt strategy'!$D$11,AND('Debt strategy'!$D$10='Debt strategy'!$D$11,1&lt;2))),1,0),IF(AND(U44+V44-W44&gt;0,OR('Debt strategy'!$D$12&gt;'Debt strategy'!$D$11,AND('Debt strategy'!$D$12='Debt strategy'!$D$11,3&lt;2))),1,0),IF(AND(AA44+AB44-AC44&gt;0,OR('Debt strategy'!$D$13&gt;'Debt strategy'!$D$11,AND('Debt strategy'!$D$13='Debt strategy'!$D$11,4&lt;2))),1,0)))</x:f>
        <x:v>99</x:v>
      </x:c>
      <x:c r="S44" s="6" t="n">
        <x:f>IF('Debt strategy'!$C$16&gt;0,0,MIN(O44+P44-Q44,MAX(0,'Debt strategy'!$C$5-SUM(E44,K44,Q44,W44,AC44)-SUM(IF(F44&lt;R44,C44+D44-E44,0),IF(L44&lt;R44,I44+J44-K44,0),IF(X44&lt;R44,U44+V44-W44,0),IF(AD44&lt;R44,AA44+AB44-AC44,0)))))</x:f>
        <x:v>0</x:v>
      </x:c>
      <x:c r="T44" s="6" t="n">
        <x:f>ROUND(MAX(0,O44+P44-Q44-S44),2)</x:f>
        <x:v>0</x:v>
      </x:c>
      <x:c r="U44" s="6" t="n">
        <x:f>Z43</x:f>
        <x:v>0</x:v>
      </x:c>
      <x:c r="V44" s="6" t="n">
        <x:f>ROUND(U44*'Debt strategy'!$D$12/12,2)</x:f>
        <x:v>0</x:v>
      </x:c>
      <x:c r="W44" s="6" t="n">
        <x:f>MIN(U44+V44,'Debt strategy'!$E$12)</x:f>
        <x:v>0</x:v>
      </x:c>
      <x:c r="X44" s="27" t="n">
        <x:f>IF(U44+V44-W44&lt;=0,99,1+SUM(IF(AND(C44+D44-E44&gt;0,OR('Debt strategy'!$D$9&gt;'Debt strategy'!$D$12,AND('Debt strategy'!$D$9='Debt strategy'!$D$12,0&lt;3))),1,0),IF(AND(I44+J44-K44&gt;0,OR('Debt strategy'!$D$10&gt;'Debt strategy'!$D$12,AND('Debt strategy'!$D$10='Debt strategy'!$D$12,1&lt;3))),1,0),IF(AND(O44+P44-Q44&gt;0,OR('Debt strategy'!$D$11&gt;'Debt strategy'!$D$12,AND('Debt strategy'!$D$11='Debt strategy'!$D$12,2&lt;3))),1,0),IF(AND(AA44+AB44-AC44&gt;0,OR('Debt strategy'!$D$13&gt;'Debt strategy'!$D$12,AND('Debt strategy'!$D$13='Debt strategy'!$D$12,4&lt;3))),1,0)))</x:f>
        <x:v>99</x:v>
      </x:c>
      <x:c r="Y44" s="6" t="n">
        <x:f>IF('Debt strategy'!$C$16&gt;0,0,MIN(U44+V44-W44,MAX(0,'Debt strategy'!$C$5-SUM(E44,K44,Q44,W44,AC44)-SUM(IF(F44&lt;X44,C44+D44-E44,0),IF(L44&lt;X44,I44+J44-K44,0),IF(R44&lt;X44,O44+P44-Q44,0),IF(AD44&lt;X44,AA44+AB44-AC44,0)))))</x:f>
        <x:v>0</x:v>
      </x:c>
      <x:c r="Z44" s="6" t="n">
        <x:f>ROUND(MAX(0,U44+V44-W44-Y44),2)</x:f>
        <x:v>0</x:v>
      </x:c>
      <x:c r="AA44" s="6" t="n">
        <x:f>AF43</x:f>
        <x:v>0</x:v>
      </x:c>
      <x:c r="AB44" s="6" t="n">
        <x:f>ROUND(AA44*'Debt strategy'!$D$13/12,2)</x:f>
        <x:v>0</x:v>
      </x:c>
      <x:c r="AC44" s="6" t="n">
        <x:f>MIN(AA44+AB44,'Debt strategy'!$E$13)</x:f>
        <x:v>0</x:v>
      </x:c>
      <x:c r="AD44" s="27" t="n">
        <x:f>IF(AA44+AB44-AC44&lt;=0,99,1+SUM(IF(AND(C44+D44-E44&gt;0,OR('Debt strategy'!$D$9&gt;'Debt strategy'!$D$13,AND('Debt strategy'!$D$9='Debt strategy'!$D$13,0&lt;4))),1,0),IF(AND(I44+J44-K44&gt;0,OR('Debt strategy'!$D$10&gt;'Debt strategy'!$D$13,AND('Debt strategy'!$D$10='Debt strategy'!$D$13,1&lt;4))),1,0),IF(AND(O44+P44-Q44&gt;0,OR('Debt strategy'!$D$11&gt;'Debt strategy'!$D$13,AND('Debt strategy'!$D$11='Debt strategy'!$D$13,2&lt;4))),1,0),IF(AND(U44+V44-W44&gt;0,OR('Debt strategy'!$D$12&gt;'Debt strategy'!$D$13,AND('Debt strategy'!$D$12='Debt strategy'!$D$13,3&lt;4))),1,0)))</x:f>
        <x:v>99</x:v>
      </x:c>
      <x:c r="AE44" s="6" t="n">
        <x:f>IF('Debt strategy'!$C$16&gt;0,0,MIN(AA44+AB44-AC44,MAX(0,'Debt strategy'!$C$5-SUM(E44,K44,Q44,W44,AC44)-SUM(IF(F44&lt;AD44,C44+D44-E44,0),IF(L44&lt;AD44,I44+J44-K44,0),IF(R44&lt;AD44,O44+P44-Q44,0),IF(X44&lt;AD44,U44+V44-W44,0)))))</x:f>
        <x:v>0</x:v>
      </x:c>
      <x:c r="AF44" s="6" t="n">
        <x:f>ROUND(MAX(0,AA44+AB44-AC44-AE44),2)</x:f>
        <x:v>0</x:v>
      </x:c>
      <x:c r="AG44" s="6" t="n">
        <x:f>SUM(H44,N44,T44,Z44,AF44)</x:f>
        <x:v>0</x:v>
      </x:c>
      <x:c r="AH44" s="6" t="n">
        <x:f>SUM(D44,J44,P44,V44,AB44)+AH43</x:f>
        <x:v>1220.8400000000001</x:v>
      </x:c>
      <x:c r="AI44" s="2"/>
    </x:row>
    <x:row r="45" ht="23" customHeight="1">
      <x:c r="B45" s="2" t="n">
        <x:f>37</x:f>
        <x:v>37</x:v>
      </x:c>
      <x:c r="C45" s="6" t="n">
        <x:f>H44</x:f>
        <x:v>0</x:v>
      </x:c>
      <x:c r="D45" s="6" t="n">
        <x:f>ROUND(C45*'Debt strategy'!$D$9/12,2)</x:f>
        <x:v>0</x:v>
      </x:c>
      <x:c r="E45" s="6" t="n">
        <x:f>MIN(C45+D45,'Debt strategy'!$E$9)</x:f>
        <x:v>0</x:v>
      </x:c>
      <x:c r="F45" s="27" t="n">
        <x:f>IF(C45+D45-E45&lt;=0,99,1+SUM(IF(AND(I45+J45-K45&gt;0,OR('Debt strategy'!$D$10&gt;'Debt strategy'!$D$9,AND('Debt strategy'!$D$10='Debt strategy'!$D$9,1&lt;0))),1,0),IF(AND(O45+P45-Q45&gt;0,OR('Debt strategy'!$D$11&gt;'Debt strategy'!$D$9,AND('Debt strategy'!$D$11='Debt strategy'!$D$9,2&lt;0))),1,0),IF(AND(U45+V45-W45&gt;0,OR('Debt strategy'!$D$12&gt;'Debt strategy'!$D$9,AND('Debt strategy'!$D$12='Debt strategy'!$D$9,3&lt;0))),1,0),IF(AND(AA45+AB45-AC45&gt;0,OR('Debt strategy'!$D$13&gt;'Debt strategy'!$D$9,AND('Debt strategy'!$D$13='Debt strategy'!$D$9,4&lt;0))),1,0)))</x:f>
        <x:v>99</x:v>
      </x:c>
      <x:c r="G45" s="6" t="n">
        <x:f>IF('Debt strategy'!$C$16&gt;0,0,MIN(C45+D45-E45,MAX(0,'Debt strategy'!$C$5-SUM(E45,K45,Q45,W45,AC45)-SUM(IF(L45&lt;F45,I45+J45-K45,0),IF(R45&lt;F45,O45+P45-Q45,0),IF(X45&lt;F45,U45+V45-W45,0),IF(AD45&lt;F45,AA45+AB45-AC45,0)))))</x:f>
        <x:v>0</x:v>
      </x:c>
      <x:c r="H45" s="6" t="n">
        <x:f>ROUND(MAX(0,C45+D45-E45-G45),2)</x:f>
        <x:v>0</x:v>
      </x:c>
      <x:c r="I45" s="6" t="n">
        <x:f>N44</x:f>
        <x:v>0</x:v>
      </x:c>
      <x:c r="J45" s="6" t="n">
        <x:f>ROUND(I45*'Debt strategy'!$D$10/12,2)</x:f>
        <x:v>0</x:v>
      </x:c>
      <x:c r="K45" s="6" t="n">
        <x:f>MIN(I45+J45,'Debt strategy'!$E$10)</x:f>
        <x:v>0</x:v>
      </x:c>
      <x:c r="L45" s="27" t="n">
        <x:f>IF(I45+J45-K45&lt;=0,99,1+SUM(IF(AND(C45+D45-E45&gt;0,OR('Debt strategy'!$D$9&gt;'Debt strategy'!$D$10,AND('Debt strategy'!$D$9='Debt strategy'!$D$10,0&lt;1))),1,0),IF(AND(O45+P45-Q45&gt;0,OR('Debt strategy'!$D$11&gt;'Debt strategy'!$D$10,AND('Debt strategy'!$D$11='Debt strategy'!$D$10,2&lt;1))),1,0),IF(AND(U45+V45-W45&gt;0,OR('Debt strategy'!$D$12&gt;'Debt strategy'!$D$10,AND('Debt strategy'!$D$12='Debt strategy'!$D$10,3&lt;1))),1,0),IF(AND(AA45+AB45-AC45&gt;0,OR('Debt strategy'!$D$13&gt;'Debt strategy'!$D$10,AND('Debt strategy'!$D$13='Debt strategy'!$D$10,4&lt;1))),1,0)))</x:f>
        <x:v>99</x:v>
      </x:c>
      <x:c r="M45" s="6" t="n">
        <x:f>IF('Debt strategy'!$C$16&gt;0,0,MIN(I45+J45-K45,MAX(0,'Debt strategy'!$C$5-SUM(E45,K45,Q45,W45,AC45)-SUM(IF(F45&lt;L45,C45+D45-E45,0),IF(R45&lt;L45,O45+P45-Q45,0),IF(X45&lt;L45,U45+V45-W45,0),IF(AD45&lt;L45,AA45+AB45-AC45,0)))))</x:f>
        <x:v>0</x:v>
      </x:c>
      <x:c r="N45" s="6" t="n">
        <x:f>ROUND(MAX(0,I45+J45-K45-M45),2)</x:f>
        <x:v>0</x:v>
      </x:c>
      <x:c r="O45" s="6" t="n">
        <x:f>T44</x:f>
        <x:v>0</x:v>
      </x:c>
      <x:c r="P45" s="6" t="n">
        <x:f>ROUND(O45*'Debt strategy'!$D$11/12,2)</x:f>
        <x:v>0</x:v>
      </x:c>
      <x:c r="Q45" s="6" t="n">
        <x:f>MIN(O45+P45,'Debt strategy'!$E$11)</x:f>
        <x:v>0</x:v>
      </x:c>
      <x:c r="R45" s="27" t="n">
        <x:f>IF(O45+P45-Q45&lt;=0,99,1+SUM(IF(AND(C45+D45-E45&gt;0,OR('Debt strategy'!$D$9&gt;'Debt strategy'!$D$11,AND('Debt strategy'!$D$9='Debt strategy'!$D$11,0&lt;2))),1,0),IF(AND(I45+J45-K45&gt;0,OR('Debt strategy'!$D$10&gt;'Debt strategy'!$D$11,AND('Debt strategy'!$D$10='Debt strategy'!$D$11,1&lt;2))),1,0),IF(AND(U45+V45-W45&gt;0,OR('Debt strategy'!$D$12&gt;'Debt strategy'!$D$11,AND('Debt strategy'!$D$12='Debt strategy'!$D$11,3&lt;2))),1,0),IF(AND(AA45+AB45-AC45&gt;0,OR('Debt strategy'!$D$13&gt;'Debt strategy'!$D$11,AND('Debt strategy'!$D$13='Debt strategy'!$D$11,4&lt;2))),1,0)))</x:f>
        <x:v>99</x:v>
      </x:c>
      <x:c r="S45" s="6" t="n">
        <x:f>IF('Debt strategy'!$C$16&gt;0,0,MIN(O45+P45-Q45,MAX(0,'Debt strategy'!$C$5-SUM(E45,K45,Q45,W45,AC45)-SUM(IF(F45&lt;R45,C45+D45-E45,0),IF(L45&lt;R45,I45+J45-K45,0),IF(X45&lt;R45,U45+V45-W45,0),IF(AD45&lt;R45,AA45+AB45-AC45,0)))))</x:f>
        <x:v>0</x:v>
      </x:c>
      <x:c r="T45" s="6" t="n">
        <x:f>ROUND(MAX(0,O45+P45-Q45-S45),2)</x:f>
        <x:v>0</x:v>
      </x:c>
      <x:c r="U45" s="6" t="n">
        <x:f>Z44</x:f>
        <x:v>0</x:v>
      </x:c>
      <x:c r="V45" s="6" t="n">
        <x:f>ROUND(U45*'Debt strategy'!$D$12/12,2)</x:f>
        <x:v>0</x:v>
      </x:c>
      <x:c r="W45" s="6" t="n">
        <x:f>MIN(U45+V45,'Debt strategy'!$E$12)</x:f>
        <x:v>0</x:v>
      </x:c>
      <x:c r="X45" s="27" t="n">
        <x:f>IF(U45+V45-W45&lt;=0,99,1+SUM(IF(AND(C45+D45-E45&gt;0,OR('Debt strategy'!$D$9&gt;'Debt strategy'!$D$12,AND('Debt strategy'!$D$9='Debt strategy'!$D$12,0&lt;3))),1,0),IF(AND(I45+J45-K45&gt;0,OR('Debt strategy'!$D$10&gt;'Debt strategy'!$D$12,AND('Debt strategy'!$D$10='Debt strategy'!$D$12,1&lt;3))),1,0),IF(AND(O45+P45-Q45&gt;0,OR('Debt strategy'!$D$11&gt;'Debt strategy'!$D$12,AND('Debt strategy'!$D$11='Debt strategy'!$D$12,2&lt;3))),1,0),IF(AND(AA45+AB45-AC45&gt;0,OR('Debt strategy'!$D$13&gt;'Debt strategy'!$D$12,AND('Debt strategy'!$D$13='Debt strategy'!$D$12,4&lt;3))),1,0)))</x:f>
        <x:v>99</x:v>
      </x:c>
      <x:c r="Y45" s="6" t="n">
        <x:f>IF('Debt strategy'!$C$16&gt;0,0,MIN(U45+V45-W45,MAX(0,'Debt strategy'!$C$5-SUM(E45,K45,Q45,W45,AC45)-SUM(IF(F45&lt;X45,C45+D45-E45,0),IF(L45&lt;X45,I45+J45-K45,0),IF(R45&lt;X45,O45+P45-Q45,0),IF(AD45&lt;X45,AA45+AB45-AC45,0)))))</x:f>
        <x:v>0</x:v>
      </x:c>
      <x:c r="Z45" s="6" t="n">
        <x:f>ROUND(MAX(0,U45+V45-W45-Y45),2)</x:f>
        <x:v>0</x:v>
      </x:c>
      <x:c r="AA45" s="6" t="n">
        <x:f>AF44</x:f>
        <x:v>0</x:v>
      </x:c>
      <x:c r="AB45" s="6" t="n">
        <x:f>ROUND(AA45*'Debt strategy'!$D$13/12,2)</x:f>
        <x:v>0</x:v>
      </x:c>
      <x:c r="AC45" s="6" t="n">
        <x:f>MIN(AA45+AB45,'Debt strategy'!$E$13)</x:f>
        <x:v>0</x:v>
      </x:c>
      <x:c r="AD45" s="27" t="n">
        <x:f>IF(AA45+AB45-AC45&lt;=0,99,1+SUM(IF(AND(C45+D45-E45&gt;0,OR('Debt strategy'!$D$9&gt;'Debt strategy'!$D$13,AND('Debt strategy'!$D$9='Debt strategy'!$D$13,0&lt;4))),1,0),IF(AND(I45+J45-K45&gt;0,OR('Debt strategy'!$D$10&gt;'Debt strategy'!$D$13,AND('Debt strategy'!$D$10='Debt strategy'!$D$13,1&lt;4))),1,0),IF(AND(O45+P45-Q45&gt;0,OR('Debt strategy'!$D$11&gt;'Debt strategy'!$D$13,AND('Debt strategy'!$D$11='Debt strategy'!$D$13,2&lt;4))),1,0),IF(AND(U45+V45-W45&gt;0,OR('Debt strategy'!$D$12&gt;'Debt strategy'!$D$13,AND('Debt strategy'!$D$12='Debt strategy'!$D$13,3&lt;4))),1,0)))</x:f>
        <x:v>99</x:v>
      </x:c>
      <x:c r="AE45" s="6" t="n">
        <x:f>IF('Debt strategy'!$C$16&gt;0,0,MIN(AA45+AB45-AC45,MAX(0,'Debt strategy'!$C$5-SUM(E45,K45,Q45,W45,AC45)-SUM(IF(F45&lt;AD45,C45+D45-E45,0),IF(L45&lt;AD45,I45+J45-K45,0),IF(R45&lt;AD45,O45+P45-Q45,0),IF(X45&lt;AD45,U45+V45-W45,0)))))</x:f>
        <x:v>0</x:v>
      </x:c>
      <x:c r="AF45" s="6" t="n">
        <x:f>ROUND(MAX(0,AA45+AB45-AC45-AE45),2)</x:f>
        <x:v>0</x:v>
      </x:c>
      <x:c r="AG45" s="6" t="n">
        <x:f>SUM(H45,N45,T45,Z45,AF45)</x:f>
        <x:v>0</x:v>
      </x:c>
      <x:c r="AH45" s="6" t="n">
        <x:f>SUM(D45,J45,P45,V45,AB45)+AH44</x:f>
        <x:v>1220.8400000000001</x:v>
      </x:c>
      <x:c r="AI45" s="2"/>
    </x:row>
    <x:row r="46" ht="23" customHeight="1">
      <x:c r="B46" s="2" t="n">
        <x:f>38</x:f>
        <x:v>38</x:v>
      </x:c>
      <x:c r="C46" s="6" t="n">
        <x:f>H45</x:f>
        <x:v>0</x:v>
      </x:c>
      <x:c r="D46" s="6" t="n">
        <x:f>ROUND(C46*'Debt strategy'!$D$9/12,2)</x:f>
        <x:v>0</x:v>
      </x:c>
      <x:c r="E46" s="6" t="n">
        <x:f>MIN(C46+D46,'Debt strategy'!$E$9)</x:f>
        <x:v>0</x:v>
      </x:c>
      <x:c r="F46" s="27" t="n">
        <x:f>IF(C46+D46-E46&lt;=0,99,1+SUM(IF(AND(I46+J46-K46&gt;0,OR('Debt strategy'!$D$10&gt;'Debt strategy'!$D$9,AND('Debt strategy'!$D$10='Debt strategy'!$D$9,1&lt;0))),1,0),IF(AND(O46+P46-Q46&gt;0,OR('Debt strategy'!$D$11&gt;'Debt strategy'!$D$9,AND('Debt strategy'!$D$11='Debt strategy'!$D$9,2&lt;0))),1,0),IF(AND(U46+V46-W46&gt;0,OR('Debt strategy'!$D$12&gt;'Debt strategy'!$D$9,AND('Debt strategy'!$D$12='Debt strategy'!$D$9,3&lt;0))),1,0),IF(AND(AA46+AB46-AC46&gt;0,OR('Debt strategy'!$D$13&gt;'Debt strategy'!$D$9,AND('Debt strategy'!$D$13='Debt strategy'!$D$9,4&lt;0))),1,0)))</x:f>
        <x:v>99</x:v>
      </x:c>
      <x:c r="G46" s="6" t="n">
        <x:f>IF('Debt strategy'!$C$16&gt;0,0,MIN(C46+D46-E46,MAX(0,'Debt strategy'!$C$5-SUM(E46,K46,Q46,W46,AC46)-SUM(IF(L46&lt;F46,I46+J46-K46,0),IF(R46&lt;F46,O46+P46-Q46,0),IF(X46&lt;F46,U46+V46-W46,0),IF(AD46&lt;F46,AA46+AB46-AC46,0)))))</x:f>
        <x:v>0</x:v>
      </x:c>
      <x:c r="H46" s="6" t="n">
        <x:f>ROUND(MAX(0,C46+D46-E46-G46),2)</x:f>
        <x:v>0</x:v>
      </x:c>
      <x:c r="I46" s="6" t="n">
        <x:f>N45</x:f>
        <x:v>0</x:v>
      </x:c>
      <x:c r="J46" s="6" t="n">
        <x:f>ROUND(I46*'Debt strategy'!$D$10/12,2)</x:f>
        <x:v>0</x:v>
      </x:c>
      <x:c r="K46" s="6" t="n">
        <x:f>MIN(I46+J46,'Debt strategy'!$E$10)</x:f>
        <x:v>0</x:v>
      </x:c>
      <x:c r="L46" s="27" t="n">
        <x:f>IF(I46+J46-K46&lt;=0,99,1+SUM(IF(AND(C46+D46-E46&gt;0,OR('Debt strategy'!$D$9&gt;'Debt strategy'!$D$10,AND('Debt strategy'!$D$9='Debt strategy'!$D$10,0&lt;1))),1,0),IF(AND(O46+P46-Q46&gt;0,OR('Debt strategy'!$D$11&gt;'Debt strategy'!$D$10,AND('Debt strategy'!$D$11='Debt strategy'!$D$10,2&lt;1))),1,0),IF(AND(U46+V46-W46&gt;0,OR('Debt strategy'!$D$12&gt;'Debt strategy'!$D$10,AND('Debt strategy'!$D$12='Debt strategy'!$D$10,3&lt;1))),1,0),IF(AND(AA46+AB46-AC46&gt;0,OR('Debt strategy'!$D$13&gt;'Debt strategy'!$D$10,AND('Debt strategy'!$D$13='Debt strategy'!$D$10,4&lt;1))),1,0)))</x:f>
        <x:v>99</x:v>
      </x:c>
      <x:c r="M46" s="6" t="n">
        <x:f>IF('Debt strategy'!$C$16&gt;0,0,MIN(I46+J46-K46,MAX(0,'Debt strategy'!$C$5-SUM(E46,K46,Q46,W46,AC46)-SUM(IF(F46&lt;L46,C46+D46-E46,0),IF(R46&lt;L46,O46+P46-Q46,0),IF(X46&lt;L46,U46+V46-W46,0),IF(AD46&lt;L46,AA46+AB46-AC46,0)))))</x:f>
        <x:v>0</x:v>
      </x:c>
      <x:c r="N46" s="6" t="n">
        <x:f>ROUND(MAX(0,I46+J46-K46-M46),2)</x:f>
        <x:v>0</x:v>
      </x:c>
      <x:c r="O46" s="6" t="n">
        <x:f>T45</x:f>
        <x:v>0</x:v>
      </x:c>
      <x:c r="P46" s="6" t="n">
        <x:f>ROUND(O46*'Debt strategy'!$D$11/12,2)</x:f>
        <x:v>0</x:v>
      </x:c>
      <x:c r="Q46" s="6" t="n">
        <x:f>MIN(O46+P46,'Debt strategy'!$E$11)</x:f>
        <x:v>0</x:v>
      </x:c>
      <x:c r="R46" s="27" t="n">
        <x:f>IF(O46+P46-Q46&lt;=0,99,1+SUM(IF(AND(C46+D46-E46&gt;0,OR('Debt strategy'!$D$9&gt;'Debt strategy'!$D$11,AND('Debt strategy'!$D$9='Debt strategy'!$D$11,0&lt;2))),1,0),IF(AND(I46+J46-K46&gt;0,OR('Debt strategy'!$D$10&gt;'Debt strategy'!$D$11,AND('Debt strategy'!$D$10='Debt strategy'!$D$11,1&lt;2))),1,0),IF(AND(U46+V46-W46&gt;0,OR('Debt strategy'!$D$12&gt;'Debt strategy'!$D$11,AND('Debt strategy'!$D$12='Debt strategy'!$D$11,3&lt;2))),1,0),IF(AND(AA46+AB46-AC46&gt;0,OR('Debt strategy'!$D$13&gt;'Debt strategy'!$D$11,AND('Debt strategy'!$D$13='Debt strategy'!$D$11,4&lt;2))),1,0)))</x:f>
        <x:v>99</x:v>
      </x:c>
      <x:c r="S46" s="6" t="n">
        <x:f>IF('Debt strategy'!$C$16&gt;0,0,MIN(O46+P46-Q46,MAX(0,'Debt strategy'!$C$5-SUM(E46,K46,Q46,W46,AC46)-SUM(IF(F46&lt;R46,C46+D46-E46,0),IF(L46&lt;R46,I46+J46-K46,0),IF(X46&lt;R46,U46+V46-W46,0),IF(AD46&lt;R46,AA46+AB46-AC46,0)))))</x:f>
        <x:v>0</x:v>
      </x:c>
      <x:c r="T46" s="6" t="n">
        <x:f>ROUND(MAX(0,O46+P46-Q46-S46),2)</x:f>
        <x:v>0</x:v>
      </x:c>
      <x:c r="U46" s="6" t="n">
        <x:f>Z45</x:f>
        <x:v>0</x:v>
      </x:c>
      <x:c r="V46" s="6" t="n">
        <x:f>ROUND(U46*'Debt strategy'!$D$12/12,2)</x:f>
        <x:v>0</x:v>
      </x:c>
      <x:c r="W46" s="6" t="n">
        <x:f>MIN(U46+V46,'Debt strategy'!$E$12)</x:f>
        <x:v>0</x:v>
      </x:c>
      <x:c r="X46" s="27" t="n">
        <x:f>IF(U46+V46-W46&lt;=0,99,1+SUM(IF(AND(C46+D46-E46&gt;0,OR('Debt strategy'!$D$9&gt;'Debt strategy'!$D$12,AND('Debt strategy'!$D$9='Debt strategy'!$D$12,0&lt;3))),1,0),IF(AND(I46+J46-K46&gt;0,OR('Debt strategy'!$D$10&gt;'Debt strategy'!$D$12,AND('Debt strategy'!$D$10='Debt strategy'!$D$12,1&lt;3))),1,0),IF(AND(O46+P46-Q46&gt;0,OR('Debt strategy'!$D$11&gt;'Debt strategy'!$D$12,AND('Debt strategy'!$D$11='Debt strategy'!$D$12,2&lt;3))),1,0),IF(AND(AA46+AB46-AC46&gt;0,OR('Debt strategy'!$D$13&gt;'Debt strategy'!$D$12,AND('Debt strategy'!$D$13='Debt strategy'!$D$12,4&lt;3))),1,0)))</x:f>
        <x:v>99</x:v>
      </x:c>
      <x:c r="Y46" s="6" t="n">
        <x:f>IF('Debt strategy'!$C$16&gt;0,0,MIN(U46+V46-W46,MAX(0,'Debt strategy'!$C$5-SUM(E46,K46,Q46,W46,AC46)-SUM(IF(F46&lt;X46,C46+D46-E46,0),IF(L46&lt;X46,I46+J46-K46,0),IF(R46&lt;X46,O46+P46-Q46,0),IF(AD46&lt;X46,AA46+AB46-AC46,0)))))</x:f>
        <x:v>0</x:v>
      </x:c>
      <x:c r="Z46" s="6" t="n">
        <x:f>ROUND(MAX(0,U46+V46-W46-Y46),2)</x:f>
        <x:v>0</x:v>
      </x:c>
      <x:c r="AA46" s="6" t="n">
        <x:f>AF45</x:f>
        <x:v>0</x:v>
      </x:c>
      <x:c r="AB46" s="6" t="n">
        <x:f>ROUND(AA46*'Debt strategy'!$D$13/12,2)</x:f>
        <x:v>0</x:v>
      </x:c>
      <x:c r="AC46" s="6" t="n">
        <x:f>MIN(AA46+AB46,'Debt strategy'!$E$13)</x:f>
        <x:v>0</x:v>
      </x:c>
      <x:c r="AD46" s="27" t="n">
        <x:f>IF(AA46+AB46-AC46&lt;=0,99,1+SUM(IF(AND(C46+D46-E46&gt;0,OR('Debt strategy'!$D$9&gt;'Debt strategy'!$D$13,AND('Debt strategy'!$D$9='Debt strategy'!$D$13,0&lt;4))),1,0),IF(AND(I46+J46-K46&gt;0,OR('Debt strategy'!$D$10&gt;'Debt strategy'!$D$13,AND('Debt strategy'!$D$10='Debt strategy'!$D$13,1&lt;4))),1,0),IF(AND(O46+P46-Q46&gt;0,OR('Debt strategy'!$D$11&gt;'Debt strategy'!$D$13,AND('Debt strategy'!$D$11='Debt strategy'!$D$13,2&lt;4))),1,0),IF(AND(U46+V46-W46&gt;0,OR('Debt strategy'!$D$12&gt;'Debt strategy'!$D$13,AND('Debt strategy'!$D$12='Debt strategy'!$D$13,3&lt;4))),1,0)))</x:f>
        <x:v>99</x:v>
      </x:c>
      <x:c r="AE46" s="6" t="n">
        <x:f>IF('Debt strategy'!$C$16&gt;0,0,MIN(AA46+AB46-AC46,MAX(0,'Debt strategy'!$C$5-SUM(E46,K46,Q46,W46,AC46)-SUM(IF(F46&lt;AD46,C46+D46-E46,0),IF(L46&lt;AD46,I46+J46-K46,0),IF(R46&lt;AD46,O46+P46-Q46,0),IF(X46&lt;AD46,U46+V46-W46,0)))))</x:f>
        <x:v>0</x:v>
      </x:c>
      <x:c r="AF46" s="6" t="n">
        <x:f>ROUND(MAX(0,AA46+AB46-AC46-AE46),2)</x:f>
        <x:v>0</x:v>
      </x:c>
      <x:c r="AG46" s="6" t="n">
        <x:f>SUM(H46,N46,T46,Z46,AF46)</x:f>
        <x:v>0</x:v>
      </x:c>
      <x:c r="AH46" s="6" t="n">
        <x:f>SUM(D46,J46,P46,V46,AB46)+AH45</x:f>
        <x:v>1220.8400000000001</x:v>
      </x:c>
      <x:c r="AI46" s="2"/>
    </x:row>
    <x:row r="47" ht="23" customHeight="1">
      <x:c r="B47" s="2" t="n">
        <x:f>39</x:f>
        <x:v>39</x:v>
      </x:c>
      <x:c r="C47" s="6" t="n">
        <x:f>H46</x:f>
        <x:v>0</x:v>
      </x:c>
      <x:c r="D47" s="6" t="n">
        <x:f>ROUND(C47*'Debt strategy'!$D$9/12,2)</x:f>
        <x:v>0</x:v>
      </x:c>
      <x:c r="E47" s="6" t="n">
        <x:f>MIN(C47+D47,'Debt strategy'!$E$9)</x:f>
        <x:v>0</x:v>
      </x:c>
      <x:c r="F47" s="27" t="n">
        <x:f>IF(C47+D47-E47&lt;=0,99,1+SUM(IF(AND(I47+J47-K47&gt;0,OR('Debt strategy'!$D$10&gt;'Debt strategy'!$D$9,AND('Debt strategy'!$D$10='Debt strategy'!$D$9,1&lt;0))),1,0),IF(AND(O47+P47-Q47&gt;0,OR('Debt strategy'!$D$11&gt;'Debt strategy'!$D$9,AND('Debt strategy'!$D$11='Debt strategy'!$D$9,2&lt;0))),1,0),IF(AND(U47+V47-W47&gt;0,OR('Debt strategy'!$D$12&gt;'Debt strategy'!$D$9,AND('Debt strategy'!$D$12='Debt strategy'!$D$9,3&lt;0))),1,0),IF(AND(AA47+AB47-AC47&gt;0,OR('Debt strategy'!$D$13&gt;'Debt strategy'!$D$9,AND('Debt strategy'!$D$13='Debt strategy'!$D$9,4&lt;0))),1,0)))</x:f>
        <x:v>99</x:v>
      </x:c>
      <x:c r="G47" s="6" t="n">
        <x:f>IF('Debt strategy'!$C$16&gt;0,0,MIN(C47+D47-E47,MAX(0,'Debt strategy'!$C$5-SUM(E47,K47,Q47,W47,AC47)-SUM(IF(L47&lt;F47,I47+J47-K47,0),IF(R47&lt;F47,O47+P47-Q47,0),IF(X47&lt;F47,U47+V47-W47,0),IF(AD47&lt;F47,AA47+AB47-AC47,0)))))</x:f>
        <x:v>0</x:v>
      </x:c>
      <x:c r="H47" s="6" t="n">
        <x:f>ROUND(MAX(0,C47+D47-E47-G47),2)</x:f>
        <x:v>0</x:v>
      </x:c>
      <x:c r="I47" s="6" t="n">
        <x:f>N46</x:f>
        <x:v>0</x:v>
      </x:c>
      <x:c r="J47" s="6" t="n">
        <x:f>ROUND(I47*'Debt strategy'!$D$10/12,2)</x:f>
        <x:v>0</x:v>
      </x:c>
      <x:c r="K47" s="6" t="n">
        <x:f>MIN(I47+J47,'Debt strategy'!$E$10)</x:f>
        <x:v>0</x:v>
      </x:c>
      <x:c r="L47" s="27" t="n">
        <x:f>IF(I47+J47-K47&lt;=0,99,1+SUM(IF(AND(C47+D47-E47&gt;0,OR('Debt strategy'!$D$9&gt;'Debt strategy'!$D$10,AND('Debt strategy'!$D$9='Debt strategy'!$D$10,0&lt;1))),1,0),IF(AND(O47+P47-Q47&gt;0,OR('Debt strategy'!$D$11&gt;'Debt strategy'!$D$10,AND('Debt strategy'!$D$11='Debt strategy'!$D$10,2&lt;1))),1,0),IF(AND(U47+V47-W47&gt;0,OR('Debt strategy'!$D$12&gt;'Debt strategy'!$D$10,AND('Debt strategy'!$D$12='Debt strategy'!$D$10,3&lt;1))),1,0),IF(AND(AA47+AB47-AC47&gt;0,OR('Debt strategy'!$D$13&gt;'Debt strategy'!$D$10,AND('Debt strategy'!$D$13='Debt strategy'!$D$10,4&lt;1))),1,0)))</x:f>
        <x:v>99</x:v>
      </x:c>
      <x:c r="M47" s="6" t="n">
        <x:f>IF('Debt strategy'!$C$16&gt;0,0,MIN(I47+J47-K47,MAX(0,'Debt strategy'!$C$5-SUM(E47,K47,Q47,W47,AC47)-SUM(IF(F47&lt;L47,C47+D47-E47,0),IF(R47&lt;L47,O47+P47-Q47,0),IF(X47&lt;L47,U47+V47-W47,0),IF(AD47&lt;L47,AA47+AB47-AC47,0)))))</x:f>
        <x:v>0</x:v>
      </x:c>
      <x:c r="N47" s="6" t="n">
        <x:f>ROUND(MAX(0,I47+J47-K47-M47),2)</x:f>
        <x:v>0</x:v>
      </x:c>
      <x:c r="O47" s="6" t="n">
        <x:f>T46</x:f>
        <x:v>0</x:v>
      </x:c>
      <x:c r="P47" s="6" t="n">
        <x:f>ROUND(O47*'Debt strategy'!$D$11/12,2)</x:f>
        <x:v>0</x:v>
      </x:c>
      <x:c r="Q47" s="6" t="n">
        <x:f>MIN(O47+P47,'Debt strategy'!$E$11)</x:f>
        <x:v>0</x:v>
      </x:c>
      <x:c r="R47" s="27" t="n">
        <x:f>IF(O47+P47-Q47&lt;=0,99,1+SUM(IF(AND(C47+D47-E47&gt;0,OR('Debt strategy'!$D$9&gt;'Debt strategy'!$D$11,AND('Debt strategy'!$D$9='Debt strategy'!$D$11,0&lt;2))),1,0),IF(AND(I47+J47-K47&gt;0,OR('Debt strategy'!$D$10&gt;'Debt strategy'!$D$11,AND('Debt strategy'!$D$10='Debt strategy'!$D$11,1&lt;2))),1,0),IF(AND(U47+V47-W47&gt;0,OR('Debt strategy'!$D$12&gt;'Debt strategy'!$D$11,AND('Debt strategy'!$D$12='Debt strategy'!$D$11,3&lt;2))),1,0),IF(AND(AA47+AB47-AC47&gt;0,OR('Debt strategy'!$D$13&gt;'Debt strategy'!$D$11,AND('Debt strategy'!$D$13='Debt strategy'!$D$11,4&lt;2))),1,0)))</x:f>
        <x:v>99</x:v>
      </x:c>
      <x:c r="S47" s="6" t="n">
        <x:f>IF('Debt strategy'!$C$16&gt;0,0,MIN(O47+P47-Q47,MAX(0,'Debt strategy'!$C$5-SUM(E47,K47,Q47,W47,AC47)-SUM(IF(F47&lt;R47,C47+D47-E47,0),IF(L47&lt;R47,I47+J47-K47,0),IF(X47&lt;R47,U47+V47-W47,0),IF(AD47&lt;R47,AA47+AB47-AC47,0)))))</x:f>
        <x:v>0</x:v>
      </x:c>
      <x:c r="T47" s="6" t="n">
        <x:f>ROUND(MAX(0,O47+P47-Q47-S47),2)</x:f>
        <x:v>0</x:v>
      </x:c>
      <x:c r="U47" s="6" t="n">
        <x:f>Z46</x:f>
        <x:v>0</x:v>
      </x:c>
      <x:c r="V47" s="6" t="n">
        <x:f>ROUND(U47*'Debt strategy'!$D$12/12,2)</x:f>
        <x:v>0</x:v>
      </x:c>
      <x:c r="W47" s="6" t="n">
        <x:f>MIN(U47+V47,'Debt strategy'!$E$12)</x:f>
        <x:v>0</x:v>
      </x:c>
      <x:c r="X47" s="27" t="n">
        <x:f>IF(U47+V47-W47&lt;=0,99,1+SUM(IF(AND(C47+D47-E47&gt;0,OR('Debt strategy'!$D$9&gt;'Debt strategy'!$D$12,AND('Debt strategy'!$D$9='Debt strategy'!$D$12,0&lt;3))),1,0),IF(AND(I47+J47-K47&gt;0,OR('Debt strategy'!$D$10&gt;'Debt strategy'!$D$12,AND('Debt strategy'!$D$10='Debt strategy'!$D$12,1&lt;3))),1,0),IF(AND(O47+P47-Q47&gt;0,OR('Debt strategy'!$D$11&gt;'Debt strategy'!$D$12,AND('Debt strategy'!$D$11='Debt strategy'!$D$12,2&lt;3))),1,0),IF(AND(AA47+AB47-AC47&gt;0,OR('Debt strategy'!$D$13&gt;'Debt strategy'!$D$12,AND('Debt strategy'!$D$13='Debt strategy'!$D$12,4&lt;3))),1,0)))</x:f>
        <x:v>99</x:v>
      </x:c>
      <x:c r="Y47" s="6" t="n">
        <x:f>IF('Debt strategy'!$C$16&gt;0,0,MIN(U47+V47-W47,MAX(0,'Debt strategy'!$C$5-SUM(E47,K47,Q47,W47,AC47)-SUM(IF(F47&lt;X47,C47+D47-E47,0),IF(L47&lt;X47,I47+J47-K47,0),IF(R47&lt;X47,O47+P47-Q47,0),IF(AD47&lt;X47,AA47+AB47-AC47,0)))))</x:f>
        <x:v>0</x:v>
      </x:c>
      <x:c r="Z47" s="6" t="n">
        <x:f>ROUND(MAX(0,U47+V47-W47-Y47),2)</x:f>
        <x:v>0</x:v>
      </x:c>
      <x:c r="AA47" s="6" t="n">
        <x:f>AF46</x:f>
        <x:v>0</x:v>
      </x:c>
      <x:c r="AB47" s="6" t="n">
        <x:f>ROUND(AA47*'Debt strategy'!$D$13/12,2)</x:f>
        <x:v>0</x:v>
      </x:c>
      <x:c r="AC47" s="6" t="n">
        <x:f>MIN(AA47+AB47,'Debt strategy'!$E$13)</x:f>
        <x:v>0</x:v>
      </x:c>
      <x:c r="AD47" s="27" t="n">
        <x:f>IF(AA47+AB47-AC47&lt;=0,99,1+SUM(IF(AND(C47+D47-E47&gt;0,OR('Debt strategy'!$D$9&gt;'Debt strategy'!$D$13,AND('Debt strategy'!$D$9='Debt strategy'!$D$13,0&lt;4))),1,0),IF(AND(I47+J47-K47&gt;0,OR('Debt strategy'!$D$10&gt;'Debt strategy'!$D$13,AND('Debt strategy'!$D$10='Debt strategy'!$D$13,1&lt;4))),1,0),IF(AND(O47+P47-Q47&gt;0,OR('Debt strategy'!$D$11&gt;'Debt strategy'!$D$13,AND('Debt strategy'!$D$11='Debt strategy'!$D$13,2&lt;4))),1,0),IF(AND(U47+V47-W47&gt;0,OR('Debt strategy'!$D$12&gt;'Debt strategy'!$D$13,AND('Debt strategy'!$D$12='Debt strategy'!$D$13,3&lt;4))),1,0)))</x:f>
        <x:v>99</x:v>
      </x:c>
      <x:c r="AE47" s="6" t="n">
        <x:f>IF('Debt strategy'!$C$16&gt;0,0,MIN(AA47+AB47-AC47,MAX(0,'Debt strategy'!$C$5-SUM(E47,K47,Q47,W47,AC47)-SUM(IF(F47&lt;AD47,C47+D47-E47,0),IF(L47&lt;AD47,I47+J47-K47,0),IF(R47&lt;AD47,O47+P47-Q47,0),IF(X47&lt;AD47,U47+V47-W47,0)))))</x:f>
        <x:v>0</x:v>
      </x:c>
      <x:c r="AF47" s="6" t="n">
        <x:f>ROUND(MAX(0,AA47+AB47-AC47-AE47),2)</x:f>
        <x:v>0</x:v>
      </x:c>
      <x:c r="AG47" s="6" t="n">
        <x:f>SUM(H47,N47,T47,Z47,AF47)</x:f>
        <x:v>0</x:v>
      </x:c>
      <x:c r="AH47" s="6" t="n">
        <x:f>SUM(D47,J47,P47,V47,AB47)+AH46</x:f>
        <x:v>1220.8400000000001</x:v>
      </x:c>
      <x:c r="AI47" s="2"/>
    </x:row>
    <x:row r="48" ht="23" customHeight="1">
      <x:c r="B48" s="2" t="n">
        <x:f>40</x:f>
        <x:v>40</x:v>
      </x:c>
      <x:c r="C48" s="6" t="n">
        <x:f>H47</x:f>
        <x:v>0</x:v>
      </x:c>
      <x:c r="D48" s="6" t="n">
        <x:f>ROUND(C48*'Debt strategy'!$D$9/12,2)</x:f>
        <x:v>0</x:v>
      </x:c>
      <x:c r="E48" s="6" t="n">
        <x:f>MIN(C48+D48,'Debt strategy'!$E$9)</x:f>
        <x:v>0</x:v>
      </x:c>
      <x:c r="F48" s="27" t="n">
        <x:f>IF(C48+D48-E48&lt;=0,99,1+SUM(IF(AND(I48+J48-K48&gt;0,OR('Debt strategy'!$D$10&gt;'Debt strategy'!$D$9,AND('Debt strategy'!$D$10='Debt strategy'!$D$9,1&lt;0))),1,0),IF(AND(O48+P48-Q48&gt;0,OR('Debt strategy'!$D$11&gt;'Debt strategy'!$D$9,AND('Debt strategy'!$D$11='Debt strategy'!$D$9,2&lt;0))),1,0),IF(AND(U48+V48-W48&gt;0,OR('Debt strategy'!$D$12&gt;'Debt strategy'!$D$9,AND('Debt strategy'!$D$12='Debt strategy'!$D$9,3&lt;0))),1,0),IF(AND(AA48+AB48-AC48&gt;0,OR('Debt strategy'!$D$13&gt;'Debt strategy'!$D$9,AND('Debt strategy'!$D$13='Debt strategy'!$D$9,4&lt;0))),1,0)))</x:f>
        <x:v>99</x:v>
      </x:c>
      <x:c r="G48" s="6" t="n">
        <x:f>IF('Debt strategy'!$C$16&gt;0,0,MIN(C48+D48-E48,MAX(0,'Debt strategy'!$C$5-SUM(E48,K48,Q48,W48,AC48)-SUM(IF(L48&lt;F48,I48+J48-K48,0),IF(R48&lt;F48,O48+P48-Q48,0),IF(X48&lt;F48,U48+V48-W48,0),IF(AD48&lt;F48,AA48+AB48-AC48,0)))))</x:f>
        <x:v>0</x:v>
      </x:c>
      <x:c r="H48" s="6" t="n">
        <x:f>ROUND(MAX(0,C48+D48-E48-G48),2)</x:f>
        <x:v>0</x:v>
      </x:c>
      <x:c r="I48" s="6" t="n">
        <x:f>N47</x:f>
        <x:v>0</x:v>
      </x:c>
      <x:c r="J48" s="6" t="n">
        <x:f>ROUND(I48*'Debt strategy'!$D$10/12,2)</x:f>
        <x:v>0</x:v>
      </x:c>
      <x:c r="K48" s="6" t="n">
        <x:f>MIN(I48+J48,'Debt strategy'!$E$10)</x:f>
        <x:v>0</x:v>
      </x:c>
      <x:c r="L48" s="27" t="n">
        <x:f>IF(I48+J48-K48&lt;=0,99,1+SUM(IF(AND(C48+D48-E48&gt;0,OR('Debt strategy'!$D$9&gt;'Debt strategy'!$D$10,AND('Debt strategy'!$D$9='Debt strategy'!$D$10,0&lt;1))),1,0),IF(AND(O48+P48-Q48&gt;0,OR('Debt strategy'!$D$11&gt;'Debt strategy'!$D$10,AND('Debt strategy'!$D$11='Debt strategy'!$D$10,2&lt;1))),1,0),IF(AND(U48+V48-W48&gt;0,OR('Debt strategy'!$D$12&gt;'Debt strategy'!$D$10,AND('Debt strategy'!$D$12='Debt strategy'!$D$10,3&lt;1))),1,0),IF(AND(AA48+AB48-AC48&gt;0,OR('Debt strategy'!$D$13&gt;'Debt strategy'!$D$10,AND('Debt strategy'!$D$13='Debt strategy'!$D$10,4&lt;1))),1,0)))</x:f>
        <x:v>99</x:v>
      </x:c>
      <x:c r="M48" s="6" t="n">
        <x:f>IF('Debt strategy'!$C$16&gt;0,0,MIN(I48+J48-K48,MAX(0,'Debt strategy'!$C$5-SUM(E48,K48,Q48,W48,AC48)-SUM(IF(F48&lt;L48,C48+D48-E48,0),IF(R48&lt;L48,O48+P48-Q48,0),IF(X48&lt;L48,U48+V48-W48,0),IF(AD48&lt;L48,AA48+AB48-AC48,0)))))</x:f>
        <x:v>0</x:v>
      </x:c>
      <x:c r="N48" s="6" t="n">
        <x:f>ROUND(MAX(0,I48+J48-K48-M48),2)</x:f>
        <x:v>0</x:v>
      </x:c>
      <x:c r="O48" s="6" t="n">
        <x:f>T47</x:f>
        <x:v>0</x:v>
      </x:c>
      <x:c r="P48" s="6" t="n">
        <x:f>ROUND(O48*'Debt strategy'!$D$11/12,2)</x:f>
        <x:v>0</x:v>
      </x:c>
      <x:c r="Q48" s="6" t="n">
        <x:f>MIN(O48+P48,'Debt strategy'!$E$11)</x:f>
        <x:v>0</x:v>
      </x:c>
      <x:c r="R48" s="27" t="n">
        <x:f>IF(O48+P48-Q48&lt;=0,99,1+SUM(IF(AND(C48+D48-E48&gt;0,OR('Debt strategy'!$D$9&gt;'Debt strategy'!$D$11,AND('Debt strategy'!$D$9='Debt strategy'!$D$11,0&lt;2))),1,0),IF(AND(I48+J48-K48&gt;0,OR('Debt strategy'!$D$10&gt;'Debt strategy'!$D$11,AND('Debt strategy'!$D$10='Debt strategy'!$D$11,1&lt;2))),1,0),IF(AND(U48+V48-W48&gt;0,OR('Debt strategy'!$D$12&gt;'Debt strategy'!$D$11,AND('Debt strategy'!$D$12='Debt strategy'!$D$11,3&lt;2))),1,0),IF(AND(AA48+AB48-AC48&gt;0,OR('Debt strategy'!$D$13&gt;'Debt strategy'!$D$11,AND('Debt strategy'!$D$13='Debt strategy'!$D$11,4&lt;2))),1,0)))</x:f>
        <x:v>99</x:v>
      </x:c>
      <x:c r="S48" s="6" t="n">
        <x:f>IF('Debt strategy'!$C$16&gt;0,0,MIN(O48+P48-Q48,MAX(0,'Debt strategy'!$C$5-SUM(E48,K48,Q48,W48,AC48)-SUM(IF(F48&lt;R48,C48+D48-E48,0),IF(L48&lt;R48,I48+J48-K48,0),IF(X48&lt;R48,U48+V48-W48,0),IF(AD48&lt;R48,AA48+AB48-AC48,0)))))</x:f>
        <x:v>0</x:v>
      </x:c>
      <x:c r="T48" s="6" t="n">
        <x:f>ROUND(MAX(0,O48+P48-Q48-S48),2)</x:f>
        <x:v>0</x:v>
      </x:c>
      <x:c r="U48" s="6" t="n">
        <x:f>Z47</x:f>
        <x:v>0</x:v>
      </x:c>
      <x:c r="V48" s="6" t="n">
        <x:f>ROUND(U48*'Debt strategy'!$D$12/12,2)</x:f>
        <x:v>0</x:v>
      </x:c>
      <x:c r="W48" s="6" t="n">
        <x:f>MIN(U48+V48,'Debt strategy'!$E$12)</x:f>
        <x:v>0</x:v>
      </x:c>
      <x:c r="X48" s="27" t="n">
        <x:f>IF(U48+V48-W48&lt;=0,99,1+SUM(IF(AND(C48+D48-E48&gt;0,OR('Debt strategy'!$D$9&gt;'Debt strategy'!$D$12,AND('Debt strategy'!$D$9='Debt strategy'!$D$12,0&lt;3))),1,0),IF(AND(I48+J48-K48&gt;0,OR('Debt strategy'!$D$10&gt;'Debt strategy'!$D$12,AND('Debt strategy'!$D$10='Debt strategy'!$D$12,1&lt;3))),1,0),IF(AND(O48+P48-Q48&gt;0,OR('Debt strategy'!$D$11&gt;'Debt strategy'!$D$12,AND('Debt strategy'!$D$11='Debt strategy'!$D$12,2&lt;3))),1,0),IF(AND(AA48+AB48-AC48&gt;0,OR('Debt strategy'!$D$13&gt;'Debt strategy'!$D$12,AND('Debt strategy'!$D$13='Debt strategy'!$D$12,4&lt;3))),1,0)))</x:f>
        <x:v>99</x:v>
      </x:c>
      <x:c r="Y48" s="6" t="n">
        <x:f>IF('Debt strategy'!$C$16&gt;0,0,MIN(U48+V48-W48,MAX(0,'Debt strategy'!$C$5-SUM(E48,K48,Q48,W48,AC48)-SUM(IF(F48&lt;X48,C48+D48-E48,0),IF(L48&lt;X48,I48+J48-K48,0),IF(R48&lt;X48,O48+P48-Q48,0),IF(AD48&lt;X48,AA48+AB48-AC48,0)))))</x:f>
        <x:v>0</x:v>
      </x:c>
      <x:c r="Z48" s="6" t="n">
        <x:f>ROUND(MAX(0,U48+V48-W48-Y48),2)</x:f>
        <x:v>0</x:v>
      </x:c>
      <x:c r="AA48" s="6" t="n">
        <x:f>AF47</x:f>
        <x:v>0</x:v>
      </x:c>
      <x:c r="AB48" s="6" t="n">
        <x:f>ROUND(AA48*'Debt strategy'!$D$13/12,2)</x:f>
        <x:v>0</x:v>
      </x:c>
      <x:c r="AC48" s="6" t="n">
        <x:f>MIN(AA48+AB48,'Debt strategy'!$E$13)</x:f>
        <x:v>0</x:v>
      </x:c>
      <x:c r="AD48" s="27" t="n">
        <x:f>IF(AA48+AB48-AC48&lt;=0,99,1+SUM(IF(AND(C48+D48-E48&gt;0,OR('Debt strategy'!$D$9&gt;'Debt strategy'!$D$13,AND('Debt strategy'!$D$9='Debt strategy'!$D$13,0&lt;4))),1,0),IF(AND(I48+J48-K48&gt;0,OR('Debt strategy'!$D$10&gt;'Debt strategy'!$D$13,AND('Debt strategy'!$D$10='Debt strategy'!$D$13,1&lt;4))),1,0),IF(AND(O48+P48-Q48&gt;0,OR('Debt strategy'!$D$11&gt;'Debt strategy'!$D$13,AND('Debt strategy'!$D$11='Debt strategy'!$D$13,2&lt;4))),1,0),IF(AND(U48+V48-W48&gt;0,OR('Debt strategy'!$D$12&gt;'Debt strategy'!$D$13,AND('Debt strategy'!$D$12='Debt strategy'!$D$13,3&lt;4))),1,0)))</x:f>
        <x:v>99</x:v>
      </x:c>
      <x:c r="AE48" s="6" t="n">
        <x:f>IF('Debt strategy'!$C$16&gt;0,0,MIN(AA48+AB48-AC48,MAX(0,'Debt strategy'!$C$5-SUM(E48,K48,Q48,W48,AC48)-SUM(IF(F48&lt;AD48,C48+D48-E48,0),IF(L48&lt;AD48,I48+J48-K48,0),IF(R48&lt;AD48,O48+P48-Q48,0),IF(X48&lt;AD48,U48+V48-W48,0)))))</x:f>
        <x:v>0</x:v>
      </x:c>
      <x:c r="AF48" s="6" t="n">
        <x:f>ROUND(MAX(0,AA48+AB48-AC48-AE48),2)</x:f>
        <x:v>0</x:v>
      </x:c>
      <x:c r="AG48" s="6" t="n">
        <x:f>SUM(H48,N48,T48,Z48,AF48)</x:f>
        <x:v>0</x:v>
      </x:c>
      <x:c r="AH48" s="6" t="n">
        <x:f>SUM(D48,J48,P48,V48,AB48)+AH47</x:f>
        <x:v>1220.8400000000001</x:v>
      </x:c>
      <x:c r="AI48" s="2"/>
    </x:row>
    <x:row r="49" ht="23" customHeight="1">
      <x:c r="B49" s="2" t="n">
        <x:f>41</x:f>
        <x:v>41</x:v>
      </x:c>
      <x:c r="C49" s="6" t="n">
        <x:f>H48</x:f>
        <x:v>0</x:v>
      </x:c>
      <x:c r="D49" s="6" t="n">
        <x:f>ROUND(C49*'Debt strategy'!$D$9/12,2)</x:f>
        <x:v>0</x:v>
      </x:c>
      <x:c r="E49" s="6" t="n">
        <x:f>MIN(C49+D49,'Debt strategy'!$E$9)</x:f>
        <x:v>0</x:v>
      </x:c>
      <x:c r="F49" s="27" t="n">
        <x:f>IF(C49+D49-E49&lt;=0,99,1+SUM(IF(AND(I49+J49-K49&gt;0,OR('Debt strategy'!$D$10&gt;'Debt strategy'!$D$9,AND('Debt strategy'!$D$10='Debt strategy'!$D$9,1&lt;0))),1,0),IF(AND(O49+P49-Q49&gt;0,OR('Debt strategy'!$D$11&gt;'Debt strategy'!$D$9,AND('Debt strategy'!$D$11='Debt strategy'!$D$9,2&lt;0))),1,0),IF(AND(U49+V49-W49&gt;0,OR('Debt strategy'!$D$12&gt;'Debt strategy'!$D$9,AND('Debt strategy'!$D$12='Debt strategy'!$D$9,3&lt;0))),1,0),IF(AND(AA49+AB49-AC49&gt;0,OR('Debt strategy'!$D$13&gt;'Debt strategy'!$D$9,AND('Debt strategy'!$D$13='Debt strategy'!$D$9,4&lt;0))),1,0)))</x:f>
        <x:v>99</x:v>
      </x:c>
      <x:c r="G49" s="6" t="n">
        <x:f>IF('Debt strategy'!$C$16&gt;0,0,MIN(C49+D49-E49,MAX(0,'Debt strategy'!$C$5-SUM(E49,K49,Q49,W49,AC49)-SUM(IF(L49&lt;F49,I49+J49-K49,0),IF(R49&lt;F49,O49+P49-Q49,0),IF(X49&lt;F49,U49+V49-W49,0),IF(AD49&lt;F49,AA49+AB49-AC49,0)))))</x:f>
        <x:v>0</x:v>
      </x:c>
      <x:c r="H49" s="6" t="n">
        <x:f>ROUND(MAX(0,C49+D49-E49-G49),2)</x:f>
        <x:v>0</x:v>
      </x:c>
      <x:c r="I49" s="6" t="n">
        <x:f>N48</x:f>
        <x:v>0</x:v>
      </x:c>
      <x:c r="J49" s="6" t="n">
        <x:f>ROUND(I49*'Debt strategy'!$D$10/12,2)</x:f>
        <x:v>0</x:v>
      </x:c>
      <x:c r="K49" s="6" t="n">
        <x:f>MIN(I49+J49,'Debt strategy'!$E$10)</x:f>
        <x:v>0</x:v>
      </x:c>
      <x:c r="L49" s="27" t="n">
        <x:f>IF(I49+J49-K49&lt;=0,99,1+SUM(IF(AND(C49+D49-E49&gt;0,OR('Debt strategy'!$D$9&gt;'Debt strategy'!$D$10,AND('Debt strategy'!$D$9='Debt strategy'!$D$10,0&lt;1))),1,0),IF(AND(O49+P49-Q49&gt;0,OR('Debt strategy'!$D$11&gt;'Debt strategy'!$D$10,AND('Debt strategy'!$D$11='Debt strategy'!$D$10,2&lt;1))),1,0),IF(AND(U49+V49-W49&gt;0,OR('Debt strategy'!$D$12&gt;'Debt strategy'!$D$10,AND('Debt strategy'!$D$12='Debt strategy'!$D$10,3&lt;1))),1,0),IF(AND(AA49+AB49-AC49&gt;0,OR('Debt strategy'!$D$13&gt;'Debt strategy'!$D$10,AND('Debt strategy'!$D$13='Debt strategy'!$D$10,4&lt;1))),1,0)))</x:f>
        <x:v>99</x:v>
      </x:c>
      <x:c r="M49" s="6" t="n">
        <x:f>IF('Debt strategy'!$C$16&gt;0,0,MIN(I49+J49-K49,MAX(0,'Debt strategy'!$C$5-SUM(E49,K49,Q49,W49,AC49)-SUM(IF(F49&lt;L49,C49+D49-E49,0),IF(R49&lt;L49,O49+P49-Q49,0),IF(X49&lt;L49,U49+V49-W49,0),IF(AD49&lt;L49,AA49+AB49-AC49,0)))))</x:f>
        <x:v>0</x:v>
      </x:c>
      <x:c r="N49" s="6" t="n">
        <x:f>ROUND(MAX(0,I49+J49-K49-M49),2)</x:f>
        <x:v>0</x:v>
      </x:c>
      <x:c r="O49" s="6" t="n">
        <x:f>T48</x:f>
        <x:v>0</x:v>
      </x:c>
      <x:c r="P49" s="6" t="n">
        <x:f>ROUND(O49*'Debt strategy'!$D$11/12,2)</x:f>
        <x:v>0</x:v>
      </x:c>
      <x:c r="Q49" s="6" t="n">
        <x:f>MIN(O49+P49,'Debt strategy'!$E$11)</x:f>
        <x:v>0</x:v>
      </x:c>
      <x:c r="R49" s="27" t="n">
        <x:f>IF(O49+P49-Q49&lt;=0,99,1+SUM(IF(AND(C49+D49-E49&gt;0,OR('Debt strategy'!$D$9&gt;'Debt strategy'!$D$11,AND('Debt strategy'!$D$9='Debt strategy'!$D$11,0&lt;2))),1,0),IF(AND(I49+J49-K49&gt;0,OR('Debt strategy'!$D$10&gt;'Debt strategy'!$D$11,AND('Debt strategy'!$D$10='Debt strategy'!$D$11,1&lt;2))),1,0),IF(AND(U49+V49-W49&gt;0,OR('Debt strategy'!$D$12&gt;'Debt strategy'!$D$11,AND('Debt strategy'!$D$12='Debt strategy'!$D$11,3&lt;2))),1,0),IF(AND(AA49+AB49-AC49&gt;0,OR('Debt strategy'!$D$13&gt;'Debt strategy'!$D$11,AND('Debt strategy'!$D$13='Debt strategy'!$D$11,4&lt;2))),1,0)))</x:f>
        <x:v>99</x:v>
      </x:c>
      <x:c r="S49" s="6" t="n">
        <x:f>IF('Debt strategy'!$C$16&gt;0,0,MIN(O49+P49-Q49,MAX(0,'Debt strategy'!$C$5-SUM(E49,K49,Q49,W49,AC49)-SUM(IF(F49&lt;R49,C49+D49-E49,0),IF(L49&lt;R49,I49+J49-K49,0),IF(X49&lt;R49,U49+V49-W49,0),IF(AD49&lt;R49,AA49+AB49-AC49,0)))))</x:f>
        <x:v>0</x:v>
      </x:c>
      <x:c r="T49" s="6" t="n">
        <x:f>ROUND(MAX(0,O49+P49-Q49-S49),2)</x:f>
        <x:v>0</x:v>
      </x:c>
      <x:c r="U49" s="6" t="n">
        <x:f>Z48</x:f>
        <x:v>0</x:v>
      </x:c>
      <x:c r="V49" s="6" t="n">
        <x:f>ROUND(U49*'Debt strategy'!$D$12/12,2)</x:f>
        <x:v>0</x:v>
      </x:c>
      <x:c r="W49" s="6" t="n">
        <x:f>MIN(U49+V49,'Debt strategy'!$E$12)</x:f>
        <x:v>0</x:v>
      </x:c>
      <x:c r="X49" s="27" t="n">
        <x:f>IF(U49+V49-W49&lt;=0,99,1+SUM(IF(AND(C49+D49-E49&gt;0,OR('Debt strategy'!$D$9&gt;'Debt strategy'!$D$12,AND('Debt strategy'!$D$9='Debt strategy'!$D$12,0&lt;3))),1,0),IF(AND(I49+J49-K49&gt;0,OR('Debt strategy'!$D$10&gt;'Debt strategy'!$D$12,AND('Debt strategy'!$D$10='Debt strategy'!$D$12,1&lt;3))),1,0),IF(AND(O49+P49-Q49&gt;0,OR('Debt strategy'!$D$11&gt;'Debt strategy'!$D$12,AND('Debt strategy'!$D$11='Debt strategy'!$D$12,2&lt;3))),1,0),IF(AND(AA49+AB49-AC49&gt;0,OR('Debt strategy'!$D$13&gt;'Debt strategy'!$D$12,AND('Debt strategy'!$D$13='Debt strategy'!$D$12,4&lt;3))),1,0)))</x:f>
        <x:v>99</x:v>
      </x:c>
      <x:c r="Y49" s="6" t="n">
        <x:f>IF('Debt strategy'!$C$16&gt;0,0,MIN(U49+V49-W49,MAX(0,'Debt strategy'!$C$5-SUM(E49,K49,Q49,W49,AC49)-SUM(IF(F49&lt;X49,C49+D49-E49,0),IF(L49&lt;X49,I49+J49-K49,0),IF(R49&lt;X49,O49+P49-Q49,0),IF(AD49&lt;X49,AA49+AB49-AC49,0)))))</x:f>
        <x:v>0</x:v>
      </x:c>
      <x:c r="Z49" s="6" t="n">
        <x:f>ROUND(MAX(0,U49+V49-W49-Y49),2)</x:f>
        <x:v>0</x:v>
      </x:c>
      <x:c r="AA49" s="6" t="n">
        <x:f>AF48</x:f>
        <x:v>0</x:v>
      </x:c>
      <x:c r="AB49" s="6" t="n">
        <x:f>ROUND(AA49*'Debt strategy'!$D$13/12,2)</x:f>
        <x:v>0</x:v>
      </x:c>
      <x:c r="AC49" s="6" t="n">
        <x:f>MIN(AA49+AB49,'Debt strategy'!$E$13)</x:f>
        <x:v>0</x:v>
      </x:c>
      <x:c r="AD49" s="27" t="n">
        <x:f>IF(AA49+AB49-AC49&lt;=0,99,1+SUM(IF(AND(C49+D49-E49&gt;0,OR('Debt strategy'!$D$9&gt;'Debt strategy'!$D$13,AND('Debt strategy'!$D$9='Debt strategy'!$D$13,0&lt;4))),1,0),IF(AND(I49+J49-K49&gt;0,OR('Debt strategy'!$D$10&gt;'Debt strategy'!$D$13,AND('Debt strategy'!$D$10='Debt strategy'!$D$13,1&lt;4))),1,0),IF(AND(O49+P49-Q49&gt;0,OR('Debt strategy'!$D$11&gt;'Debt strategy'!$D$13,AND('Debt strategy'!$D$11='Debt strategy'!$D$13,2&lt;4))),1,0),IF(AND(U49+V49-W49&gt;0,OR('Debt strategy'!$D$12&gt;'Debt strategy'!$D$13,AND('Debt strategy'!$D$12='Debt strategy'!$D$13,3&lt;4))),1,0)))</x:f>
        <x:v>99</x:v>
      </x:c>
      <x:c r="AE49" s="6" t="n">
        <x:f>IF('Debt strategy'!$C$16&gt;0,0,MIN(AA49+AB49-AC49,MAX(0,'Debt strategy'!$C$5-SUM(E49,K49,Q49,W49,AC49)-SUM(IF(F49&lt;AD49,C49+D49-E49,0),IF(L49&lt;AD49,I49+J49-K49,0),IF(R49&lt;AD49,O49+P49-Q49,0),IF(X49&lt;AD49,U49+V49-W49,0)))))</x:f>
        <x:v>0</x:v>
      </x:c>
      <x:c r="AF49" s="6" t="n">
        <x:f>ROUND(MAX(0,AA49+AB49-AC49-AE49),2)</x:f>
        <x:v>0</x:v>
      </x:c>
      <x:c r="AG49" s="6" t="n">
        <x:f>SUM(H49,N49,T49,Z49,AF49)</x:f>
        <x:v>0</x:v>
      </x:c>
      <x:c r="AH49" s="6" t="n">
        <x:f>SUM(D49,J49,P49,V49,AB49)+AH48</x:f>
        <x:v>1220.8400000000001</x:v>
      </x:c>
      <x:c r="AI49" s="2"/>
    </x:row>
    <x:row r="50" ht="23" customHeight="1">
      <x:c r="B50" s="2" t="n">
        <x:f>42</x:f>
        <x:v>42</x:v>
      </x:c>
      <x:c r="C50" s="6" t="n">
        <x:f>H49</x:f>
        <x:v>0</x:v>
      </x:c>
      <x:c r="D50" s="6" t="n">
        <x:f>ROUND(C50*'Debt strategy'!$D$9/12,2)</x:f>
        <x:v>0</x:v>
      </x:c>
      <x:c r="E50" s="6" t="n">
        <x:f>MIN(C50+D50,'Debt strategy'!$E$9)</x:f>
        <x:v>0</x:v>
      </x:c>
      <x:c r="F50" s="27" t="n">
        <x:f>IF(C50+D50-E50&lt;=0,99,1+SUM(IF(AND(I50+J50-K50&gt;0,OR('Debt strategy'!$D$10&gt;'Debt strategy'!$D$9,AND('Debt strategy'!$D$10='Debt strategy'!$D$9,1&lt;0))),1,0),IF(AND(O50+P50-Q50&gt;0,OR('Debt strategy'!$D$11&gt;'Debt strategy'!$D$9,AND('Debt strategy'!$D$11='Debt strategy'!$D$9,2&lt;0))),1,0),IF(AND(U50+V50-W50&gt;0,OR('Debt strategy'!$D$12&gt;'Debt strategy'!$D$9,AND('Debt strategy'!$D$12='Debt strategy'!$D$9,3&lt;0))),1,0),IF(AND(AA50+AB50-AC50&gt;0,OR('Debt strategy'!$D$13&gt;'Debt strategy'!$D$9,AND('Debt strategy'!$D$13='Debt strategy'!$D$9,4&lt;0))),1,0)))</x:f>
        <x:v>99</x:v>
      </x:c>
      <x:c r="G50" s="6" t="n">
        <x:f>IF('Debt strategy'!$C$16&gt;0,0,MIN(C50+D50-E50,MAX(0,'Debt strategy'!$C$5-SUM(E50,K50,Q50,W50,AC50)-SUM(IF(L50&lt;F50,I50+J50-K50,0),IF(R50&lt;F50,O50+P50-Q50,0),IF(X50&lt;F50,U50+V50-W50,0),IF(AD50&lt;F50,AA50+AB50-AC50,0)))))</x:f>
        <x:v>0</x:v>
      </x:c>
      <x:c r="H50" s="6" t="n">
        <x:f>ROUND(MAX(0,C50+D50-E50-G50),2)</x:f>
        <x:v>0</x:v>
      </x:c>
      <x:c r="I50" s="6" t="n">
        <x:f>N49</x:f>
        <x:v>0</x:v>
      </x:c>
      <x:c r="J50" s="6" t="n">
        <x:f>ROUND(I50*'Debt strategy'!$D$10/12,2)</x:f>
        <x:v>0</x:v>
      </x:c>
      <x:c r="K50" s="6" t="n">
        <x:f>MIN(I50+J50,'Debt strategy'!$E$10)</x:f>
        <x:v>0</x:v>
      </x:c>
      <x:c r="L50" s="27" t="n">
        <x:f>IF(I50+J50-K50&lt;=0,99,1+SUM(IF(AND(C50+D50-E50&gt;0,OR('Debt strategy'!$D$9&gt;'Debt strategy'!$D$10,AND('Debt strategy'!$D$9='Debt strategy'!$D$10,0&lt;1))),1,0),IF(AND(O50+P50-Q50&gt;0,OR('Debt strategy'!$D$11&gt;'Debt strategy'!$D$10,AND('Debt strategy'!$D$11='Debt strategy'!$D$10,2&lt;1))),1,0),IF(AND(U50+V50-W50&gt;0,OR('Debt strategy'!$D$12&gt;'Debt strategy'!$D$10,AND('Debt strategy'!$D$12='Debt strategy'!$D$10,3&lt;1))),1,0),IF(AND(AA50+AB50-AC50&gt;0,OR('Debt strategy'!$D$13&gt;'Debt strategy'!$D$10,AND('Debt strategy'!$D$13='Debt strategy'!$D$10,4&lt;1))),1,0)))</x:f>
        <x:v>99</x:v>
      </x:c>
      <x:c r="M50" s="6" t="n">
        <x:f>IF('Debt strategy'!$C$16&gt;0,0,MIN(I50+J50-K50,MAX(0,'Debt strategy'!$C$5-SUM(E50,K50,Q50,W50,AC50)-SUM(IF(F50&lt;L50,C50+D50-E50,0),IF(R50&lt;L50,O50+P50-Q50,0),IF(X50&lt;L50,U50+V50-W50,0),IF(AD50&lt;L50,AA50+AB50-AC50,0)))))</x:f>
        <x:v>0</x:v>
      </x:c>
      <x:c r="N50" s="6" t="n">
        <x:f>ROUND(MAX(0,I50+J50-K50-M50),2)</x:f>
        <x:v>0</x:v>
      </x:c>
      <x:c r="O50" s="6" t="n">
        <x:f>T49</x:f>
        <x:v>0</x:v>
      </x:c>
      <x:c r="P50" s="6" t="n">
        <x:f>ROUND(O50*'Debt strategy'!$D$11/12,2)</x:f>
        <x:v>0</x:v>
      </x:c>
      <x:c r="Q50" s="6" t="n">
        <x:f>MIN(O50+P50,'Debt strategy'!$E$11)</x:f>
        <x:v>0</x:v>
      </x:c>
      <x:c r="R50" s="27" t="n">
        <x:f>IF(O50+P50-Q50&lt;=0,99,1+SUM(IF(AND(C50+D50-E50&gt;0,OR('Debt strategy'!$D$9&gt;'Debt strategy'!$D$11,AND('Debt strategy'!$D$9='Debt strategy'!$D$11,0&lt;2))),1,0),IF(AND(I50+J50-K50&gt;0,OR('Debt strategy'!$D$10&gt;'Debt strategy'!$D$11,AND('Debt strategy'!$D$10='Debt strategy'!$D$11,1&lt;2))),1,0),IF(AND(U50+V50-W50&gt;0,OR('Debt strategy'!$D$12&gt;'Debt strategy'!$D$11,AND('Debt strategy'!$D$12='Debt strategy'!$D$11,3&lt;2))),1,0),IF(AND(AA50+AB50-AC50&gt;0,OR('Debt strategy'!$D$13&gt;'Debt strategy'!$D$11,AND('Debt strategy'!$D$13='Debt strategy'!$D$11,4&lt;2))),1,0)))</x:f>
        <x:v>99</x:v>
      </x:c>
      <x:c r="S50" s="6" t="n">
        <x:f>IF('Debt strategy'!$C$16&gt;0,0,MIN(O50+P50-Q50,MAX(0,'Debt strategy'!$C$5-SUM(E50,K50,Q50,W50,AC50)-SUM(IF(F50&lt;R50,C50+D50-E50,0),IF(L50&lt;R50,I50+J50-K50,0),IF(X50&lt;R50,U50+V50-W50,0),IF(AD50&lt;R50,AA50+AB50-AC50,0)))))</x:f>
        <x:v>0</x:v>
      </x:c>
      <x:c r="T50" s="6" t="n">
        <x:f>ROUND(MAX(0,O50+P50-Q50-S50),2)</x:f>
        <x:v>0</x:v>
      </x:c>
      <x:c r="U50" s="6" t="n">
        <x:f>Z49</x:f>
        <x:v>0</x:v>
      </x:c>
      <x:c r="V50" s="6" t="n">
        <x:f>ROUND(U50*'Debt strategy'!$D$12/12,2)</x:f>
        <x:v>0</x:v>
      </x:c>
      <x:c r="W50" s="6" t="n">
        <x:f>MIN(U50+V50,'Debt strategy'!$E$12)</x:f>
        <x:v>0</x:v>
      </x:c>
      <x:c r="X50" s="27" t="n">
        <x:f>IF(U50+V50-W50&lt;=0,99,1+SUM(IF(AND(C50+D50-E50&gt;0,OR('Debt strategy'!$D$9&gt;'Debt strategy'!$D$12,AND('Debt strategy'!$D$9='Debt strategy'!$D$12,0&lt;3))),1,0),IF(AND(I50+J50-K50&gt;0,OR('Debt strategy'!$D$10&gt;'Debt strategy'!$D$12,AND('Debt strategy'!$D$10='Debt strategy'!$D$12,1&lt;3))),1,0),IF(AND(O50+P50-Q50&gt;0,OR('Debt strategy'!$D$11&gt;'Debt strategy'!$D$12,AND('Debt strategy'!$D$11='Debt strategy'!$D$12,2&lt;3))),1,0),IF(AND(AA50+AB50-AC50&gt;0,OR('Debt strategy'!$D$13&gt;'Debt strategy'!$D$12,AND('Debt strategy'!$D$13='Debt strategy'!$D$12,4&lt;3))),1,0)))</x:f>
        <x:v>99</x:v>
      </x:c>
      <x:c r="Y50" s="6" t="n">
        <x:f>IF('Debt strategy'!$C$16&gt;0,0,MIN(U50+V50-W50,MAX(0,'Debt strategy'!$C$5-SUM(E50,K50,Q50,W50,AC50)-SUM(IF(F50&lt;X50,C50+D50-E50,0),IF(L50&lt;X50,I50+J50-K50,0),IF(R50&lt;X50,O50+P50-Q50,0),IF(AD50&lt;X50,AA50+AB50-AC50,0)))))</x:f>
        <x:v>0</x:v>
      </x:c>
      <x:c r="Z50" s="6" t="n">
        <x:f>ROUND(MAX(0,U50+V50-W50-Y50),2)</x:f>
        <x:v>0</x:v>
      </x:c>
      <x:c r="AA50" s="6" t="n">
        <x:f>AF49</x:f>
        <x:v>0</x:v>
      </x:c>
      <x:c r="AB50" s="6" t="n">
        <x:f>ROUND(AA50*'Debt strategy'!$D$13/12,2)</x:f>
        <x:v>0</x:v>
      </x:c>
      <x:c r="AC50" s="6" t="n">
        <x:f>MIN(AA50+AB50,'Debt strategy'!$E$13)</x:f>
        <x:v>0</x:v>
      </x:c>
      <x:c r="AD50" s="27" t="n">
        <x:f>IF(AA50+AB50-AC50&lt;=0,99,1+SUM(IF(AND(C50+D50-E50&gt;0,OR('Debt strategy'!$D$9&gt;'Debt strategy'!$D$13,AND('Debt strategy'!$D$9='Debt strategy'!$D$13,0&lt;4))),1,0),IF(AND(I50+J50-K50&gt;0,OR('Debt strategy'!$D$10&gt;'Debt strategy'!$D$13,AND('Debt strategy'!$D$10='Debt strategy'!$D$13,1&lt;4))),1,0),IF(AND(O50+P50-Q50&gt;0,OR('Debt strategy'!$D$11&gt;'Debt strategy'!$D$13,AND('Debt strategy'!$D$11='Debt strategy'!$D$13,2&lt;4))),1,0),IF(AND(U50+V50-W50&gt;0,OR('Debt strategy'!$D$12&gt;'Debt strategy'!$D$13,AND('Debt strategy'!$D$12='Debt strategy'!$D$13,3&lt;4))),1,0)))</x:f>
        <x:v>99</x:v>
      </x:c>
      <x:c r="AE50" s="6" t="n">
        <x:f>IF('Debt strategy'!$C$16&gt;0,0,MIN(AA50+AB50-AC50,MAX(0,'Debt strategy'!$C$5-SUM(E50,K50,Q50,W50,AC50)-SUM(IF(F50&lt;AD50,C50+D50-E50,0),IF(L50&lt;AD50,I50+J50-K50,0),IF(R50&lt;AD50,O50+P50-Q50,0),IF(X50&lt;AD50,U50+V50-W50,0)))))</x:f>
        <x:v>0</x:v>
      </x:c>
      <x:c r="AF50" s="6" t="n">
        <x:f>ROUND(MAX(0,AA50+AB50-AC50-AE50),2)</x:f>
        <x:v>0</x:v>
      </x:c>
      <x:c r="AG50" s="6" t="n">
        <x:f>SUM(H50,N50,T50,Z50,AF50)</x:f>
        <x:v>0</x:v>
      </x:c>
      <x:c r="AH50" s="6" t="n">
        <x:f>SUM(D50,J50,P50,V50,AB50)+AH49</x:f>
        <x:v>1220.8400000000001</x:v>
      </x:c>
      <x:c r="AI50" s="2"/>
    </x:row>
    <x:row r="51" ht="23" customHeight="1">
      <x:c r="B51" s="2" t="n">
        <x:f>43</x:f>
        <x:v>43</x:v>
      </x:c>
      <x:c r="C51" s="6" t="n">
        <x:f>H50</x:f>
        <x:v>0</x:v>
      </x:c>
      <x:c r="D51" s="6" t="n">
        <x:f>ROUND(C51*'Debt strategy'!$D$9/12,2)</x:f>
        <x:v>0</x:v>
      </x:c>
      <x:c r="E51" s="6" t="n">
        <x:f>MIN(C51+D51,'Debt strategy'!$E$9)</x:f>
        <x:v>0</x:v>
      </x:c>
      <x:c r="F51" s="27" t="n">
        <x:f>IF(C51+D51-E51&lt;=0,99,1+SUM(IF(AND(I51+J51-K51&gt;0,OR('Debt strategy'!$D$10&gt;'Debt strategy'!$D$9,AND('Debt strategy'!$D$10='Debt strategy'!$D$9,1&lt;0))),1,0),IF(AND(O51+P51-Q51&gt;0,OR('Debt strategy'!$D$11&gt;'Debt strategy'!$D$9,AND('Debt strategy'!$D$11='Debt strategy'!$D$9,2&lt;0))),1,0),IF(AND(U51+V51-W51&gt;0,OR('Debt strategy'!$D$12&gt;'Debt strategy'!$D$9,AND('Debt strategy'!$D$12='Debt strategy'!$D$9,3&lt;0))),1,0),IF(AND(AA51+AB51-AC51&gt;0,OR('Debt strategy'!$D$13&gt;'Debt strategy'!$D$9,AND('Debt strategy'!$D$13='Debt strategy'!$D$9,4&lt;0))),1,0)))</x:f>
        <x:v>99</x:v>
      </x:c>
      <x:c r="G51" s="6" t="n">
        <x:f>IF('Debt strategy'!$C$16&gt;0,0,MIN(C51+D51-E51,MAX(0,'Debt strategy'!$C$5-SUM(E51,K51,Q51,W51,AC51)-SUM(IF(L51&lt;F51,I51+J51-K51,0),IF(R51&lt;F51,O51+P51-Q51,0),IF(X51&lt;F51,U51+V51-W51,0),IF(AD51&lt;F51,AA51+AB51-AC51,0)))))</x:f>
        <x:v>0</x:v>
      </x:c>
      <x:c r="H51" s="6" t="n">
        <x:f>ROUND(MAX(0,C51+D51-E51-G51),2)</x:f>
        <x:v>0</x:v>
      </x:c>
      <x:c r="I51" s="6" t="n">
        <x:f>N50</x:f>
        <x:v>0</x:v>
      </x:c>
      <x:c r="J51" s="6" t="n">
        <x:f>ROUND(I51*'Debt strategy'!$D$10/12,2)</x:f>
        <x:v>0</x:v>
      </x:c>
      <x:c r="K51" s="6" t="n">
        <x:f>MIN(I51+J51,'Debt strategy'!$E$10)</x:f>
        <x:v>0</x:v>
      </x:c>
      <x:c r="L51" s="27" t="n">
        <x:f>IF(I51+J51-K51&lt;=0,99,1+SUM(IF(AND(C51+D51-E51&gt;0,OR('Debt strategy'!$D$9&gt;'Debt strategy'!$D$10,AND('Debt strategy'!$D$9='Debt strategy'!$D$10,0&lt;1))),1,0),IF(AND(O51+P51-Q51&gt;0,OR('Debt strategy'!$D$11&gt;'Debt strategy'!$D$10,AND('Debt strategy'!$D$11='Debt strategy'!$D$10,2&lt;1))),1,0),IF(AND(U51+V51-W51&gt;0,OR('Debt strategy'!$D$12&gt;'Debt strategy'!$D$10,AND('Debt strategy'!$D$12='Debt strategy'!$D$10,3&lt;1))),1,0),IF(AND(AA51+AB51-AC51&gt;0,OR('Debt strategy'!$D$13&gt;'Debt strategy'!$D$10,AND('Debt strategy'!$D$13='Debt strategy'!$D$10,4&lt;1))),1,0)))</x:f>
        <x:v>99</x:v>
      </x:c>
      <x:c r="M51" s="6" t="n">
        <x:f>IF('Debt strategy'!$C$16&gt;0,0,MIN(I51+J51-K51,MAX(0,'Debt strategy'!$C$5-SUM(E51,K51,Q51,W51,AC51)-SUM(IF(F51&lt;L51,C51+D51-E51,0),IF(R51&lt;L51,O51+P51-Q51,0),IF(X51&lt;L51,U51+V51-W51,0),IF(AD51&lt;L51,AA51+AB51-AC51,0)))))</x:f>
        <x:v>0</x:v>
      </x:c>
      <x:c r="N51" s="6" t="n">
        <x:f>ROUND(MAX(0,I51+J51-K51-M51),2)</x:f>
        <x:v>0</x:v>
      </x:c>
      <x:c r="O51" s="6" t="n">
        <x:f>T50</x:f>
        <x:v>0</x:v>
      </x:c>
      <x:c r="P51" s="6" t="n">
        <x:f>ROUND(O51*'Debt strategy'!$D$11/12,2)</x:f>
        <x:v>0</x:v>
      </x:c>
      <x:c r="Q51" s="6" t="n">
        <x:f>MIN(O51+P51,'Debt strategy'!$E$11)</x:f>
        <x:v>0</x:v>
      </x:c>
      <x:c r="R51" s="27" t="n">
        <x:f>IF(O51+P51-Q51&lt;=0,99,1+SUM(IF(AND(C51+D51-E51&gt;0,OR('Debt strategy'!$D$9&gt;'Debt strategy'!$D$11,AND('Debt strategy'!$D$9='Debt strategy'!$D$11,0&lt;2))),1,0),IF(AND(I51+J51-K51&gt;0,OR('Debt strategy'!$D$10&gt;'Debt strategy'!$D$11,AND('Debt strategy'!$D$10='Debt strategy'!$D$11,1&lt;2))),1,0),IF(AND(U51+V51-W51&gt;0,OR('Debt strategy'!$D$12&gt;'Debt strategy'!$D$11,AND('Debt strategy'!$D$12='Debt strategy'!$D$11,3&lt;2))),1,0),IF(AND(AA51+AB51-AC51&gt;0,OR('Debt strategy'!$D$13&gt;'Debt strategy'!$D$11,AND('Debt strategy'!$D$13='Debt strategy'!$D$11,4&lt;2))),1,0)))</x:f>
        <x:v>99</x:v>
      </x:c>
      <x:c r="S51" s="6" t="n">
        <x:f>IF('Debt strategy'!$C$16&gt;0,0,MIN(O51+P51-Q51,MAX(0,'Debt strategy'!$C$5-SUM(E51,K51,Q51,W51,AC51)-SUM(IF(F51&lt;R51,C51+D51-E51,0),IF(L51&lt;R51,I51+J51-K51,0),IF(X51&lt;R51,U51+V51-W51,0),IF(AD51&lt;R51,AA51+AB51-AC51,0)))))</x:f>
        <x:v>0</x:v>
      </x:c>
      <x:c r="T51" s="6" t="n">
        <x:f>ROUND(MAX(0,O51+P51-Q51-S51),2)</x:f>
        <x:v>0</x:v>
      </x:c>
      <x:c r="U51" s="6" t="n">
        <x:f>Z50</x:f>
        <x:v>0</x:v>
      </x:c>
      <x:c r="V51" s="6" t="n">
        <x:f>ROUND(U51*'Debt strategy'!$D$12/12,2)</x:f>
        <x:v>0</x:v>
      </x:c>
      <x:c r="W51" s="6" t="n">
        <x:f>MIN(U51+V51,'Debt strategy'!$E$12)</x:f>
        <x:v>0</x:v>
      </x:c>
      <x:c r="X51" s="27" t="n">
        <x:f>IF(U51+V51-W51&lt;=0,99,1+SUM(IF(AND(C51+D51-E51&gt;0,OR('Debt strategy'!$D$9&gt;'Debt strategy'!$D$12,AND('Debt strategy'!$D$9='Debt strategy'!$D$12,0&lt;3))),1,0),IF(AND(I51+J51-K51&gt;0,OR('Debt strategy'!$D$10&gt;'Debt strategy'!$D$12,AND('Debt strategy'!$D$10='Debt strategy'!$D$12,1&lt;3))),1,0),IF(AND(O51+P51-Q51&gt;0,OR('Debt strategy'!$D$11&gt;'Debt strategy'!$D$12,AND('Debt strategy'!$D$11='Debt strategy'!$D$12,2&lt;3))),1,0),IF(AND(AA51+AB51-AC51&gt;0,OR('Debt strategy'!$D$13&gt;'Debt strategy'!$D$12,AND('Debt strategy'!$D$13='Debt strategy'!$D$12,4&lt;3))),1,0)))</x:f>
        <x:v>99</x:v>
      </x:c>
      <x:c r="Y51" s="6" t="n">
        <x:f>IF('Debt strategy'!$C$16&gt;0,0,MIN(U51+V51-W51,MAX(0,'Debt strategy'!$C$5-SUM(E51,K51,Q51,W51,AC51)-SUM(IF(F51&lt;X51,C51+D51-E51,0),IF(L51&lt;X51,I51+J51-K51,0),IF(R51&lt;X51,O51+P51-Q51,0),IF(AD51&lt;X51,AA51+AB51-AC51,0)))))</x:f>
        <x:v>0</x:v>
      </x:c>
      <x:c r="Z51" s="6" t="n">
        <x:f>ROUND(MAX(0,U51+V51-W51-Y51),2)</x:f>
        <x:v>0</x:v>
      </x:c>
      <x:c r="AA51" s="6" t="n">
        <x:f>AF50</x:f>
        <x:v>0</x:v>
      </x:c>
      <x:c r="AB51" s="6" t="n">
        <x:f>ROUND(AA51*'Debt strategy'!$D$13/12,2)</x:f>
        <x:v>0</x:v>
      </x:c>
      <x:c r="AC51" s="6" t="n">
        <x:f>MIN(AA51+AB51,'Debt strategy'!$E$13)</x:f>
        <x:v>0</x:v>
      </x:c>
      <x:c r="AD51" s="27" t="n">
        <x:f>IF(AA51+AB51-AC51&lt;=0,99,1+SUM(IF(AND(C51+D51-E51&gt;0,OR('Debt strategy'!$D$9&gt;'Debt strategy'!$D$13,AND('Debt strategy'!$D$9='Debt strategy'!$D$13,0&lt;4))),1,0),IF(AND(I51+J51-K51&gt;0,OR('Debt strategy'!$D$10&gt;'Debt strategy'!$D$13,AND('Debt strategy'!$D$10='Debt strategy'!$D$13,1&lt;4))),1,0),IF(AND(O51+P51-Q51&gt;0,OR('Debt strategy'!$D$11&gt;'Debt strategy'!$D$13,AND('Debt strategy'!$D$11='Debt strategy'!$D$13,2&lt;4))),1,0),IF(AND(U51+V51-W51&gt;0,OR('Debt strategy'!$D$12&gt;'Debt strategy'!$D$13,AND('Debt strategy'!$D$12='Debt strategy'!$D$13,3&lt;4))),1,0)))</x:f>
        <x:v>99</x:v>
      </x:c>
      <x:c r="AE51" s="6" t="n">
        <x:f>IF('Debt strategy'!$C$16&gt;0,0,MIN(AA51+AB51-AC51,MAX(0,'Debt strategy'!$C$5-SUM(E51,K51,Q51,W51,AC51)-SUM(IF(F51&lt;AD51,C51+D51-E51,0),IF(L51&lt;AD51,I51+J51-K51,0),IF(R51&lt;AD51,O51+P51-Q51,0),IF(X51&lt;AD51,U51+V51-W51,0)))))</x:f>
        <x:v>0</x:v>
      </x:c>
      <x:c r="AF51" s="6" t="n">
        <x:f>ROUND(MAX(0,AA51+AB51-AC51-AE51),2)</x:f>
        <x:v>0</x:v>
      </x:c>
      <x:c r="AG51" s="6" t="n">
        <x:f>SUM(H51,N51,T51,Z51,AF51)</x:f>
        <x:v>0</x:v>
      </x:c>
      <x:c r="AH51" s="6" t="n">
        <x:f>SUM(D51,J51,P51,V51,AB51)+AH50</x:f>
        <x:v>1220.8400000000001</x:v>
      </x:c>
      <x:c r="AI51" s="2"/>
    </x:row>
    <x:row r="52" ht="23" customHeight="1">
      <x:c r="B52" s="2" t="n">
        <x:f>44</x:f>
        <x:v>44</x:v>
      </x:c>
      <x:c r="C52" s="6" t="n">
        <x:f>H51</x:f>
        <x:v>0</x:v>
      </x:c>
      <x:c r="D52" s="6" t="n">
        <x:f>ROUND(C52*'Debt strategy'!$D$9/12,2)</x:f>
        <x:v>0</x:v>
      </x:c>
      <x:c r="E52" s="6" t="n">
        <x:f>MIN(C52+D52,'Debt strategy'!$E$9)</x:f>
        <x:v>0</x:v>
      </x:c>
      <x:c r="F52" s="27" t="n">
        <x:f>IF(C52+D52-E52&lt;=0,99,1+SUM(IF(AND(I52+J52-K52&gt;0,OR('Debt strategy'!$D$10&gt;'Debt strategy'!$D$9,AND('Debt strategy'!$D$10='Debt strategy'!$D$9,1&lt;0))),1,0),IF(AND(O52+P52-Q52&gt;0,OR('Debt strategy'!$D$11&gt;'Debt strategy'!$D$9,AND('Debt strategy'!$D$11='Debt strategy'!$D$9,2&lt;0))),1,0),IF(AND(U52+V52-W52&gt;0,OR('Debt strategy'!$D$12&gt;'Debt strategy'!$D$9,AND('Debt strategy'!$D$12='Debt strategy'!$D$9,3&lt;0))),1,0),IF(AND(AA52+AB52-AC52&gt;0,OR('Debt strategy'!$D$13&gt;'Debt strategy'!$D$9,AND('Debt strategy'!$D$13='Debt strategy'!$D$9,4&lt;0))),1,0)))</x:f>
        <x:v>99</x:v>
      </x:c>
      <x:c r="G52" s="6" t="n">
        <x:f>IF('Debt strategy'!$C$16&gt;0,0,MIN(C52+D52-E52,MAX(0,'Debt strategy'!$C$5-SUM(E52,K52,Q52,W52,AC52)-SUM(IF(L52&lt;F52,I52+J52-K52,0),IF(R52&lt;F52,O52+P52-Q52,0),IF(X52&lt;F52,U52+V52-W52,0),IF(AD52&lt;F52,AA52+AB52-AC52,0)))))</x:f>
        <x:v>0</x:v>
      </x:c>
      <x:c r="H52" s="6" t="n">
        <x:f>ROUND(MAX(0,C52+D52-E52-G52),2)</x:f>
        <x:v>0</x:v>
      </x:c>
      <x:c r="I52" s="6" t="n">
        <x:f>N51</x:f>
        <x:v>0</x:v>
      </x:c>
      <x:c r="J52" s="6" t="n">
        <x:f>ROUND(I52*'Debt strategy'!$D$10/12,2)</x:f>
        <x:v>0</x:v>
      </x:c>
      <x:c r="K52" s="6" t="n">
        <x:f>MIN(I52+J52,'Debt strategy'!$E$10)</x:f>
        <x:v>0</x:v>
      </x:c>
      <x:c r="L52" s="27" t="n">
        <x:f>IF(I52+J52-K52&lt;=0,99,1+SUM(IF(AND(C52+D52-E52&gt;0,OR('Debt strategy'!$D$9&gt;'Debt strategy'!$D$10,AND('Debt strategy'!$D$9='Debt strategy'!$D$10,0&lt;1))),1,0),IF(AND(O52+P52-Q52&gt;0,OR('Debt strategy'!$D$11&gt;'Debt strategy'!$D$10,AND('Debt strategy'!$D$11='Debt strategy'!$D$10,2&lt;1))),1,0),IF(AND(U52+V52-W52&gt;0,OR('Debt strategy'!$D$12&gt;'Debt strategy'!$D$10,AND('Debt strategy'!$D$12='Debt strategy'!$D$10,3&lt;1))),1,0),IF(AND(AA52+AB52-AC52&gt;0,OR('Debt strategy'!$D$13&gt;'Debt strategy'!$D$10,AND('Debt strategy'!$D$13='Debt strategy'!$D$10,4&lt;1))),1,0)))</x:f>
        <x:v>99</x:v>
      </x:c>
      <x:c r="M52" s="6" t="n">
        <x:f>IF('Debt strategy'!$C$16&gt;0,0,MIN(I52+J52-K52,MAX(0,'Debt strategy'!$C$5-SUM(E52,K52,Q52,W52,AC52)-SUM(IF(F52&lt;L52,C52+D52-E52,0),IF(R52&lt;L52,O52+P52-Q52,0),IF(X52&lt;L52,U52+V52-W52,0),IF(AD52&lt;L52,AA52+AB52-AC52,0)))))</x:f>
        <x:v>0</x:v>
      </x:c>
      <x:c r="N52" s="6" t="n">
        <x:f>ROUND(MAX(0,I52+J52-K52-M52),2)</x:f>
        <x:v>0</x:v>
      </x:c>
      <x:c r="O52" s="6" t="n">
        <x:f>T51</x:f>
        <x:v>0</x:v>
      </x:c>
      <x:c r="P52" s="6" t="n">
        <x:f>ROUND(O52*'Debt strategy'!$D$11/12,2)</x:f>
        <x:v>0</x:v>
      </x:c>
      <x:c r="Q52" s="6" t="n">
        <x:f>MIN(O52+P52,'Debt strategy'!$E$11)</x:f>
        <x:v>0</x:v>
      </x:c>
      <x:c r="R52" s="27" t="n">
        <x:f>IF(O52+P52-Q52&lt;=0,99,1+SUM(IF(AND(C52+D52-E52&gt;0,OR('Debt strategy'!$D$9&gt;'Debt strategy'!$D$11,AND('Debt strategy'!$D$9='Debt strategy'!$D$11,0&lt;2))),1,0),IF(AND(I52+J52-K52&gt;0,OR('Debt strategy'!$D$10&gt;'Debt strategy'!$D$11,AND('Debt strategy'!$D$10='Debt strategy'!$D$11,1&lt;2))),1,0),IF(AND(U52+V52-W52&gt;0,OR('Debt strategy'!$D$12&gt;'Debt strategy'!$D$11,AND('Debt strategy'!$D$12='Debt strategy'!$D$11,3&lt;2))),1,0),IF(AND(AA52+AB52-AC52&gt;0,OR('Debt strategy'!$D$13&gt;'Debt strategy'!$D$11,AND('Debt strategy'!$D$13='Debt strategy'!$D$11,4&lt;2))),1,0)))</x:f>
        <x:v>99</x:v>
      </x:c>
      <x:c r="S52" s="6" t="n">
        <x:f>IF('Debt strategy'!$C$16&gt;0,0,MIN(O52+P52-Q52,MAX(0,'Debt strategy'!$C$5-SUM(E52,K52,Q52,W52,AC52)-SUM(IF(F52&lt;R52,C52+D52-E52,0),IF(L52&lt;R52,I52+J52-K52,0),IF(X52&lt;R52,U52+V52-W52,0),IF(AD52&lt;R52,AA52+AB52-AC52,0)))))</x:f>
        <x:v>0</x:v>
      </x:c>
      <x:c r="T52" s="6" t="n">
        <x:f>ROUND(MAX(0,O52+P52-Q52-S52),2)</x:f>
        <x:v>0</x:v>
      </x:c>
      <x:c r="U52" s="6" t="n">
        <x:f>Z51</x:f>
        <x:v>0</x:v>
      </x:c>
      <x:c r="V52" s="6" t="n">
        <x:f>ROUND(U52*'Debt strategy'!$D$12/12,2)</x:f>
        <x:v>0</x:v>
      </x:c>
      <x:c r="W52" s="6" t="n">
        <x:f>MIN(U52+V52,'Debt strategy'!$E$12)</x:f>
        <x:v>0</x:v>
      </x:c>
      <x:c r="X52" s="27" t="n">
        <x:f>IF(U52+V52-W52&lt;=0,99,1+SUM(IF(AND(C52+D52-E52&gt;0,OR('Debt strategy'!$D$9&gt;'Debt strategy'!$D$12,AND('Debt strategy'!$D$9='Debt strategy'!$D$12,0&lt;3))),1,0),IF(AND(I52+J52-K52&gt;0,OR('Debt strategy'!$D$10&gt;'Debt strategy'!$D$12,AND('Debt strategy'!$D$10='Debt strategy'!$D$12,1&lt;3))),1,0),IF(AND(O52+P52-Q52&gt;0,OR('Debt strategy'!$D$11&gt;'Debt strategy'!$D$12,AND('Debt strategy'!$D$11='Debt strategy'!$D$12,2&lt;3))),1,0),IF(AND(AA52+AB52-AC52&gt;0,OR('Debt strategy'!$D$13&gt;'Debt strategy'!$D$12,AND('Debt strategy'!$D$13='Debt strategy'!$D$12,4&lt;3))),1,0)))</x:f>
        <x:v>99</x:v>
      </x:c>
      <x:c r="Y52" s="6" t="n">
        <x:f>IF('Debt strategy'!$C$16&gt;0,0,MIN(U52+V52-W52,MAX(0,'Debt strategy'!$C$5-SUM(E52,K52,Q52,W52,AC52)-SUM(IF(F52&lt;X52,C52+D52-E52,0),IF(L52&lt;X52,I52+J52-K52,0),IF(R52&lt;X52,O52+P52-Q52,0),IF(AD52&lt;X52,AA52+AB52-AC52,0)))))</x:f>
        <x:v>0</x:v>
      </x:c>
      <x:c r="Z52" s="6" t="n">
        <x:f>ROUND(MAX(0,U52+V52-W52-Y52),2)</x:f>
        <x:v>0</x:v>
      </x:c>
      <x:c r="AA52" s="6" t="n">
        <x:f>AF51</x:f>
        <x:v>0</x:v>
      </x:c>
      <x:c r="AB52" s="6" t="n">
        <x:f>ROUND(AA52*'Debt strategy'!$D$13/12,2)</x:f>
        <x:v>0</x:v>
      </x:c>
      <x:c r="AC52" s="6" t="n">
        <x:f>MIN(AA52+AB52,'Debt strategy'!$E$13)</x:f>
        <x:v>0</x:v>
      </x:c>
      <x:c r="AD52" s="27" t="n">
        <x:f>IF(AA52+AB52-AC52&lt;=0,99,1+SUM(IF(AND(C52+D52-E52&gt;0,OR('Debt strategy'!$D$9&gt;'Debt strategy'!$D$13,AND('Debt strategy'!$D$9='Debt strategy'!$D$13,0&lt;4))),1,0),IF(AND(I52+J52-K52&gt;0,OR('Debt strategy'!$D$10&gt;'Debt strategy'!$D$13,AND('Debt strategy'!$D$10='Debt strategy'!$D$13,1&lt;4))),1,0),IF(AND(O52+P52-Q52&gt;0,OR('Debt strategy'!$D$11&gt;'Debt strategy'!$D$13,AND('Debt strategy'!$D$11='Debt strategy'!$D$13,2&lt;4))),1,0),IF(AND(U52+V52-W52&gt;0,OR('Debt strategy'!$D$12&gt;'Debt strategy'!$D$13,AND('Debt strategy'!$D$12='Debt strategy'!$D$13,3&lt;4))),1,0)))</x:f>
        <x:v>99</x:v>
      </x:c>
      <x:c r="AE52" s="6" t="n">
        <x:f>IF('Debt strategy'!$C$16&gt;0,0,MIN(AA52+AB52-AC52,MAX(0,'Debt strategy'!$C$5-SUM(E52,K52,Q52,W52,AC52)-SUM(IF(F52&lt;AD52,C52+D52-E52,0),IF(L52&lt;AD52,I52+J52-K52,0),IF(R52&lt;AD52,O52+P52-Q52,0),IF(X52&lt;AD52,U52+V52-W52,0)))))</x:f>
        <x:v>0</x:v>
      </x:c>
      <x:c r="AF52" s="6" t="n">
        <x:f>ROUND(MAX(0,AA52+AB52-AC52-AE52),2)</x:f>
        <x:v>0</x:v>
      </x:c>
      <x:c r="AG52" s="6" t="n">
        <x:f>SUM(H52,N52,T52,Z52,AF52)</x:f>
        <x:v>0</x:v>
      </x:c>
      <x:c r="AH52" s="6" t="n">
        <x:f>SUM(D52,J52,P52,V52,AB52)+AH51</x:f>
        <x:v>1220.8400000000001</x:v>
      </x:c>
      <x:c r="AI52" s="2"/>
    </x:row>
    <x:row r="53" ht="23" customHeight="1">
      <x:c r="B53" s="2" t="n">
        <x:f>45</x:f>
        <x:v>45</x:v>
      </x:c>
      <x:c r="C53" s="6" t="n">
        <x:f>H52</x:f>
        <x:v>0</x:v>
      </x:c>
      <x:c r="D53" s="6" t="n">
        <x:f>ROUND(C53*'Debt strategy'!$D$9/12,2)</x:f>
        <x:v>0</x:v>
      </x:c>
      <x:c r="E53" s="6" t="n">
        <x:f>MIN(C53+D53,'Debt strategy'!$E$9)</x:f>
        <x:v>0</x:v>
      </x:c>
      <x:c r="F53" s="27" t="n">
        <x:f>IF(C53+D53-E53&lt;=0,99,1+SUM(IF(AND(I53+J53-K53&gt;0,OR('Debt strategy'!$D$10&gt;'Debt strategy'!$D$9,AND('Debt strategy'!$D$10='Debt strategy'!$D$9,1&lt;0))),1,0),IF(AND(O53+P53-Q53&gt;0,OR('Debt strategy'!$D$11&gt;'Debt strategy'!$D$9,AND('Debt strategy'!$D$11='Debt strategy'!$D$9,2&lt;0))),1,0),IF(AND(U53+V53-W53&gt;0,OR('Debt strategy'!$D$12&gt;'Debt strategy'!$D$9,AND('Debt strategy'!$D$12='Debt strategy'!$D$9,3&lt;0))),1,0),IF(AND(AA53+AB53-AC53&gt;0,OR('Debt strategy'!$D$13&gt;'Debt strategy'!$D$9,AND('Debt strategy'!$D$13='Debt strategy'!$D$9,4&lt;0))),1,0)))</x:f>
        <x:v>99</x:v>
      </x:c>
      <x:c r="G53" s="6" t="n">
        <x:f>IF('Debt strategy'!$C$16&gt;0,0,MIN(C53+D53-E53,MAX(0,'Debt strategy'!$C$5-SUM(E53,K53,Q53,W53,AC53)-SUM(IF(L53&lt;F53,I53+J53-K53,0),IF(R53&lt;F53,O53+P53-Q53,0),IF(X53&lt;F53,U53+V53-W53,0),IF(AD53&lt;F53,AA53+AB53-AC53,0)))))</x:f>
        <x:v>0</x:v>
      </x:c>
      <x:c r="H53" s="6" t="n">
        <x:f>ROUND(MAX(0,C53+D53-E53-G53),2)</x:f>
        <x:v>0</x:v>
      </x:c>
      <x:c r="I53" s="6" t="n">
        <x:f>N52</x:f>
        <x:v>0</x:v>
      </x:c>
      <x:c r="J53" s="6" t="n">
        <x:f>ROUND(I53*'Debt strategy'!$D$10/12,2)</x:f>
        <x:v>0</x:v>
      </x:c>
      <x:c r="K53" s="6" t="n">
        <x:f>MIN(I53+J53,'Debt strategy'!$E$10)</x:f>
        <x:v>0</x:v>
      </x:c>
      <x:c r="L53" s="27" t="n">
        <x:f>IF(I53+J53-K53&lt;=0,99,1+SUM(IF(AND(C53+D53-E53&gt;0,OR('Debt strategy'!$D$9&gt;'Debt strategy'!$D$10,AND('Debt strategy'!$D$9='Debt strategy'!$D$10,0&lt;1))),1,0),IF(AND(O53+P53-Q53&gt;0,OR('Debt strategy'!$D$11&gt;'Debt strategy'!$D$10,AND('Debt strategy'!$D$11='Debt strategy'!$D$10,2&lt;1))),1,0),IF(AND(U53+V53-W53&gt;0,OR('Debt strategy'!$D$12&gt;'Debt strategy'!$D$10,AND('Debt strategy'!$D$12='Debt strategy'!$D$10,3&lt;1))),1,0),IF(AND(AA53+AB53-AC53&gt;0,OR('Debt strategy'!$D$13&gt;'Debt strategy'!$D$10,AND('Debt strategy'!$D$13='Debt strategy'!$D$10,4&lt;1))),1,0)))</x:f>
        <x:v>99</x:v>
      </x:c>
      <x:c r="M53" s="6" t="n">
        <x:f>IF('Debt strategy'!$C$16&gt;0,0,MIN(I53+J53-K53,MAX(0,'Debt strategy'!$C$5-SUM(E53,K53,Q53,W53,AC53)-SUM(IF(F53&lt;L53,C53+D53-E53,0),IF(R53&lt;L53,O53+P53-Q53,0),IF(X53&lt;L53,U53+V53-W53,0),IF(AD53&lt;L53,AA53+AB53-AC53,0)))))</x:f>
        <x:v>0</x:v>
      </x:c>
      <x:c r="N53" s="6" t="n">
        <x:f>ROUND(MAX(0,I53+J53-K53-M53),2)</x:f>
        <x:v>0</x:v>
      </x:c>
      <x:c r="O53" s="6" t="n">
        <x:f>T52</x:f>
        <x:v>0</x:v>
      </x:c>
      <x:c r="P53" s="6" t="n">
        <x:f>ROUND(O53*'Debt strategy'!$D$11/12,2)</x:f>
        <x:v>0</x:v>
      </x:c>
      <x:c r="Q53" s="6" t="n">
        <x:f>MIN(O53+P53,'Debt strategy'!$E$11)</x:f>
        <x:v>0</x:v>
      </x:c>
      <x:c r="R53" s="27" t="n">
        <x:f>IF(O53+P53-Q53&lt;=0,99,1+SUM(IF(AND(C53+D53-E53&gt;0,OR('Debt strategy'!$D$9&gt;'Debt strategy'!$D$11,AND('Debt strategy'!$D$9='Debt strategy'!$D$11,0&lt;2))),1,0),IF(AND(I53+J53-K53&gt;0,OR('Debt strategy'!$D$10&gt;'Debt strategy'!$D$11,AND('Debt strategy'!$D$10='Debt strategy'!$D$11,1&lt;2))),1,0),IF(AND(U53+V53-W53&gt;0,OR('Debt strategy'!$D$12&gt;'Debt strategy'!$D$11,AND('Debt strategy'!$D$12='Debt strategy'!$D$11,3&lt;2))),1,0),IF(AND(AA53+AB53-AC53&gt;0,OR('Debt strategy'!$D$13&gt;'Debt strategy'!$D$11,AND('Debt strategy'!$D$13='Debt strategy'!$D$11,4&lt;2))),1,0)))</x:f>
        <x:v>99</x:v>
      </x:c>
      <x:c r="S53" s="6" t="n">
        <x:f>IF('Debt strategy'!$C$16&gt;0,0,MIN(O53+P53-Q53,MAX(0,'Debt strategy'!$C$5-SUM(E53,K53,Q53,W53,AC53)-SUM(IF(F53&lt;R53,C53+D53-E53,0),IF(L53&lt;R53,I53+J53-K53,0),IF(X53&lt;R53,U53+V53-W53,0),IF(AD53&lt;R53,AA53+AB53-AC53,0)))))</x:f>
        <x:v>0</x:v>
      </x:c>
      <x:c r="T53" s="6" t="n">
        <x:f>ROUND(MAX(0,O53+P53-Q53-S53),2)</x:f>
        <x:v>0</x:v>
      </x:c>
      <x:c r="U53" s="6" t="n">
        <x:f>Z52</x:f>
        <x:v>0</x:v>
      </x:c>
      <x:c r="V53" s="6" t="n">
        <x:f>ROUND(U53*'Debt strategy'!$D$12/12,2)</x:f>
        <x:v>0</x:v>
      </x:c>
      <x:c r="W53" s="6" t="n">
        <x:f>MIN(U53+V53,'Debt strategy'!$E$12)</x:f>
        <x:v>0</x:v>
      </x:c>
      <x:c r="X53" s="27" t="n">
        <x:f>IF(U53+V53-W53&lt;=0,99,1+SUM(IF(AND(C53+D53-E53&gt;0,OR('Debt strategy'!$D$9&gt;'Debt strategy'!$D$12,AND('Debt strategy'!$D$9='Debt strategy'!$D$12,0&lt;3))),1,0),IF(AND(I53+J53-K53&gt;0,OR('Debt strategy'!$D$10&gt;'Debt strategy'!$D$12,AND('Debt strategy'!$D$10='Debt strategy'!$D$12,1&lt;3))),1,0),IF(AND(O53+P53-Q53&gt;0,OR('Debt strategy'!$D$11&gt;'Debt strategy'!$D$12,AND('Debt strategy'!$D$11='Debt strategy'!$D$12,2&lt;3))),1,0),IF(AND(AA53+AB53-AC53&gt;0,OR('Debt strategy'!$D$13&gt;'Debt strategy'!$D$12,AND('Debt strategy'!$D$13='Debt strategy'!$D$12,4&lt;3))),1,0)))</x:f>
        <x:v>99</x:v>
      </x:c>
      <x:c r="Y53" s="6" t="n">
        <x:f>IF('Debt strategy'!$C$16&gt;0,0,MIN(U53+V53-W53,MAX(0,'Debt strategy'!$C$5-SUM(E53,K53,Q53,W53,AC53)-SUM(IF(F53&lt;X53,C53+D53-E53,0),IF(L53&lt;X53,I53+J53-K53,0),IF(R53&lt;X53,O53+P53-Q53,0),IF(AD53&lt;X53,AA53+AB53-AC53,0)))))</x:f>
        <x:v>0</x:v>
      </x:c>
      <x:c r="Z53" s="6" t="n">
        <x:f>ROUND(MAX(0,U53+V53-W53-Y53),2)</x:f>
        <x:v>0</x:v>
      </x:c>
      <x:c r="AA53" s="6" t="n">
        <x:f>AF52</x:f>
        <x:v>0</x:v>
      </x:c>
      <x:c r="AB53" s="6" t="n">
        <x:f>ROUND(AA53*'Debt strategy'!$D$13/12,2)</x:f>
        <x:v>0</x:v>
      </x:c>
      <x:c r="AC53" s="6" t="n">
        <x:f>MIN(AA53+AB53,'Debt strategy'!$E$13)</x:f>
        <x:v>0</x:v>
      </x:c>
      <x:c r="AD53" s="27" t="n">
        <x:f>IF(AA53+AB53-AC53&lt;=0,99,1+SUM(IF(AND(C53+D53-E53&gt;0,OR('Debt strategy'!$D$9&gt;'Debt strategy'!$D$13,AND('Debt strategy'!$D$9='Debt strategy'!$D$13,0&lt;4))),1,0),IF(AND(I53+J53-K53&gt;0,OR('Debt strategy'!$D$10&gt;'Debt strategy'!$D$13,AND('Debt strategy'!$D$10='Debt strategy'!$D$13,1&lt;4))),1,0),IF(AND(O53+P53-Q53&gt;0,OR('Debt strategy'!$D$11&gt;'Debt strategy'!$D$13,AND('Debt strategy'!$D$11='Debt strategy'!$D$13,2&lt;4))),1,0),IF(AND(U53+V53-W53&gt;0,OR('Debt strategy'!$D$12&gt;'Debt strategy'!$D$13,AND('Debt strategy'!$D$12='Debt strategy'!$D$13,3&lt;4))),1,0)))</x:f>
        <x:v>99</x:v>
      </x:c>
      <x:c r="AE53" s="6" t="n">
        <x:f>IF('Debt strategy'!$C$16&gt;0,0,MIN(AA53+AB53-AC53,MAX(0,'Debt strategy'!$C$5-SUM(E53,K53,Q53,W53,AC53)-SUM(IF(F53&lt;AD53,C53+D53-E53,0),IF(L53&lt;AD53,I53+J53-K53,0),IF(R53&lt;AD53,O53+P53-Q53,0),IF(X53&lt;AD53,U53+V53-W53,0)))))</x:f>
        <x:v>0</x:v>
      </x:c>
      <x:c r="AF53" s="6" t="n">
        <x:f>ROUND(MAX(0,AA53+AB53-AC53-AE53),2)</x:f>
        <x:v>0</x:v>
      </x:c>
      <x:c r="AG53" s="6" t="n">
        <x:f>SUM(H53,N53,T53,Z53,AF53)</x:f>
        <x:v>0</x:v>
      </x:c>
      <x:c r="AH53" s="6" t="n">
        <x:f>SUM(D53,J53,P53,V53,AB53)+AH52</x:f>
        <x:v>1220.8400000000001</x:v>
      </x:c>
      <x:c r="AI53" s="2"/>
    </x:row>
    <x:row r="54" ht="23" customHeight="1">
      <x:c r="B54" s="2" t="n">
        <x:f>46</x:f>
        <x:v>46</x:v>
      </x:c>
      <x:c r="C54" s="6" t="n">
        <x:f>H53</x:f>
        <x:v>0</x:v>
      </x:c>
      <x:c r="D54" s="6" t="n">
        <x:f>ROUND(C54*'Debt strategy'!$D$9/12,2)</x:f>
        <x:v>0</x:v>
      </x:c>
      <x:c r="E54" s="6" t="n">
        <x:f>MIN(C54+D54,'Debt strategy'!$E$9)</x:f>
        <x:v>0</x:v>
      </x:c>
      <x:c r="F54" s="27" t="n">
        <x:f>IF(C54+D54-E54&lt;=0,99,1+SUM(IF(AND(I54+J54-K54&gt;0,OR('Debt strategy'!$D$10&gt;'Debt strategy'!$D$9,AND('Debt strategy'!$D$10='Debt strategy'!$D$9,1&lt;0))),1,0),IF(AND(O54+P54-Q54&gt;0,OR('Debt strategy'!$D$11&gt;'Debt strategy'!$D$9,AND('Debt strategy'!$D$11='Debt strategy'!$D$9,2&lt;0))),1,0),IF(AND(U54+V54-W54&gt;0,OR('Debt strategy'!$D$12&gt;'Debt strategy'!$D$9,AND('Debt strategy'!$D$12='Debt strategy'!$D$9,3&lt;0))),1,0),IF(AND(AA54+AB54-AC54&gt;0,OR('Debt strategy'!$D$13&gt;'Debt strategy'!$D$9,AND('Debt strategy'!$D$13='Debt strategy'!$D$9,4&lt;0))),1,0)))</x:f>
        <x:v>99</x:v>
      </x:c>
      <x:c r="G54" s="6" t="n">
        <x:f>IF('Debt strategy'!$C$16&gt;0,0,MIN(C54+D54-E54,MAX(0,'Debt strategy'!$C$5-SUM(E54,K54,Q54,W54,AC54)-SUM(IF(L54&lt;F54,I54+J54-K54,0),IF(R54&lt;F54,O54+P54-Q54,0),IF(X54&lt;F54,U54+V54-W54,0),IF(AD54&lt;F54,AA54+AB54-AC54,0)))))</x:f>
        <x:v>0</x:v>
      </x:c>
      <x:c r="H54" s="6" t="n">
        <x:f>ROUND(MAX(0,C54+D54-E54-G54),2)</x:f>
        <x:v>0</x:v>
      </x:c>
      <x:c r="I54" s="6" t="n">
        <x:f>N53</x:f>
        <x:v>0</x:v>
      </x:c>
      <x:c r="J54" s="6" t="n">
        <x:f>ROUND(I54*'Debt strategy'!$D$10/12,2)</x:f>
        <x:v>0</x:v>
      </x:c>
      <x:c r="K54" s="6" t="n">
        <x:f>MIN(I54+J54,'Debt strategy'!$E$10)</x:f>
        <x:v>0</x:v>
      </x:c>
      <x:c r="L54" s="27" t="n">
        <x:f>IF(I54+J54-K54&lt;=0,99,1+SUM(IF(AND(C54+D54-E54&gt;0,OR('Debt strategy'!$D$9&gt;'Debt strategy'!$D$10,AND('Debt strategy'!$D$9='Debt strategy'!$D$10,0&lt;1))),1,0),IF(AND(O54+P54-Q54&gt;0,OR('Debt strategy'!$D$11&gt;'Debt strategy'!$D$10,AND('Debt strategy'!$D$11='Debt strategy'!$D$10,2&lt;1))),1,0),IF(AND(U54+V54-W54&gt;0,OR('Debt strategy'!$D$12&gt;'Debt strategy'!$D$10,AND('Debt strategy'!$D$12='Debt strategy'!$D$10,3&lt;1))),1,0),IF(AND(AA54+AB54-AC54&gt;0,OR('Debt strategy'!$D$13&gt;'Debt strategy'!$D$10,AND('Debt strategy'!$D$13='Debt strategy'!$D$10,4&lt;1))),1,0)))</x:f>
        <x:v>99</x:v>
      </x:c>
      <x:c r="M54" s="6" t="n">
        <x:f>IF('Debt strategy'!$C$16&gt;0,0,MIN(I54+J54-K54,MAX(0,'Debt strategy'!$C$5-SUM(E54,K54,Q54,W54,AC54)-SUM(IF(F54&lt;L54,C54+D54-E54,0),IF(R54&lt;L54,O54+P54-Q54,0),IF(X54&lt;L54,U54+V54-W54,0),IF(AD54&lt;L54,AA54+AB54-AC54,0)))))</x:f>
        <x:v>0</x:v>
      </x:c>
      <x:c r="N54" s="6" t="n">
        <x:f>ROUND(MAX(0,I54+J54-K54-M54),2)</x:f>
        <x:v>0</x:v>
      </x:c>
      <x:c r="O54" s="6" t="n">
        <x:f>T53</x:f>
        <x:v>0</x:v>
      </x:c>
      <x:c r="P54" s="6" t="n">
        <x:f>ROUND(O54*'Debt strategy'!$D$11/12,2)</x:f>
        <x:v>0</x:v>
      </x:c>
      <x:c r="Q54" s="6" t="n">
        <x:f>MIN(O54+P54,'Debt strategy'!$E$11)</x:f>
        <x:v>0</x:v>
      </x:c>
      <x:c r="R54" s="27" t="n">
        <x:f>IF(O54+P54-Q54&lt;=0,99,1+SUM(IF(AND(C54+D54-E54&gt;0,OR('Debt strategy'!$D$9&gt;'Debt strategy'!$D$11,AND('Debt strategy'!$D$9='Debt strategy'!$D$11,0&lt;2))),1,0),IF(AND(I54+J54-K54&gt;0,OR('Debt strategy'!$D$10&gt;'Debt strategy'!$D$11,AND('Debt strategy'!$D$10='Debt strategy'!$D$11,1&lt;2))),1,0),IF(AND(U54+V54-W54&gt;0,OR('Debt strategy'!$D$12&gt;'Debt strategy'!$D$11,AND('Debt strategy'!$D$12='Debt strategy'!$D$11,3&lt;2))),1,0),IF(AND(AA54+AB54-AC54&gt;0,OR('Debt strategy'!$D$13&gt;'Debt strategy'!$D$11,AND('Debt strategy'!$D$13='Debt strategy'!$D$11,4&lt;2))),1,0)))</x:f>
        <x:v>99</x:v>
      </x:c>
      <x:c r="S54" s="6" t="n">
        <x:f>IF('Debt strategy'!$C$16&gt;0,0,MIN(O54+P54-Q54,MAX(0,'Debt strategy'!$C$5-SUM(E54,K54,Q54,W54,AC54)-SUM(IF(F54&lt;R54,C54+D54-E54,0),IF(L54&lt;R54,I54+J54-K54,0),IF(X54&lt;R54,U54+V54-W54,0),IF(AD54&lt;R54,AA54+AB54-AC54,0)))))</x:f>
        <x:v>0</x:v>
      </x:c>
      <x:c r="T54" s="6" t="n">
        <x:f>ROUND(MAX(0,O54+P54-Q54-S54),2)</x:f>
        <x:v>0</x:v>
      </x:c>
      <x:c r="U54" s="6" t="n">
        <x:f>Z53</x:f>
        <x:v>0</x:v>
      </x:c>
      <x:c r="V54" s="6" t="n">
        <x:f>ROUND(U54*'Debt strategy'!$D$12/12,2)</x:f>
        <x:v>0</x:v>
      </x:c>
      <x:c r="W54" s="6" t="n">
        <x:f>MIN(U54+V54,'Debt strategy'!$E$12)</x:f>
        <x:v>0</x:v>
      </x:c>
      <x:c r="X54" s="27" t="n">
        <x:f>IF(U54+V54-W54&lt;=0,99,1+SUM(IF(AND(C54+D54-E54&gt;0,OR('Debt strategy'!$D$9&gt;'Debt strategy'!$D$12,AND('Debt strategy'!$D$9='Debt strategy'!$D$12,0&lt;3))),1,0),IF(AND(I54+J54-K54&gt;0,OR('Debt strategy'!$D$10&gt;'Debt strategy'!$D$12,AND('Debt strategy'!$D$10='Debt strategy'!$D$12,1&lt;3))),1,0),IF(AND(O54+P54-Q54&gt;0,OR('Debt strategy'!$D$11&gt;'Debt strategy'!$D$12,AND('Debt strategy'!$D$11='Debt strategy'!$D$12,2&lt;3))),1,0),IF(AND(AA54+AB54-AC54&gt;0,OR('Debt strategy'!$D$13&gt;'Debt strategy'!$D$12,AND('Debt strategy'!$D$13='Debt strategy'!$D$12,4&lt;3))),1,0)))</x:f>
        <x:v>99</x:v>
      </x:c>
      <x:c r="Y54" s="6" t="n">
        <x:f>IF('Debt strategy'!$C$16&gt;0,0,MIN(U54+V54-W54,MAX(0,'Debt strategy'!$C$5-SUM(E54,K54,Q54,W54,AC54)-SUM(IF(F54&lt;X54,C54+D54-E54,0),IF(L54&lt;X54,I54+J54-K54,0),IF(R54&lt;X54,O54+P54-Q54,0),IF(AD54&lt;X54,AA54+AB54-AC54,0)))))</x:f>
        <x:v>0</x:v>
      </x:c>
      <x:c r="Z54" s="6" t="n">
        <x:f>ROUND(MAX(0,U54+V54-W54-Y54),2)</x:f>
        <x:v>0</x:v>
      </x:c>
      <x:c r="AA54" s="6" t="n">
        <x:f>AF53</x:f>
        <x:v>0</x:v>
      </x:c>
      <x:c r="AB54" s="6" t="n">
        <x:f>ROUND(AA54*'Debt strategy'!$D$13/12,2)</x:f>
        <x:v>0</x:v>
      </x:c>
      <x:c r="AC54" s="6" t="n">
        <x:f>MIN(AA54+AB54,'Debt strategy'!$E$13)</x:f>
        <x:v>0</x:v>
      </x:c>
      <x:c r="AD54" s="27" t="n">
        <x:f>IF(AA54+AB54-AC54&lt;=0,99,1+SUM(IF(AND(C54+D54-E54&gt;0,OR('Debt strategy'!$D$9&gt;'Debt strategy'!$D$13,AND('Debt strategy'!$D$9='Debt strategy'!$D$13,0&lt;4))),1,0),IF(AND(I54+J54-K54&gt;0,OR('Debt strategy'!$D$10&gt;'Debt strategy'!$D$13,AND('Debt strategy'!$D$10='Debt strategy'!$D$13,1&lt;4))),1,0),IF(AND(O54+P54-Q54&gt;0,OR('Debt strategy'!$D$11&gt;'Debt strategy'!$D$13,AND('Debt strategy'!$D$11='Debt strategy'!$D$13,2&lt;4))),1,0),IF(AND(U54+V54-W54&gt;0,OR('Debt strategy'!$D$12&gt;'Debt strategy'!$D$13,AND('Debt strategy'!$D$12='Debt strategy'!$D$13,3&lt;4))),1,0)))</x:f>
        <x:v>99</x:v>
      </x:c>
      <x:c r="AE54" s="6" t="n">
        <x:f>IF('Debt strategy'!$C$16&gt;0,0,MIN(AA54+AB54-AC54,MAX(0,'Debt strategy'!$C$5-SUM(E54,K54,Q54,W54,AC54)-SUM(IF(F54&lt;AD54,C54+D54-E54,0),IF(L54&lt;AD54,I54+J54-K54,0),IF(R54&lt;AD54,O54+P54-Q54,0),IF(X54&lt;AD54,U54+V54-W54,0)))))</x:f>
        <x:v>0</x:v>
      </x:c>
      <x:c r="AF54" s="6" t="n">
        <x:f>ROUND(MAX(0,AA54+AB54-AC54-AE54),2)</x:f>
        <x:v>0</x:v>
      </x:c>
      <x:c r="AG54" s="6" t="n">
        <x:f>SUM(H54,N54,T54,Z54,AF54)</x:f>
        <x:v>0</x:v>
      </x:c>
      <x:c r="AH54" s="6" t="n">
        <x:f>SUM(D54,J54,P54,V54,AB54)+AH53</x:f>
        <x:v>1220.8400000000001</x:v>
      </x:c>
      <x:c r="AI54" s="2"/>
    </x:row>
    <x:row r="55" ht="23" customHeight="1">
      <x:c r="B55" s="2" t="n">
        <x:f>47</x:f>
        <x:v>47</x:v>
      </x:c>
      <x:c r="C55" s="6" t="n">
        <x:f>H54</x:f>
        <x:v>0</x:v>
      </x:c>
      <x:c r="D55" s="6" t="n">
        <x:f>ROUND(C55*'Debt strategy'!$D$9/12,2)</x:f>
        <x:v>0</x:v>
      </x:c>
      <x:c r="E55" s="6" t="n">
        <x:f>MIN(C55+D55,'Debt strategy'!$E$9)</x:f>
        <x:v>0</x:v>
      </x:c>
      <x:c r="F55" s="27" t="n">
        <x:f>IF(C55+D55-E55&lt;=0,99,1+SUM(IF(AND(I55+J55-K55&gt;0,OR('Debt strategy'!$D$10&gt;'Debt strategy'!$D$9,AND('Debt strategy'!$D$10='Debt strategy'!$D$9,1&lt;0))),1,0),IF(AND(O55+P55-Q55&gt;0,OR('Debt strategy'!$D$11&gt;'Debt strategy'!$D$9,AND('Debt strategy'!$D$11='Debt strategy'!$D$9,2&lt;0))),1,0),IF(AND(U55+V55-W55&gt;0,OR('Debt strategy'!$D$12&gt;'Debt strategy'!$D$9,AND('Debt strategy'!$D$12='Debt strategy'!$D$9,3&lt;0))),1,0),IF(AND(AA55+AB55-AC55&gt;0,OR('Debt strategy'!$D$13&gt;'Debt strategy'!$D$9,AND('Debt strategy'!$D$13='Debt strategy'!$D$9,4&lt;0))),1,0)))</x:f>
        <x:v>99</x:v>
      </x:c>
      <x:c r="G55" s="6" t="n">
        <x:f>IF('Debt strategy'!$C$16&gt;0,0,MIN(C55+D55-E55,MAX(0,'Debt strategy'!$C$5-SUM(E55,K55,Q55,W55,AC55)-SUM(IF(L55&lt;F55,I55+J55-K55,0),IF(R55&lt;F55,O55+P55-Q55,0),IF(X55&lt;F55,U55+V55-W55,0),IF(AD55&lt;F55,AA55+AB55-AC55,0)))))</x:f>
        <x:v>0</x:v>
      </x:c>
      <x:c r="H55" s="6" t="n">
        <x:f>ROUND(MAX(0,C55+D55-E55-G55),2)</x:f>
        <x:v>0</x:v>
      </x:c>
      <x:c r="I55" s="6" t="n">
        <x:f>N54</x:f>
        <x:v>0</x:v>
      </x:c>
      <x:c r="J55" s="6" t="n">
        <x:f>ROUND(I55*'Debt strategy'!$D$10/12,2)</x:f>
        <x:v>0</x:v>
      </x:c>
      <x:c r="K55" s="6" t="n">
        <x:f>MIN(I55+J55,'Debt strategy'!$E$10)</x:f>
        <x:v>0</x:v>
      </x:c>
      <x:c r="L55" s="27" t="n">
        <x:f>IF(I55+J55-K55&lt;=0,99,1+SUM(IF(AND(C55+D55-E55&gt;0,OR('Debt strategy'!$D$9&gt;'Debt strategy'!$D$10,AND('Debt strategy'!$D$9='Debt strategy'!$D$10,0&lt;1))),1,0),IF(AND(O55+P55-Q55&gt;0,OR('Debt strategy'!$D$11&gt;'Debt strategy'!$D$10,AND('Debt strategy'!$D$11='Debt strategy'!$D$10,2&lt;1))),1,0),IF(AND(U55+V55-W55&gt;0,OR('Debt strategy'!$D$12&gt;'Debt strategy'!$D$10,AND('Debt strategy'!$D$12='Debt strategy'!$D$10,3&lt;1))),1,0),IF(AND(AA55+AB55-AC55&gt;0,OR('Debt strategy'!$D$13&gt;'Debt strategy'!$D$10,AND('Debt strategy'!$D$13='Debt strategy'!$D$10,4&lt;1))),1,0)))</x:f>
        <x:v>99</x:v>
      </x:c>
      <x:c r="M55" s="6" t="n">
        <x:f>IF('Debt strategy'!$C$16&gt;0,0,MIN(I55+J55-K55,MAX(0,'Debt strategy'!$C$5-SUM(E55,K55,Q55,W55,AC55)-SUM(IF(F55&lt;L55,C55+D55-E55,0),IF(R55&lt;L55,O55+P55-Q55,0),IF(X55&lt;L55,U55+V55-W55,0),IF(AD55&lt;L55,AA55+AB55-AC55,0)))))</x:f>
        <x:v>0</x:v>
      </x:c>
      <x:c r="N55" s="6" t="n">
        <x:f>ROUND(MAX(0,I55+J55-K55-M55),2)</x:f>
        <x:v>0</x:v>
      </x:c>
      <x:c r="O55" s="6" t="n">
        <x:f>T54</x:f>
        <x:v>0</x:v>
      </x:c>
      <x:c r="P55" s="6" t="n">
        <x:f>ROUND(O55*'Debt strategy'!$D$11/12,2)</x:f>
        <x:v>0</x:v>
      </x:c>
      <x:c r="Q55" s="6" t="n">
        <x:f>MIN(O55+P55,'Debt strategy'!$E$11)</x:f>
        <x:v>0</x:v>
      </x:c>
      <x:c r="R55" s="27" t="n">
        <x:f>IF(O55+P55-Q55&lt;=0,99,1+SUM(IF(AND(C55+D55-E55&gt;0,OR('Debt strategy'!$D$9&gt;'Debt strategy'!$D$11,AND('Debt strategy'!$D$9='Debt strategy'!$D$11,0&lt;2))),1,0),IF(AND(I55+J55-K55&gt;0,OR('Debt strategy'!$D$10&gt;'Debt strategy'!$D$11,AND('Debt strategy'!$D$10='Debt strategy'!$D$11,1&lt;2))),1,0),IF(AND(U55+V55-W55&gt;0,OR('Debt strategy'!$D$12&gt;'Debt strategy'!$D$11,AND('Debt strategy'!$D$12='Debt strategy'!$D$11,3&lt;2))),1,0),IF(AND(AA55+AB55-AC55&gt;0,OR('Debt strategy'!$D$13&gt;'Debt strategy'!$D$11,AND('Debt strategy'!$D$13='Debt strategy'!$D$11,4&lt;2))),1,0)))</x:f>
        <x:v>99</x:v>
      </x:c>
      <x:c r="S55" s="6" t="n">
        <x:f>IF('Debt strategy'!$C$16&gt;0,0,MIN(O55+P55-Q55,MAX(0,'Debt strategy'!$C$5-SUM(E55,K55,Q55,W55,AC55)-SUM(IF(F55&lt;R55,C55+D55-E55,0),IF(L55&lt;R55,I55+J55-K55,0),IF(X55&lt;R55,U55+V55-W55,0),IF(AD55&lt;R55,AA55+AB55-AC55,0)))))</x:f>
        <x:v>0</x:v>
      </x:c>
      <x:c r="T55" s="6" t="n">
        <x:f>ROUND(MAX(0,O55+P55-Q55-S55),2)</x:f>
        <x:v>0</x:v>
      </x:c>
      <x:c r="U55" s="6" t="n">
        <x:f>Z54</x:f>
        <x:v>0</x:v>
      </x:c>
      <x:c r="V55" s="6" t="n">
        <x:f>ROUND(U55*'Debt strategy'!$D$12/12,2)</x:f>
        <x:v>0</x:v>
      </x:c>
      <x:c r="W55" s="6" t="n">
        <x:f>MIN(U55+V55,'Debt strategy'!$E$12)</x:f>
        <x:v>0</x:v>
      </x:c>
      <x:c r="X55" s="27" t="n">
        <x:f>IF(U55+V55-W55&lt;=0,99,1+SUM(IF(AND(C55+D55-E55&gt;0,OR('Debt strategy'!$D$9&gt;'Debt strategy'!$D$12,AND('Debt strategy'!$D$9='Debt strategy'!$D$12,0&lt;3))),1,0),IF(AND(I55+J55-K55&gt;0,OR('Debt strategy'!$D$10&gt;'Debt strategy'!$D$12,AND('Debt strategy'!$D$10='Debt strategy'!$D$12,1&lt;3))),1,0),IF(AND(O55+P55-Q55&gt;0,OR('Debt strategy'!$D$11&gt;'Debt strategy'!$D$12,AND('Debt strategy'!$D$11='Debt strategy'!$D$12,2&lt;3))),1,0),IF(AND(AA55+AB55-AC55&gt;0,OR('Debt strategy'!$D$13&gt;'Debt strategy'!$D$12,AND('Debt strategy'!$D$13='Debt strategy'!$D$12,4&lt;3))),1,0)))</x:f>
        <x:v>99</x:v>
      </x:c>
      <x:c r="Y55" s="6" t="n">
        <x:f>IF('Debt strategy'!$C$16&gt;0,0,MIN(U55+V55-W55,MAX(0,'Debt strategy'!$C$5-SUM(E55,K55,Q55,W55,AC55)-SUM(IF(F55&lt;X55,C55+D55-E55,0),IF(L55&lt;X55,I55+J55-K55,0),IF(R55&lt;X55,O55+P55-Q55,0),IF(AD55&lt;X55,AA55+AB55-AC55,0)))))</x:f>
        <x:v>0</x:v>
      </x:c>
      <x:c r="Z55" s="6" t="n">
        <x:f>ROUND(MAX(0,U55+V55-W55-Y55),2)</x:f>
        <x:v>0</x:v>
      </x:c>
      <x:c r="AA55" s="6" t="n">
        <x:f>AF54</x:f>
        <x:v>0</x:v>
      </x:c>
      <x:c r="AB55" s="6" t="n">
        <x:f>ROUND(AA55*'Debt strategy'!$D$13/12,2)</x:f>
        <x:v>0</x:v>
      </x:c>
      <x:c r="AC55" s="6" t="n">
        <x:f>MIN(AA55+AB55,'Debt strategy'!$E$13)</x:f>
        <x:v>0</x:v>
      </x:c>
      <x:c r="AD55" s="27" t="n">
        <x:f>IF(AA55+AB55-AC55&lt;=0,99,1+SUM(IF(AND(C55+D55-E55&gt;0,OR('Debt strategy'!$D$9&gt;'Debt strategy'!$D$13,AND('Debt strategy'!$D$9='Debt strategy'!$D$13,0&lt;4))),1,0),IF(AND(I55+J55-K55&gt;0,OR('Debt strategy'!$D$10&gt;'Debt strategy'!$D$13,AND('Debt strategy'!$D$10='Debt strategy'!$D$13,1&lt;4))),1,0),IF(AND(O55+P55-Q55&gt;0,OR('Debt strategy'!$D$11&gt;'Debt strategy'!$D$13,AND('Debt strategy'!$D$11='Debt strategy'!$D$13,2&lt;4))),1,0),IF(AND(U55+V55-W55&gt;0,OR('Debt strategy'!$D$12&gt;'Debt strategy'!$D$13,AND('Debt strategy'!$D$12='Debt strategy'!$D$13,3&lt;4))),1,0)))</x:f>
        <x:v>99</x:v>
      </x:c>
      <x:c r="AE55" s="6" t="n">
        <x:f>IF('Debt strategy'!$C$16&gt;0,0,MIN(AA55+AB55-AC55,MAX(0,'Debt strategy'!$C$5-SUM(E55,K55,Q55,W55,AC55)-SUM(IF(F55&lt;AD55,C55+D55-E55,0),IF(L55&lt;AD55,I55+J55-K55,0),IF(R55&lt;AD55,O55+P55-Q55,0),IF(X55&lt;AD55,U55+V55-W55,0)))))</x:f>
        <x:v>0</x:v>
      </x:c>
      <x:c r="AF55" s="6" t="n">
        <x:f>ROUND(MAX(0,AA55+AB55-AC55-AE55),2)</x:f>
        <x:v>0</x:v>
      </x:c>
      <x:c r="AG55" s="6" t="n">
        <x:f>SUM(H55,N55,T55,Z55,AF55)</x:f>
        <x:v>0</x:v>
      </x:c>
      <x:c r="AH55" s="6" t="n">
        <x:f>SUM(D55,J55,P55,V55,AB55)+AH54</x:f>
        <x:v>1220.8400000000001</x:v>
      </x:c>
      <x:c r="AI55" s="2"/>
    </x:row>
    <x:row r="56" ht="23" customHeight="1">
      <x:c r="B56" s="2" t="n">
        <x:f>48</x:f>
        <x:v>48</x:v>
      </x:c>
      <x:c r="C56" s="6" t="n">
        <x:f>H55</x:f>
        <x:v>0</x:v>
      </x:c>
      <x:c r="D56" s="6" t="n">
        <x:f>ROUND(C56*'Debt strategy'!$D$9/12,2)</x:f>
        <x:v>0</x:v>
      </x:c>
      <x:c r="E56" s="6" t="n">
        <x:f>MIN(C56+D56,'Debt strategy'!$E$9)</x:f>
        <x:v>0</x:v>
      </x:c>
      <x:c r="F56" s="27" t="n">
        <x:f>IF(C56+D56-E56&lt;=0,99,1+SUM(IF(AND(I56+J56-K56&gt;0,OR('Debt strategy'!$D$10&gt;'Debt strategy'!$D$9,AND('Debt strategy'!$D$10='Debt strategy'!$D$9,1&lt;0))),1,0),IF(AND(O56+P56-Q56&gt;0,OR('Debt strategy'!$D$11&gt;'Debt strategy'!$D$9,AND('Debt strategy'!$D$11='Debt strategy'!$D$9,2&lt;0))),1,0),IF(AND(U56+V56-W56&gt;0,OR('Debt strategy'!$D$12&gt;'Debt strategy'!$D$9,AND('Debt strategy'!$D$12='Debt strategy'!$D$9,3&lt;0))),1,0),IF(AND(AA56+AB56-AC56&gt;0,OR('Debt strategy'!$D$13&gt;'Debt strategy'!$D$9,AND('Debt strategy'!$D$13='Debt strategy'!$D$9,4&lt;0))),1,0)))</x:f>
        <x:v>99</x:v>
      </x:c>
      <x:c r="G56" s="6" t="n">
        <x:f>IF('Debt strategy'!$C$16&gt;0,0,MIN(C56+D56-E56,MAX(0,'Debt strategy'!$C$5-SUM(E56,K56,Q56,W56,AC56)-SUM(IF(L56&lt;F56,I56+J56-K56,0),IF(R56&lt;F56,O56+P56-Q56,0),IF(X56&lt;F56,U56+V56-W56,0),IF(AD56&lt;F56,AA56+AB56-AC56,0)))))</x:f>
        <x:v>0</x:v>
      </x:c>
      <x:c r="H56" s="6" t="n">
        <x:f>ROUND(MAX(0,C56+D56-E56-G56),2)</x:f>
        <x:v>0</x:v>
      </x:c>
      <x:c r="I56" s="6" t="n">
        <x:f>N55</x:f>
        <x:v>0</x:v>
      </x:c>
      <x:c r="J56" s="6" t="n">
        <x:f>ROUND(I56*'Debt strategy'!$D$10/12,2)</x:f>
        <x:v>0</x:v>
      </x:c>
      <x:c r="K56" s="6" t="n">
        <x:f>MIN(I56+J56,'Debt strategy'!$E$10)</x:f>
        <x:v>0</x:v>
      </x:c>
      <x:c r="L56" s="27" t="n">
        <x:f>IF(I56+J56-K56&lt;=0,99,1+SUM(IF(AND(C56+D56-E56&gt;0,OR('Debt strategy'!$D$9&gt;'Debt strategy'!$D$10,AND('Debt strategy'!$D$9='Debt strategy'!$D$10,0&lt;1))),1,0),IF(AND(O56+P56-Q56&gt;0,OR('Debt strategy'!$D$11&gt;'Debt strategy'!$D$10,AND('Debt strategy'!$D$11='Debt strategy'!$D$10,2&lt;1))),1,0),IF(AND(U56+V56-W56&gt;0,OR('Debt strategy'!$D$12&gt;'Debt strategy'!$D$10,AND('Debt strategy'!$D$12='Debt strategy'!$D$10,3&lt;1))),1,0),IF(AND(AA56+AB56-AC56&gt;0,OR('Debt strategy'!$D$13&gt;'Debt strategy'!$D$10,AND('Debt strategy'!$D$13='Debt strategy'!$D$10,4&lt;1))),1,0)))</x:f>
        <x:v>99</x:v>
      </x:c>
      <x:c r="M56" s="6" t="n">
        <x:f>IF('Debt strategy'!$C$16&gt;0,0,MIN(I56+J56-K56,MAX(0,'Debt strategy'!$C$5-SUM(E56,K56,Q56,W56,AC56)-SUM(IF(F56&lt;L56,C56+D56-E56,0),IF(R56&lt;L56,O56+P56-Q56,0),IF(X56&lt;L56,U56+V56-W56,0),IF(AD56&lt;L56,AA56+AB56-AC56,0)))))</x:f>
        <x:v>0</x:v>
      </x:c>
      <x:c r="N56" s="6" t="n">
        <x:f>ROUND(MAX(0,I56+J56-K56-M56),2)</x:f>
        <x:v>0</x:v>
      </x:c>
      <x:c r="O56" s="6" t="n">
        <x:f>T55</x:f>
        <x:v>0</x:v>
      </x:c>
      <x:c r="P56" s="6" t="n">
        <x:f>ROUND(O56*'Debt strategy'!$D$11/12,2)</x:f>
        <x:v>0</x:v>
      </x:c>
      <x:c r="Q56" s="6" t="n">
        <x:f>MIN(O56+P56,'Debt strategy'!$E$11)</x:f>
        <x:v>0</x:v>
      </x:c>
      <x:c r="R56" s="27" t="n">
        <x:f>IF(O56+P56-Q56&lt;=0,99,1+SUM(IF(AND(C56+D56-E56&gt;0,OR('Debt strategy'!$D$9&gt;'Debt strategy'!$D$11,AND('Debt strategy'!$D$9='Debt strategy'!$D$11,0&lt;2))),1,0),IF(AND(I56+J56-K56&gt;0,OR('Debt strategy'!$D$10&gt;'Debt strategy'!$D$11,AND('Debt strategy'!$D$10='Debt strategy'!$D$11,1&lt;2))),1,0),IF(AND(U56+V56-W56&gt;0,OR('Debt strategy'!$D$12&gt;'Debt strategy'!$D$11,AND('Debt strategy'!$D$12='Debt strategy'!$D$11,3&lt;2))),1,0),IF(AND(AA56+AB56-AC56&gt;0,OR('Debt strategy'!$D$13&gt;'Debt strategy'!$D$11,AND('Debt strategy'!$D$13='Debt strategy'!$D$11,4&lt;2))),1,0)))</x:f>
        <x:v>99</x:v>
      </x:c>
      <x:c r="S56" s="6" t="n">
        <x:f>IF('Debt strategy'!$C$16&gt;0,0,MIN(O56+P56-Q56,MAX(0,'Debt strategy'!$C$5-SUM(E56,K56,Q56,W56,AC56)-SUM(IF(F56&lt;R56,C56+D56-E56,0),IF(L56&lt;R56,I56+J56-K56,0),IF(X56&lt;R56,U56+V56-W56,0),IF(AD56&lt;R56,AA56+AB56-AC56,0)))))</x:f>
        <x:v>0</x:v>
      </x:c>
      <x:c r="T56" s="6" t="n">
        <x:f>ROUND(MAX(0,O56+P56-Q56-S56),2)</x:f>
        <x:v>0</x:v>
      </x:c>
      <x:c r="U56" s="6" t="n">
        <x:f>Z55</x:f>
        <x:v>0</x:v>
      </x:c>
      <x:c r="V56" s="6" t="n">
        <x:f>ROUND(U56*'Debt strategy'!$D$12/12,2)</x:f>
        <x:v>0</x:v>
      </x:c>
      <x:c r="W56" s="6" t="n">
        <x:f>MIN(U56+V56,'Debt strategy'!$E$12)</x:f>
        <x:v>0</x:v>
      </x:c>
      <x:c r="X56" s="27" t="n">
        <x:f>IF(U56+V56-W56&lt;=0,99,1+SUM(IF(AND(C56+D56-E56&gt;0,OR('Debt strategy'!$D$9&gt;'Debt strategy'!$D$12,AND('Debt strategy'!$D$9='Debt strategy'!$D$12,0&lt;3))),1,0),IF(AND(I56+J56-K56&gt;0,OR('Debt strategy'!$D$10&gt;'Debt strategy'!$D$12,AND('Debt strategy'!$D$10='Debt strategy'!$D$12,1&lt;3))),1,0),IF(AND(O56+P56-Q56&gt;0,OR('Debt strategy'!$D$11&gt;'Debt strategy'!$D$12,AND('Debt strategy'!$D$11='Debt strategy'!$D$12,2&lt;3))),1,0),IF(AND(AA56+AB56-AC56&gt;0,OR('Debt strategy'!$D$13&gt;'Debt strategy'!$D$12,AND('Debt strategy'!$D$13='Debt strategy'!$D$12,4&lt;3))),1,0)))</x:f>
        <x:v>99</x:v>
      </x:c>
      <x:c r="Y56" s="6" t="n">
        <x:f>IF('Debt strategy'!$C$16&gt;0,0,MIN(U56+V56-W56,MAX(0,'Debt strategy'!$C$5-SUM(E56,K56,Q56,W56,AC56)-SUM(IF(F56&lt;X56,C56+D56-E56,0),IF(L56&lt;X56,I56+J56-K56,0),IF(R56&lt;X56,O56+P56-Q56,0),IF(AD56&lt;X56,AA56+AB56-AC56,0)))))</x:f>
        <x:v>0</x:v>
      </x:c>
      <x:c r="Z56" s="6" t="n">
        <x:f>ROUND(MAX(0,U56+V56-W56-Y56),2)</x:f>
        <x:v>0</x:v>
      </x:c>
      <x:c r="AA56" s="6" t="n">
        <x:f>AF55</x:f>
        <x:v>0</x:v>
      </x:c>
      <x:c r="AB56" s="6" t="n">
        <x:f>ROUND(AA56*'Debt strategy'!$D$13/12,2)</x:f>
        <x:v>0</x:v>
      </x:c>
      <x:c r="AC56" s="6" t="n">
        <x:f>MIN(AA56+AB56,'Debt strategy'!$E$13)</x:f>
        <x:v>0</x:v>
      </x:c>
      <x:c r="AD56" s="27" t="n">
        <x:f>IF(AA56+AB56-AC56&lt;=0,99,1+SUM(IF(AND(C56+D56-E56&gt;0,OR('Debt strategy'!$D$9&gt;'Debt strategy'!$D$13,AND('Debt strategy'!$D$9='Debt strategy'!$D$13,0&lt;4))),1,0),IF(AND(I56+J56-K56&gt;0,OR('Debt strategy'!$D$10&gt;'Debt strategy'!$D$13,AND('Debt strategy'!$D$10='Debt strategy'!$D$13,1&lt;4))),1,0),IF(AND(O56+P56-Q56&gt;0,OR('Debt strategy'!$D$11&gt;'Debt strategy'!$D$13,AND('Debt strategy'!$D$11='Debt strategy'!$D$13,2&lt;4))),1,0),IF(AND(U56+V56-W56&gt;0,OR('Debt strategy'!$D$12&gt;'Debt strategy'!$D$13,AND('Debt strategy'!$D$12='Debt strategy'!$D$13,3&lt;4))),1,0)))</x:f>
        <x:v>99</x:v>
      </x:c>
      <x:c r="AE56" s="6" t="n">
        <x:f>IF('Debt strategy'!$C$16&gt;0,0,MIN(AA56+AB56-AC56,MAX(0,'Debt strategy'!$C$5-SUM(E56,K56,Q56,W56,AC56)-SUM(IF(F56&lt;AD56,C56+D56-E56,0),IF(L56&lt;AD56,I56+J56-K56,0),IF(R56&lt;AD56,O56+P56-Q56,0),IF(X56&lt;AD56,U56+V56-W56,0)))))</x:f>
        <x:v>0</x:v>
      </x:c>
      <x:c r="AF56" s="6" t="n">
        <x:f>ROUND(MAX(0,AA56+AB56-AC56-AE56),2)</x:f>
        <x:v>0</x:v>
      </x:c>
      <x:c r="AG56" s="6" t="n">
        <x:f>SUM(H56,N56,T56,Z56,AF56)</x:f>
        <x:v>0</x:v>
      </x:c>
      <x:c r="AH56" s="6" t="n">
        <x:f>SUM(D56,J56,P56,V56,AB56)+AH55</x:f>
        <x:v>1220.8400000000001</x:v>
      </x:c>
      <x:c r="AI56" s="2"/>
    </x:row>
    <x:row r="57" ht="23" customHeight="1">
      <x:c r="B57" s="2" t="n">
        <x:f>49</x:f>
        <x:v>49</x:v>
      </x:c>
      <x:c r="C57" s="6" t="n">
        <x:f>H56</x:f>
        <x:v>0</x:v>
      </x:c>
      <x:c r="D57" s="6" t="n">
        <x:f>ROUND(C57*'Debt strategy'!$D$9/12,2)</x:f>
        <x:v>0</x:v>
      </x:c>
      <x:c r="E57" s="6" t="n">
        <x:f>MIN(C57+D57,'Debt strategy'!$E$9)</x:f>
        <x:v>0</x:v>
      </x:c>
      <x:c r="F57" s="27" t="n">
        <x:f>IF(C57+D57-E57&lt;=0,99,1+SUM(IF(AND(I57+J57-K57&gt;0,OR('Debt strategy'!$D$10&gt;'Debt strategy'!$D$9,AND('Debt strategy'!$D$10='Debt strategy'!$D$9,1&lt;0))),1,0),IF(AND(O57+P57-Q57&gt;0,OR('Debt strategy'!$D$11&gt;'Debt strategy'!$D$9,AND('Debt strategy'!$D$11='Debt strategy'!$D$9,2&lt;0))),1,0),IF(AND(U57+V57-W57&gt;0,OR('Debt strategy'!$D$12&gt;'Debt strategy'!$D$9,AND('Debt strategy'!$D$12='Debt strategy'!$D$9,3&lt;0))),1,0),IF(AND(AA57+AB57-AC57&gt;0,OR('Debt strategy'!$D$13&gt;'Debt strategy'!$D$9,AND('Debt strategy'!$D$13='Debt strategy'!$D$9,4&lt;0))),1,0)))</x:f>
        <x:v>99</x:v>
      </x:c>
      <x:c r="G57" s="6" t="n">
        <x:f>IF('Debt strategy'!$C$16&gt;0,0,MIN(C57+D57-E57,MAX(0,'Debt strategy'!$C$5-SUM(E57,K57,Q57,W57,AC57)-SUM(IF(L57&lt;F57,I57+J57-K57,0),IF(R57&lt;F57,O57+P57-Q57,0),IF(X57&lt;F57,U57+V57-W57,0),IF(AD57&lt;F57,AA57+AB57-AC57,0)))))</x:f>
        <x:v>0</x:v>
      </x:c>
      <x:c r="H57" s="6" t="n">
        <x:f>ROUND(MAX(0,C57+D57-E57-G57),2)</x:f>
        <x:v>0</x:v>
      </x:c>
      <x:c r="I57" s="6" t="n">
        <x:f>N56</x:f>
        <x:v>0</x:v>
      </x:c>
      <x:c r="J57" s="6" t="n">
        <x:f>ROUND(I57*'Debt strategy'!$D$10/12,2)</x:f>
        <x:v>0</x:v>
      </x:c>
      <x:c r="K57" s="6" t="n">
        <x:f>MIN(I57+J57,'Debt strategy'!$E$10)</x:f>
        <x:v>0</x:v>
      </x:c>
      <x:c r="L57" s="27" t="n">
        <x:f>IF(I57+J57-K57&lt;=0,99,1+SUM(IF(AND(C57+D57-E57&gt;0,OR('Debt strategy'!$D$9&gt;'Debt strategy'!$D$10,AND('Debt strategy'!$D$9='Debt strategy'!$D$10,0&lt;1))),1,0),IF(AND(O57+P57-Q57&gt;0,OR('Debt strategy'!$D$11&gt;'Debt strategy'!$D$10,AND('Debt strategy'!$D$11='Debt strategy'!$D$10,2&lt;1))),1,0),IF(AND(U57+V57-W57&gt;0,OR('Debt strategy'!$D$12&gt;'Debt strategy'!$D$10,AND('Debt strategy'!$D$12='Debt strategy'!$D$10,3&lt;1))),1,0),IF(AND(AA57+AB57-AC57&gt;0,OR('Debt strategy'!$D$13&gt;'Debt strategy'!$D$10,AND('Debt strategy'!$D$13='Debt strategy'!$D$10,4&lt;1))),1,0)))</x:f>
        <x:v>99</x:v>
      </x:c>
      <x:c r="M57" s="6" t="n">
        <x:f>IF('Debt strategy'!$C$16&gt;0,0,MIN(I57+J57-K57,MAX(0,'Debt strategy'!$C$5-SUM(E57,K57,Q57,W57,AC57)-SUM(IF(F57&lt;L57,C57+D57-E57,0),IF(R57&lt;L57,O57+P57-Q57,0),IF(X57&lt;L57,U57+V57-W57,0),IF(AD57&lt;L57,AA57+AB57-AC57,0)))))</x:f>
        <x:v>0</x:v>
      </x:c>
      <x:c r="N57" s="6" t="n">
        <x:f>ROUND(MAX(0,I57+J57-K57-M57),2)</x:f>
        <x:v>0</x:v>
      </x:c>
      <x:c r="O57" s="6" t="n">
        <x:f>T56</x:f>
        <x:v>0</x:v>
      </x:c>
      <x:c r="P57" s="6" t="n">
        <x:f>ROUND(O57*'Debt strategy'!$D$11/12,2)</x:f>
        <x:v>0</x:v>
      </x:c>
      <x:c r="Q57" s="6" t="n">
        <x:f>MIN(O57+P57,'Debt strategy'!$E$11)</x:f>
        <x:v>0</x:v>
      </x:c>
      <x:c r="R57" s="27" t="n">
        <x:f>IF(O57+P57-Q57&lt;=0,99,1+SUM(IF(AND(C57+D57-E57&gt;0,OR('Debt strategy'!$D$9&gt;'Debt strategy'!$D$11,AND('Debt strategy'!$D$9='Debt strategy'!$D$11,0&lt;2))),1,0),IF(AND(I57+J57-K57&gt;0,OR('Debt strategy'!$D$10&gt;'Debt strategy'!$D$11,AND('Debt strategy'!$D$10='Debt strategy'!$D$11,1&lt;2))),1,0),IF(AND(U57+V57-W57&gt;0,OR('Debt strategy'!$D$12&gt;'Debt strategy'!$D$11,AND('Debt strategy'!$D$12='Debt strategy'!$D$11,3&lt;2))),1,0),IF(AND(AA57+AB57-AC57&gt;0,OR('Debt strategy'!$D$13&gt;'Debt strategy'!$D$11,AND('Debt strategy'!$D$13='Debt strategy'!$D$11,4&lt;2))),1,0)))</x:f>
        <x:v>99</x:v>
      </x:c>
      <x:c r="S57" s="6" t="n">
        <x:f>IF('Debt strategy'!$C$16&gt;0,0,MIN(O57+P57-Q57,MAX(0,'Debt strategy'!$C$5-SUM(E57,K57,Q57,W57,AC57)-SUM(IF(F57&lt;R57,C57+D57-E57,0),IF(L57&lt;R57,I57+J57-K57,0),IF(X57&lt;R57,U57+V57-W57,0),IF(AD57&lt;R57,AA57+AB57-AC57,0)))))</x:f>
        <x:v>0</x:v>
      </x:c>
      <x:c r="T57" s="6" t="n">
        <x:f>ROUND(MAX(0,O57+P57-Q57-S57),2)</x:f>
        <x:v>0</x:v>
      </x:c>
      <x:c r="U57" s="6" t="n">
        <x:f>Z56</x:f>
        <x:v>0</x:v>
      </x:c>
      <x:c r="V57" s="6" t="n">
        <x:f>ROUND(U57*'Debt strategy'!$D$12/12,2)</x:f>
        <x:v>0</x:v>
      </x:c>
      <x:c r="W57" s="6" t="n">
        <x:f>MIN(U57+V57,'Debt strategy'!$E$12)</x:f>
        <x:v>0</x:v>
      </x:c>
      <x:c r="X57" s="27" t="n">
        <x:f>IF(U57+V57-W57&lt;=0,99,1+SUM(IF(AND(C57+D57-E57&gt;0,OR('Debt strategy'!$D$9&gt;'Debt strategy'!$D$12,AND('Debt strategy'!$D$9='Debt strategy'!$D$12,0&lt;3))),1,0),IF(AND(I57+J57-K57&gt;0,OR('Debt strategy'!$D$10&gt;'Debt strategy'!$D$12,AND('Debt strategy'!$D$10='Debt strategy'!$D$12,1&lt;3))),1,0),IF(AND(O57+P57-Q57&gt;0,OR('Debt strategy'!$D$11&gt;'Debt strategy'!$D$12,AND('Debt strategy'!$D$11='Debt strategy'!$D$12,2&lt;3))),1,0),IF(AND(AA57+AB57-AC57&gt;0,OR('Debt strategy'!$D$13&gt;'Debt strategy'!$D$12,AND('Debt strategy'!$D$13='Debt strategy'!$D$12,4&lt;3))),1,0)))</x:f>
        <x:v>99</x:v>
      </x:c>
      <x:c r="Y57" s="6" t="n">
        <x:f>IF('Debt strategy'!$C$16&gt;0,0,MIN(U57+V57-W57,MAX(0,'Debt strategy'!$C$5-SUM(E57,K57,Q57,W57,AC57)-SUM(IF(F57&lt;X57,C57+D57-E57,0),IF(L57&lt;X57,I57+J57-K57,0),IF(R57&lt;X57,O57+P57-Q57,0),IF(AD57&lt;X57,AA57+AB57-AC57,0)))))</x:f>
        <x:v>0</x:v>
      </x:c>
      <x:c r="Z57" s="6" t="n">
        <x:f>ROUND(MAX(0,U57+V57-W57-Y57),2)</x:f>
        <x:v>0</x:v>
      </x:c>
      <x:c r="AA57" s="6" t="n">
        <x:f>AF56</x:f>
        <x:v>0</x:v>
      </x:c>
      <x:c r="AB57" s="6" t="n">
        <x:f>ROUND(AA57*'Debt strategy'!$D$13/12,2)</x:f>
        <x:v>0</x:v>
      </x:c>
      <x:c r="AC57" s="6" t="n">
        <x:f>MIN(AA57+AB57,'Debt strategy'!$E$13)</x:f>
        <x:v>0</x:v>
      </x:c>
      <x:c r="AD57" s="27" t="n">
        <x:f>IF(AA57+AB57-AC57&lt;=0,99,1+SUM(IF(AND(C57+D57-E57&gt;0,OR('Debt strategy'!$D$9&gt;'Debt strategy'!$D$13,AND('Debt strategy'!$D$9='Debt strategy'!$D$13,0&lt;4))),1,0),IF(AND(I57+J57-K57&gt;0,OR('Debt strategy'!$D$10&gt;'Debt strategy'!$D$13,AND('Debt strategy'!$D$10='Debt strategy'!$D$13,1&lt;4))),1,0),IF(AND(O57+P57-Q57&gt;0,OR('Debt strategy'!$D$11&gt;'Debt strategy'!$D$13,AND('Debt strategy'!$D$11='Debt strategy'!$D$13,2&lt;4))),1,0),IF(AND(U57+V57-W57&gt;0,OR('Debt strategy'!$D$12&gt;'Debt strategy'!$D$13,AND('Debt strategy'!$D$12='Debt strategy'!$D$13,3&lt;4))),1,0)))</x:f>
        <x:v>99</x:v>
      </x:c>
      <x:c r="AE57" s="6" t="n">
        <x:f>IF('Debt strategy'!$C$16&gt;0,0,MIN(AA57+AB57-AC57,MAX(0,'Debt strategy'!$C$5-SUM(E57,K57,Q57,W57,AC57)-SUM(IF(F57&lt;AD57,C57+D57-E57,0),IF(L57&lt;AD57,I57+J57-K57,0),IF(R57&lt;AD57,O57+P57-Q57,0),IF(X57&lt;AD57,U57+V57-W57,0)))))</x:f>
        <x:v>0</x:v>
      </x:c>
      <x:c r="AF57" s="6" t="n">
        <x:f>ROUND(MAX(0,AA57+AB57-AC57-AE57),2)</x:f>
        <x:v>0</x:v>
      </x:c>
      <x:c r="AG57" s="6" t="n">
        <x:f>SUM(H57,N57,T57,Z57,AF57)</x:f>
        <x:v>0</x:v>
      </x:c>
      <x:c r="AH57" s="6" t="n">
        <x:f>SUM(D57,J57,P57,V57,AB57)+AH56</x:f>
        <x:v>1220.8400000000001</x:v>
      </x:c>
      <x:c r="AI57" s="2"/>
    </x:row>
    <x:row r="58" ht="23" customHeight="1">
      <x:c r="B58" s="2" t="n">
        <x:f>50</x:f>
        <x:v>50</x:v>
      </x:c>
      <x:c r="C58" s="6" t="n">
        <x:f>H57</x:f>
        <x:v>0</x:v>
      </x:c>
      <x:c r="D58" s="6" t="n">
        <x:f>ROUND(C58*'Debt strategy'!$D$9/12,2)</x:f>
        <x:v>0</x:v>
      </x:c>
      <x:c r="E58" s="6" t="n">
        <x:f>MIN(C58+D58,'Debt strategy'!$E$9)</x:f>
        <x:v>0</x:v>
      </x:c>
      <x:c r="F58" s="27" t="n">
        <x:f>IF(C58+D58-E58&lt;=0,99,1+SUM(IF(AND(I58+J58-K58&gt;0,OR('Debt strategy'!$D$10&gt;'Debt strategy'!$D$9,AND('Debt strategy'!$D$10='Debt strategy'!$D$9,1&lt;0))),1,0),IF(AND(O58+P58-Q58&gt;0,OR('Debt strategy'!$D$11&gt;'Debt strategy'!$D$9,AND('Debt strategy'!$D$11='Debt strategy'!$D$9,2&lt;0))),1,0),IF(AND(U58+V58-W58&gt;0,OR('Debt strategy'!$D$12&gt;'Debt strategy'!$D$9,AND('Debt strategy'!$D$12='Debt strategy'!$D$9,3&lt;0))),1,0),IF(AND(AA58+AB58-AC58&gt;0,OR('Debt strategy'!$D$13&gt;'Debt strategy'!$D$9,AND('Debt strategy'!$D$13='Debt strategy'!$D$9,4&lt;0))),1,0)))</x:f>
        <x:v>99</x:v>
      </x:c>
      <x:c r="G58" s="6" t="n">
        <x:f>IF('Debt strategy'!$C$16&gt;0,0,MIN(C58+D58-E58,MAX(0,'Debt strategy'!$C$5-SUM(E58,K58,Q58,W58,AC58)-SUM(IF(L58&lt;F58,I58+J58-K58,0),IF(R58&lt;F58,O58+P58-Q58,0),IF(X58&lt;F58,U58+V58-W58,0),IF(AD58&lt;F58,AA58+AB58-AC58,0)))))</x:f>
        <x:v>0</x:v>
      </x:c>
      <x:c r="H58" s="6" t="n">
        <x:f>ROUND(MAX(0,C58+D58-E58-G58),2)</x:f>
        <x:v>0</x:v>
      </x:c>
      <x:c r="I58" s="6" t="n">
        <x:f>N57</x:f>
        <x:v>0</x:v>
      </x:c>
      <x:c r="J58" s="6" t="n">
        <x:f>ROUND(I58*'Debt strategy'!$D$10/12,2)</x:f>
        <x:v>0</x:v>
      </x:c>
      <x:c r="K58" s="6" t="n">
        <x:f>MIN(I58+J58,'Debt strategy'!$E$10)</x:f>
        <x:v>0</x:v>
      </x:c>
      <x:c r="L58" s="27" t="n">
        <x:f>IF(I58+J58-K58&lt;=0,99,1+SUM(IF(AND(C58+D58-E58&gt;0,OR('Debt strategy'!$D$9&gt;'Debt strategy'!$D$10,AND('Debt strategy'!$D$9='Debt strategy'!$D$10,0&lt;1))),1,0),IF(AND(O58+P58-Q58&gt;0,OR('Debt strategy'!$D$11&gt;'Debt strategy'!$D$10,AND('Debt strategy'!$D$11='Debt strategy'!$D$10,2&lt;1))),1,0),IF(AND(U58+V58-W58&gt;0,OR('Debt strategy'!$D$12&gt;'Debt strategy'!$D$10,AND('Debt strategy'!$D$12='Debt strategy'!$D$10,3&lt;1))),1,0),IF(AND(AA58+AB58-AC58&gt;0,OR('Debt strategy'!$D$13&gt;'Debt strategy'!$D$10,AND('Debt strategy'!$D$13='Debt strategy'!$D$10,4&lt;1))),1,0)))</x:f>
        <x:v>99</x:v>
      </x:c>
      <x:c r="M58" s="6" t="n">
        <x:f>IF('Debt strategy'!$C$16&gt;0,0,MIN(I58+J58-K58,MAX(0,'Debt strategy'!$C$5-SUM(E58,K58,Q58,W58,AC58)-SUM(IF(F58&lt;L58,C58+D58-E58,0),IF(R58&lt;L58,O58+P58-Q58,0),IF(X58&lt;L58,U58+V58-W58,0),IF(AD58&lt;L58,AA58+AB58-AC58,0)))))</x:f>
        <x:v>0</x:v>
      </x:c>
      <x:c r="N58" s="6" t="n">
        <x:f>ROUND(MAX(0,I58+J58-K58-M58),2)</x:f>
        <x:v>0</x:v>
      </x:c>
      <x:c r="O58" s="6" t="n">
        <x:f>T57</x:f>
        <x:v>0</x:v>
      </x:c>
      <x:c r="P58" s="6" t="n">
        <x:f>ROUND(O58*'Debt strategy'!$D$11/12,2)</x:f>
        <x:v>0</x:v>
      </x:c>
      <x:c r="Q58" s="6" t="n">
        <x:f>MIN(O58+P58,'Debt strategy'!$E$11)</x:f>
        <x:v>0</x:v>
      </x:c>
      <x:c r="R58" s="27" t="n">
        <x:f>IF(O58+P58-Q58&lt;=0,99,1+SUM(IF(AND(C58+D58-E58&gt;0,OR('Debt strategy'!$D$9&gt;'Debt strategy'!$D$11,AND('Debt strategy'!$D$9='Debt strategy'!$D$11,0&lt;2))),1,0),IF(AND(I58+J58-K58&gt;0,OR('Debt strategy'!$D$10&gt;'Debt strategy'!$D$11,AND('Debt strategy'!$D$10='Debt strategy'!$D$11,1&lt;2))),1,0),IF(AND(U58+V58-W58&gt;0,OR('Debt strategy'!$D$12&gt;'Debt strategy'!$D$11,AND('Debt strategy'!$D$12='Debt strategy'!$D$11,3&lt;2))),1,0),IF(AND(AA58+AB58-AC58&gt;0,OR('Debt strategy'!$D$13&gt;'Debt strategy'!$D$11,AND('Debt strategy'!$D$13='Debt strategy'!$D$11,4&lt;2))),1,0)))</x:f>
        <x:v>99</x:v>
      </x:c>
      <x:c r="S58" s="6" t="n">
        <x:f>IF('Debt strategy'!$C$16&gt;0,0,MIN(O58+P58-Q58,MAX(0,'Debt strategy'!$C$5-SUM(E58,K58,Q58,W58,AC58)-SUM(IF(F58&lt;R58,C58+D58-E58,0),IF(L58&lt;R58,I58+J58-K58,0),IF(X58&lt;R58,U58+V58-W58,0),IF(AD58&lt;R58,AA58+AB58-AC58,0)))))</x:f>
        <x:v>0</x:v>
      </x:c>
      <x:c r="T58" s="6" t="n">
        <x:f>ROUND(MAX(0,O58+P58-Q58-S58),2)</x:f>
        <x:v>0</x:v>
      </x:c>
      <x:c r="U58" s="6" t="n">
        <x:f>Z57</x:f>
        <x:v>0</x:v>
      </x:c>
      <x:c r="V58" s="6" t="n">
        <x:f>ROUND(U58*'Debt strategy'!$D$12/12,2)</x:f>
        <x:v>0</x:v>
      </x:c>
      <x:c r="W58" s="6" t="n">
        <x:f>MIN(U58+V58,'Debt strategy'!$E$12)</x:f>
        <x:v>0</x:v>
      </x:c>
      <x:c r="X58" s="27" t="n">
        <x:f>IF(U58+V58-W58&lt;=0,99,1+SUM(IF(AND(C58+D58-E58&gt;0,OR('Debt strategy'!$D$9&gt;'Debt strategy'!$D$12,AND('Debt strategy'!$D$9='Debt strategy'!$D$12,0&lt;3))),1,0),IF(AND(I58+J58-K58&gt;0,OR('Debt strategy'!$D$10&gt;'Debt strategy'!$D$12,AND('Debt strategy'!$D$10='Debt strategy'!$D$12,1&lt;3))),1,0),IF(AND(O58+P58-Q58&gt;0,OR('Debt strategy'!$D$11&gt;'Debt strategy'!$D$12,AND('Debt strategy'!$D$11='Debt strategy'!$D$12,2&lt;3))),1,0),IF(AND(AA58+AB58-AC58&gt;0,OR('Debt strategy'!$D$13&gt;'Debt strategy'!$D$12,AND('Debt strategy'!$D$13='Debt strategy'!$D$12,4&lt;3))),1,0)))</x:f>
        <x:v>99</x:v>
      </x:c>
      <x:c r="Y58" s="6" t="n">
        <x:f>IF('Debt strategy'!$C$16&gt;0,0,MIN(U58+V58-W58,MAX(0,'Debt strategy'!$C$5-SUM(E58,K58,Q58,W58,AC58)-SUM(IF(F58&lt;X58,C58+D58-E58,0),IF(L58&lt;X58,I58+J58-K58,0),IF(R58&lt;X58,O58+P58-Q58,0),IF(AD58&lt;X58,AA58+AB58-AC58,0)))))</x:f>
        <x:v>0</x:v>
      </x:c>
      <x:c r="Z58" s="6" t="n">
        <x:f>ROUND(MAX(0,U58+V58-W58-Y58),2)</x:f>
        <x:v>0</x:v>
      </x:c>
      <x:c r="AA58" s="6" t="n">
        <x:f>AF57</x:f>
        <x:v>0</x:v>
      </x:c>
      <x:c r="AB58" s="6" t="n">
        <x:f>ROUND(AA58*'Debt strategy'!$D$13/12,2)</x:f>
        <x:v>0</x:v>
      </x:c>
      <x:c r="AC58" s="6" t="n">
        <x:f>MIN(AA58+AB58,'Debt strategy'!$E$13)</x:f>
        <x:v>0</x:v>
      </x:c>
      <x:c r="AD58" s="27" t="n">
        <x:f>IF(AA58+AB58-AC58&lt;=0,99,1+SUM(IF(AND(C58+D58-E58&gt;0,OR('Debt strategy'!$D$9&gt;'Debt strategy'!$D$13,AND('Debt strategy'!$D$9='Debt strategy'!$D$13,0&lt;4))),1,0),IF(AND(I58+J58-K58&gt;0,OR('Debt strategy'!$D$10&gt;'Debt strategy'!$D$13,AND('Debt strategy'!$D$10='Debt strategy'!$D$13,1&lt;4))),1,0),IF(AND(O58+P58-Q58&gt;0,OR('Debt strategy'!$D$11&gt;'Debt strategy'!$D$13,AND('Debt strategy'!$D$11='Debt strategy'!$D$13,2&lt;4))),1,0),IF(AND(U58+V58-W58&gt;0,OR('Debt strategy'!$D$12&gt;'Debt strategy'!$D$13,AND('Debt strategy'!$D$12='Debt strategy'!$D$13,3&lt;4))),1,0)))</x:f>
        <x:v>99</x:v>
      </x:c>
      <x:c r="AE58" s="6" t="n">
        <x:f>IF('Debt strategy'!$C$16&gt;0,0,MIN(AA58+AB58-AC58,MAX(0,'Debt strategy'!$C$5-SUM(E58,K58,Q58,W58,AC58)-SUM(IF(F58&lt;AD58,C58+D58-E58,0),IF(L58&lt;AD58,I58+J58-K58,0),IF(R58&lt;AD58,O58+P58-Q58,0),IF(X58&lt;AD58,U58+V58-W58,0)))))</x:f>
        <x:v>0</x:v>
      </x:c>
      <x:c r="AF58" s="6" t="n">
        <x:f>ROUND(MAX(0,AA58+AB58-AC58-AE58),2)</x:f>
        <x:v>0</x:v>
      </x:c>
      <x:c r="AG58" s="6" t="n">
        <x:f>SUM(H58,N58,T58,Z58,AF58)</x:f>
        <x:v>0</x:v>
      </x:c>
      <x:c r="AH58" s="6" t="n">
        <x:f>SUM(D58,J58,P58,V58,AB58)+AH57</x:f>
        <x:v>1220.8400000000001</x:v>
      </x:c>
      <x:c r="AI58" s="2"/>
    </x:row>
    <x:row r="59" ht="23" customHeight="1">
      <x:c r="B59" s="2" t="n">
        <x:f>51</x:f>
        <x:v>51</x:v>
      </x:c>
      <x:c r="C59" s="6" t="n">
        <x:f>H58</x:f>
        <x:v>0</x:v>
      </x:c>
      <x:c r="D59" s="6" t="n">
        <x:f>ROUND(C59*'Debt strategy'!$D$9/12,2)</x:f>
        <x:v>0</x:v>
      </x:c>
      <x:c r="E59" s="6" t="n">
        <x:f>MIN(C59+D59,'Debt strategy'!$E$9)</x:f>
        <x:v>0</x:v>
      </x:c>
      <x:c r="F59" s="27" t="n">
        <x:f>IF(C59+D59-E59&lt;=0,99,1+SUM(IF(AND(I59+J59-K59&gt;0,OR('Debt strategy'!$D$10&gt;'Debt strategy'!$D$9,AND('Debt strategy'!$D$10='Debt strategy'!$D$9,1&lt;0))),1,0),IF(AND(O59+P59-Q59&gt;0,OR('Debt strategy'!$D$11&gt;'Debt strategy'!$D$9,AND('Debt strategy'!$D$11='Debt strategy'!$D$9,2&lt;0))),1,0),IF(AND(U59+V59-W59&gt;0,OR('Debt strategy'!$D$12&gt;'Debt strategy'!$D$9,AND('Debt strategy'!$D$12='Debt strategy'!$D$9,3&lt;0))),1,0),IF(AND(AA59+AB59-AC59&gt;0,OR('Debt strategy'!$D$13&gt;'Debt strategy'!$D$9,AND('Debt strategy'!$D$13='Debt strategy'!$D$9,4&lt;0))),1,0)))</x:f>
        <x:v>99</x:v>
      </x:c>
      <x:c r="G59" s="6" t="n">
        <x:f>IF('Debt strategy'!$C$16&gt;0,0,MIN(C59+D59-E59,MAX(0,'Debt strategy'!$C$5-SUM(E59,K59,Q59,W59,AC59)-SUM(IF(L59&lt;F59,I59+J59-K59,0),IF(R59&lt;F59,O59+P59-Q59,0),IF(X59&lt;F59,U59+V59-W59,0),IF(AD59&lt;F59,AA59+AB59-AC59,0)))))</x:f>
        <x:v>0</x:v>
      </x:c>
      <x:c r="H59" s="6" t="n">
        <x:f>ROUND(MAX(0,C59+D59-E59-G59),2)</x:f>
        <x:v>0</x:v>
      </x:c>
      <x:c r="I59" s="6" t="n">
        <x:f>N58</x:f>
        <x:v>0</x:v>
      </x:c>
      <x:c r="J59" s="6" t="n">
        <x:f>ROUND(I59*'Debt strategy'!$D$10/12,2)</x:f>
        <x:v>0</x:v>
      </x:c>
      <x:c r="K59" s="6" t="n">
        <x:f>MIN(I59+J59,'Debt strategy'!$E$10)</x:f>
        <x:v>0</x:v>
      </x:c>
      <x:c r="L59" s="27" t="n">
        <x:f>IF(I59+J59-K59&lt;=0,99,1+SUM(IF(AND(C59+D59-E59&gt;0,OR('Debt strategy'!$D$9&gt;'Debt strategy'!$D$10,AND('Debt strategy'!$D$9='Debt strategy'!$D$10,0&lt;1))),1,0),IF(AND(O59+P59-Q59&gt;0,OR('Debt strategy'!$D$11&gt;'Debt strategy'!$D$10,AND('Debt strategy'!$D$11='Debt strategy'!$D$10,2&lt;1))),1,0),IF(AND(U59+V59-W59&gt;0,OR('Debt strategy'!$D$12&gt;'Debt strategy'!$D$10,AND('Debt strategy'!$D$12='Debt strategy'!$D$10,3&lt;1))),1,0),IF(AND(AA59+AB59-AC59&gt;0,OR('Debt strategy'!$D$13&gt;'Debt strategy'!$D$10,AND('Debt strategy'!$D$13='Debt strategy'!$D$10,4&lt;1))),1,0)))</x:f>
        <x:v>99</x:v>
      </x:c>
      <x:c r="M59" s="6" t="n">
        <x:f>IF('Debt strategy'!$C$16&gt;0,0,MIN(I59+J59-K59,MAX(0,'Debt strategy'!$C$5-SUM(E59,K59,Q59,W59,AC59)-SUM(IF(F59&lt;L59,C59+D59-E59,0),IF(R59&lt;L59,O59+P59-Q59,0),IF(X59&lt;L59,U59+V59-W59,0),IF(AD59&lt;L59,AA59+AB59-AC59,0)))))</x:f>
        <x:v>0</x:v>
      </x:c>
      <x:c r="N59" s="6" t="n">
        <x:f>ROUND(MAX(0,I59+J59-K59-M59),2)</x:f>
        <x:v>0</x:v>
      </x:c>
      <x:c r="O59" s="6" t="n">
        <x:f>T58</x:f>
        <x:v>0</x:v>
      </x:c>
      <x:c r="P59" s="6" t="n">
        <x:f>ROUND(O59*'Debt strategy'!$D$11/12,2)</x:f>
        <x:v>0</x:v>
      </x:c>
      <x:c r="Q59" s="6" t="n">
        <x:f>MIN(O59+P59,'Debt strategy'!$E$11)</x:f>
        <x:v>0</x:v>
      </x:c>
      <x:c r="R59" s="27" t="n">
        <x:f>IF(O59+P59-Q59&lt;=0,99,1+SUM(IF(AND(C59+D59-E59&gt;0,OR('Debt strategy'!$D$9&gt;'Debt strategy'!$D$11,AND('Debt strategy'!$D$9='Debt strategy'!$D$11,0&lt;2))),1,0),IF(AND(I59+J59-K59&gt;0,OR('Debt strategy'!$D$10&gt;'Debt strategy'!$D$11,AND('Debt strategy'!$D$10='Debt strategy'!$D$11,1&lt;2))),1,0),IF(AND(U59+V59-W59&gt;0,OR('Debt strategy'!$D$12&gt;'Debt strategy'!$D$11,AND('Debt strategy'!$D$12='Debt strategy'!$D$11,3&lt;2))),1,0),IF(AND(AA59+AB59-AC59&gt;0,OR('Debt strategy'!$D$13&gt;'Debt strategy'!$D$11,AND('Debt strategy'!$D$13='Debt strategy'!$D$11,4&lt;2))),1,0)))</x:f>
        <x:v>99</x:v>
      </x:c>
      <x:c r="S59" s="6" t="n">
        <x:f>IF('Debt strategy'!$C$16&gt;0,0,MIN(O59+P59-Q59,MAX(0,'Debt strategy'!$C$5-SUM(E59,K59,Q59,W59,AC59)-SUM(IF(F59&lt;R59,C59+D59-E59,0),IF(L59&lt;R59,I59+J59-K59,0),IF(X59&lt;R59,U59+V59-W59,0),IF(AD59&lt;R59,AA59+AB59-AC59,0)))))</x:f>
        <x:v>0</x:v>
      </x:c>
      <x:c r="T59" s="6" t="n">
        <x:f>ROUND(MAX(0,O59+P59-Q59-S59),2)</x:f>
        <x:v>0</x:v>
      </x:c>
      <x:c r="U59" s="6" t="n">
        <x:f>Z58</x:f>
        <x:v>0</x:v>
      </x:c>
      <x:c r="V59" s="6" t="n">
        <x:f>ROUND(U59*'Debt strategy'!$D$12/12,2)</x:f>
        <x:v>0</x:v>
      </x:c>
      <x:c r="W59" s="6" t="n">
        <x:f>MIN(U59+V59,'Debt strategy'!$E$12)</x:f>
        <x:v>0</x:v>
      </x:c>
      <x:c r="X59" s="27" t="n">
        <x:f>IF(U59+V59-W59&lt;=0,99,1+SUM(IF(AND(C59+D59-E59&gt;0,OR('Debt strategy'!$D$9&gt;'Debt strategy'!$D$12,AND('Debt strategy'!$D$9='Debt strategy'!$D$12,0&lt;3))),1,0),IF(AND(I59+J59-K59&gt;0,OR('Debt strategy'!$D$10&gt;'Debt strategy'!$D$12,AND('Debt strategy'!$D$10='Debt strategy'!$D$12,1&lt;3))),1,0),IF(AND(O59+P59-Q59&gt;0,OR('Debt strategy'!$D$11&gt;'Debt strategy'!$D$12,AND('Debt strategy'!$D$11='Debt strategy'!$D$12,2&lt;3))),1,0),IF(AND(AA59+AB59-AC59&gt;0,OR('Debt strategy'!$D$13&gt;'Debt strategy'!$D$12,AND('Debt strategy'!$D$13='Debt strategy'!$D$12,4&lt;3))),1,0)))</x:f>
        <x:v>99</x:v>
      </x:c>
      <x:c r="Y59" s="6" t="n">
        <x:f>IF('Debt strategy'!$C$16&gt;0,0,MIN(U59+V59-W59,MAX(0,'Debt strategy'!$C$5-SUM(E59,K59,Q59,W59,AC59)-SUM(IF(F59&lt;X59,C59+D59-E59,0),IF(L59&lt;X59,I59+J59-K59,0),IF(R59&lt;X59,O59+P59-Q59,0),IF(AD59&lt;X59,AA59+AB59-AC59,0)))))</x:f>
        <x:v>0</x:v>
      </x:c>
      <x:c r="Z59" s="6" t="n">
        <x:f>ROUND(MAX(0,U59+V59-W59-Y59),2)</x:f>
        <x:v>0</x:v>
      </x:c>
      <x:c r="AA59" s="6" t="n">
        <x:f>AF58</x:f>
        <x:v>0</x:v>
      </x:c>
      <x:c r="AB59" s="6" t="n">
        <x:f>ROUND(AA59*'Debt strategy'!$D$13/12,2)</x:f>
        <x:v>0</x:v>
      </x:c>
      <x:c r="AC59" s="6" t="n">
        <x:f>MIN(AA59+AB59,'Debt strategy'!$E$13)</x:f>
        <x:v>0</x:v>
      </x:c>
      <x:c r="AD59" s="27" t="n">
        <x:f>IF(AA59+AB59-AC59&lt;=0,99,1+SUM(IF(AND(C59+D59-E59&gt;0,OR('Debt strategy'!$D$9&gt;'Debt strategy'!$D$13,AND('Debt strategy'!$D$9='Debt strategy'!$D$13,0&lt;4))),1,0),IF(AND(I59+J59-K59&gt;0,OR('Debt strategy'!$D$10&gt;'Debt strategy'!$D$13,AND('Debt strategy'!$D$10='Debt strategy'!$D$13,1&lt;4))),1,0),IF(AND(O59+P59-Q59&gt;0,OR('Debt strategy'!$D$11&gt;'Debt strategy'!$D$13,AND('Debt strategy'!$D$11='Debt strategy'!$D$13,2&lt;4))),1,0),IF(AND(U59+V59-W59&gt;0,OR('Debt strategy'!$D$12&gt;'Debt strategy'!$D$13,AND('Debt strategy'!$D$12='Debt strategy'!$D$13,3&lt;4))),1,0)))</x:f>
        <x:v>99</x:v>
      </x:c>
      <x:c r="AE59" s="6" t="n">
        <x:f>IF('Debt strategy'!$C$16&gt;0,0,MIN(AA59+AB59-AC59,MAX(0,'Debt strategy'!$C$5-SUM(E59,K59,Q59,W59,AC59)-SUM(IF(F59&lt;AD59,C59+D59-E59,0),IF(L59&lt;AD59,I59+J59-K59,0),IF(R59&lt;AD59,O59+P59-Q59,0),IF(X59&lt;AD59,U59+V59-W59,0)))))</x:f>
        <x:v>0</x:v>
      </x:c>
      <x:c r="AF59" s="6" t="n">
        <x:f>ROUND(MAX(0,AA59+AB59-AC59-AE59),2)</x:f>
        <x:v>0</x:v>
      </x:c>
      <x:c r="AG59" s="6" t="n">
        <x:f>SUM(H59,N59,T59,Z59,AF59)</x:f>
        <x:v>0</x:v>
      </x:c>
      <x:c r="AH59" s="6" t="n">
        <x:f>SUM(D59,J59,P59,V59,AB59)+AH58</x:f>
        <x:v>1220.8400000000001</x:v>
      </x:c>
      <x:c r="AI59" s="2"/>
    </x:row>
    <x:row r="60" ht="23" customHeight="1">
      <x:c r="B60" s="2" t="n">
        <x:f>52</x:f>
        <x:v>52</x:v>
      </x:c>
      <x:c r="C60" s="6" t="n">
        <x:f>H59</x:f>
        <x:v>0</x:v>
      </x:c>
      <x:c r="D60" s="6" t="n">
        <x:f>ROUND(C60*'Debt strategy'!$D$9/12,2)</x:f>
        <x:v>0</x:v>
      </x:c>
      <x:c r="E60" s="6" t="n">
        <x:f>MIN(C60+D60,'Debt strategy'!$E$9)</x:f>
        <x:v>0</x:v>
      </x:c>
      <x:c r="F60" s="27" t="n">
        <x:f>IF(C60+D60-E60&lt;=0,99,1+SUM(IF(AND(I60+J60-K60&gt;0,OR('Debt strategy'!$D$10&gt;'Debt strategy'!$D$9,AND('Debt strategy'!$D$10='Debt strategy'!$D$9,1&lt;0))),1,0),IF(AND(O60+P60-Q60&gt;0,OR('Debt strategy'!$D$11&gt;'Debt strategy'!$D$9,AND('Debt strategy'!$D$11='Debt strategy'!$D$9,2&lt;0))),1,0),IF(AND(U60+V60-W60&gt;0,OR('Debt strategy'!$D$12&gt;'Debt strategy'!$D$9,AND('Debt strategy'!$D$12='Debt strategy'!$D$9,3&lt;0))),1,0),IF(AND(AA60+AB60-AC60&gt;0,OR('Debt strategy'!$D$13&gt;'Debt strategy'!$D$9,AND('Debt strategy'!$D$13='Debt strategy'!$D$9,4&lt;0))),1,0)))</x:f>
        <x:v>99</x:v>
      </x:c>
      <x:c r="G60" s="6" t="n">
        <x:f>IF('Debt strategy'!$C$16&gt;0,0,MIN(C60+D60-E60,MAX(0,'Debt strategy'!$C$5-SUM(E60,K60,Q60,W60,AC60)-SUM(IF(L60&lt;F60,I60+J60-K60,0),IF(R60&lt;F60,O60+P60-Q60,0),IF(X60&lt;F60,U60+V60-W60,0),IF(AD60&lt;F60,AA60+AB60-AC60,0)))))</x:f>
        <x:v>0</x:v>
      </x:c>
      <x:c r="H60" s="6" t="n">
        <x:f>ROUND(MAX(0,C60+D60-E60-G60),2)</x:f>
        <x:v>0</x:v>
      </x:c>
      <x:c r="I60" s="6" t="n">
        <x:f>N59</x:f>
        <x:v>0</x:v>
      </x:c>
      <x:c r="J60" s="6" t="n">
        <x:f>ROUND(I60*'Debt strategy'!$D$10/12,2)</x:f>
        <x:v>0</x:v>
      </x:c>
      <x:c r="K60" s="6" t="n">
        <x:f>MIN(I60+J60,'Debt strategy'!$E$10)</x:f>
        <x:v>0</x:v>
      </x:c>
      <x:c r="L60" s="27" t="n">
        <x:f>IF(I60+J60-K60&lt;=0,99,1+SUM(IF(AND(C60+D60-E60&gt;0,OR('Debt strategy'!$D$9&gt;'Debt strategy'!$D$10,AND('Debt strategy'!$D$9='Debt strategy'!$D$10,0&lt;1))),1,0),IF(AND(O60+P60-Q60&gt;0,OR('Debt strategy'!$D$11&gt;'Debt strategy'!$D$10,AND('Debt strategy'!$D$11='Debt strategy'!$D$10,2&lt;1))),1,0),IF(AND(U60+V60-W60&gt;0,OR('Debt strategy'!$D$12&gt;'Debt strategy'!$D$10,AND('Debt strategy'!$D$12='Debt strategy'!$D$10,3&lt;1))),1,0),IF(AND(AA60+AB60-AC60&gt;0,OR('Debt strategy'!$D$13&gt;'Debt strategy'!$D$10,AND('Debt strategy'!$D$13='Debt strategy'!$D$10,4&lt;1))),1,0)))</x:f>
        <x:v>99</x:v>
      </x:c>
      <x:c r="M60" s="6" t="n">
        <x:f>IF('Debt strategy'!$C$16&gt;0,0,MIN(I60+J60-K60,MAX(0,'Debt strategy'!$C$5-SUM(E60,K60,Q60,W60,AC60)-SUM(IF(F60&lt;L60,C60+D60-E60,0),IF(R60&lt;L60,O60+P60-Q60,0),IF(X60&lt;L60,U60+V60-W60,0),IF(AD60&lt;L60,AA60+AB60-AC60,0)))))</x:f>
        <x:v>0</x:v>
      </x:c>
      <x:c r="N60" s="6" t="n">
        <x:f>ROUND(MAX(0,I60+J60-K60-M60),2)</x:f>
        <x:v>0</x:v>
      </x:c>
      <x:c r="O60" s="6" t="n">
        <x:f>T59</x:f>
        <x:v>0</x:v>
      </x:c>
      <x:c r="P60" s="6" t="n">
        <x:f>ROUND(O60*'Debt strategy'!$D$11/12,2)</x:f>
        <x:v>0</x:v>
      </x:c>
      <x:c r="Q60" s="6" t="n">
        <x:f>MIN(O60+P60,'Debt strategy'!$E$11)</x:f>
        <x:v>0</x:v>
      </x:c>
      <x:c r="R60" s="27" t="n">
        <x:f>IF(O60+P60-Q60&lt;=0,99,1+SUM(IF(AND(C60+D60-E60&gt;0,OR('Debt strategy'!$D$9&gt;'Debt strategy'!$D$11,AND('Debt strategy'!$D$9='Debt strategy'!$D$11,0&lt;2))),1,0),IF(AND(I60+J60-K60&gt;0,OR('Debt strategy'!$D$10&gt;'Debt strategy'!$D$11,AND('Debt strategy'!$D$10='Debt strategy'!$D$11,1&lt;2))),1,0),IF(AND(U60+V60-W60&gt;0,OR('Debt strategy'!$D$12&gt;'Debt strategy'!$D$11,AND('Debt strategy'!$D$12='Debt strategy'!$D$11,3&lt;2))),1,0),IF(AND(AA60+AB60-AC60&gt;0,OR('Debt strategy'!$D$13&gt;'Debt strategy'!$D$11,AND('Debt strategy'!$D$13='Debt strategy'!$D$11,4&lt;2))),1,0)))</x:f>
        <x:v>99</x:v>
      </x:c>
      <x:c r="S60" s="6" t="n">
        <x:f>IF('Debt strategy'!$C$16&gt;0,0,MIN(O60+P60-Q60,MAX(0,'Debt strategy'!$C$5-SUM(E60,K60,Q60,W60,AC60)-SUM(IF(F60&lt;R60,C60+D60-E60,0),IF(L60&lt;R60,I60+J60-K60,0),IF(X60&lt;R60,U60+V60-W60,0),IF(AD60&lt;R60,AA60+AB60-AC60,0)))))</x:f>
        <x:v>0</x:v>
      </x:c>
      <x:c r="T60" s="6" t="n">
        <x:f>ROUND(MAX(0,O60+P60-Q60-S60),2)</x:f>
        <x:v>0</x:v>
      </x:c>
      <x:c r="U60" s="6" t="n">
        <x:f>Z59</x:f>
        <x:v>0</x:v>
      </x:c>
      <x:c r="V60" s="6" t="n">
        <x:f>ROUND(U60*'Debt strategy'!$D$12/12,2)</x:f>
        <x:v>0</x:v>
      </x:c>
      <x:c r="W60" s="6" t="n">
        <x:f>MIN(U60+V60,'Debt strategy'!$E$12)</x:f>
        <x:v>0</x:v>
      </x:c>
      <x:c r="X60" s="27" t="n">
        <x:f>IF(U60+V60-W60&lt;=0,99,1+SUM(IF(AND(C60+D60-E60&gt;0,OR('Debt strategy'!$D$9&gt;'Debt strategy'!$D$12,AND('Debt strategy'!$D$9='Debt strategy'!$D$12,0&lt;3))),1,0),IF(AND(I60+J60-K60&gt;0,OR('Debt strategy'!$D$10&gt;'Debt strategy'!$D$12,AND('Debt strategy'!$D$10='Debt strategy'!$D$12,1&lt;3))),1,0),IF(AND(O60+P60-Q60&gt;0,OR('Debt strategy'!$D$11&gt;'Debt strategy'!$D$12,AND('Debt strategy'!$D$11='Debt strategy'!$D$12,2&lt;3))),1,0),IF(AND(AA60+AB60-AC60&gt;0,OR('Debt strategy'!$D$13&gt;'Debt strategy'!$D$12,AND('Debt strategy'!$D$13='Debt strategy'!$D$12,4&lt;3))),1,0)))</x:f>
        <x:v>99</x:v>
      </x:c>
      <x:c r="Y60" s="6" t="n">
        <x:f>IF('Debt strategy'!$C$16&gt;0,0,MIN(U60+V60-W60,MAX(0,'Debt strategy'!$C$5-SUM(E60,K60,Q60,W60,AC60)-SUM(IF(F60&lt;X60,C60+D60-E60,0),IF(L60&lt;X60,I60+J60-K60,0),IF(R60&lt;X60,O60+P60-Q60,0),IF(AD60&lt;X60,AA60+AB60-AC60,0)))))</x:f>
        <x:v>0</x:v>
      </x:c>
      <x:c r="Z60" s="6" t="n">
        <x:f>ROUND(MAX(0,U60+V60-W60-Y60),2)</x:f>
        <x:v>0</x:v>
      </x:c>
      <x:c r="AA60" s="6" t="n">
        <x:f>AF59</x:f>
        <x:v>0</x:v>
      </x:c>
      <x:c r="AB60" s="6" t="n">
        <x:f>ROUND(AA60*'Debt strategy'!$D$13/12,2)</x:f>
        <x:v>0</x:v>
      </x:c>
      <x:c r="AC60" s="6" t="n">
        <x:f>MIN(AA60+AB60,'Debt strategy'!$E$13)</x:f>
        <x:v>0</x:v>
      </x:c>
      <x:c r="AD60" s="27" t="n">
        <x:f>IF(AA60+AB60-AC60&lt;=0,99,1+SUM(IF(AND(C60+D60-E60&gt;0,OR('Debt strategy'!$D$9&gt;'Debt strategy'!$D$13,AND('Debt strategy'!$D$9='Debt strategy'!$D$13,0&lt;4))),1,0),IF(AND(I60+J60-K60&gt;0,OR('Debt strategy'!$D$10&gt;'Debt strategy'!$D$13,AND('Debt strategy'!$D$10='Debt strategy'!$D$13,1&lt;4))),1,0),IF(AND(O60+P60-Q60&gt;0,OR('Debt strategy'!$D$11&gt;'Debt strategy'!$D$13,AND('Debt strategy'!$D$11='Debt strategy'!$D$13,2&lt;4))),1,0),IF(AND(U60+V60-W60&gt;0,OR('Debt strategy'!$D$12&gt;'Debt strategy'!$D$13,AND('Debt strategy'!$D$12='Debt strategy'!$D$13,3&lt;4))),1,0)))</x:f>
        <x:v>99</x:v>
      </x:c>
      <x:c r="AE60" s="6" t="n">
        <x:f>IF('Debt strategy'!$C$16&gt;0,0,MIN(AA60+AB60-AC60,MAX(0,'Debt strategy'!$C$5-SUM(E60,K60,Q60,W60,AC60)-SUM(IF(F60&lt;AD60,C60+D60-E60,0),IF(L60&lt;AD60,I60+J60-K60,0),IF(R60&lt;AD60,O60+P60-Q60,0),IF(X60&lt;AD60,U60+V60-W60,0)))))</x:f>
        <x:v>0</x:v>
      </x:c>
      <x:c r="AF60" s="6" t="n">
        <x:f>ROUND(MAX(0,AA60+AB60-AC60-AE60),2)</x:f>
        <x:v>0</x:v>
      </x:c>
      <x:c r="AG60" s="6" t="n">
        <x:f>SUM(H60,N60,T60,Z60,AF60)</x:f>
        <x:v>0</x:v>
      </x:c>
      <x:c r="AH60" s="6" t="n">
        <x:f>SUM(D60,J60,P60,V60,AB60)+AH59</x:f>
        <x:v>1220.8400000000001</x:v>
      </x:c>
      <x:c r="AI60" s="2"/>
    </x:row>
    <x:row r="61" ht="23" customHeight="1">
      <x:c r="B61" s="2" t="n">
        <x:f>53</x:f>
        <x:v>53</x:v>
      </x:c>
      <x:c r="C61" s="6" t="n">
        <x:f>H60</x:f>
        <x:v>0</x:v>
      </x:c>
      <x:c r="D61" s="6" t="n">
        <x:f>ROUND(C61*'Debt strategy'!$D$9/12,2)</x:f>
        <x:v>0</x:v>
      </x:c>
      <x:c r="E61" s="6" t="n">
        <x:f>MIN(C61+D61,'Debt strategy'!$E$9)</x:f>
        <x:v>0</x:v>
      </x:c>
      <x:c r="F61" s="27" t="n">
        <x:f>IF(C61+D61-E61&lt;=0,99,1+SUM(IF(AND(I61+J61-K61&gt;0,OR('Debt strategy'!$D$10&gt;'Debt strategy'!$D$9,AND('Debt strategy'!$D$10='Debt strategy'!$D$9,1&lt;0))),1,0),IF(AND(O61+P61-Q61&gt;0,OR('Debt strategy'!$D$11&gt;'Debt strategy'!$D$9,AND('Debt strategy'!$D$11='Debt strategy'!$D$9,2&lt;0))),1,0),IF(AND(U61+V61-W61&gt;0,OR('Debt strategy'!$D$12&gt;'Debt strategy'!$D$9,AND('Debt strategy'!$D$12='Debt strategy'!$D$9,3&lt;0))),1,0),IF(AND(AA61+AB61-AC61&gt;0,OR('Debt strategy'!$D$13&gt;'Debt strategy'!$D$9,AND('Debt strategy'!$D$13='Debt strategy'!$D$9,4&lt;0))),1,0)))</x:f>
        <x:v>99</x:v>
      </x:c>
      <x:c r="G61" s="6" t="n">
        <x:f>IF('Debt strategy'!$C$16&gt;0,0,MIN(C61+D61-E61,MAX(0,'Debt strategy'!$C$5-SUM(E61,K61,Q61,W61,AC61)-SUM(IF(L61&lt;F61,I61+J61-K61,0),IF(R61&lt;F61,O61+P61-Q61,0),IF(X61&lt;F61,U61+V61-W61,0),IF(AD61&lt;F61,AA61+AB61-AC61,0)))))</x:f>
        <x:v>0</x:v>
      </x:c>
      <x:c r="H61" s="6" t="n">
        <x:f>ROUND(MAX(0,C61+D61-E61-G61),2)</x:f>
        <x:v>0</x:v>
      </x:c>
      <x:c r="I61" s="6" t="n">
        <x:f>N60</x:f>
        <x:v>0</x:v>
      </x:c>
      <x:c r="J61" s="6" t="n">
        <x:f>ROUND(I61*'Debt strategy'!$D$10/12,2)</x:f>
        <x:v>0</x:v>
      </x:c>
      <x:c r="K61" s="6" t="n">
        <x:f>MIN(I61+J61,'Debt strategy'!$E$10)</x:f>
        <x:v>0</x:v>
      </x:c>
      <x:c r="L61" s="27" t="n">
        <x:f>IF(I61+J61-K61&lt;=0,99,1+SUM(IF(AND(C61+D61-E61&gt;0,OR('Debt strategy'!$D$9&gt;'Debt strategy'!$D$10,AND('Debt strategy'!$D$9='Debt strategy'!$D$10,0&lt;1))),1,0),IF(AND(O61+P61-Q61&gt;0,OR('Debt strategy'!$D$11&gt;'Debt strategy'!$D$10,AND('Debt strategy'!$D$11='Debt strategy'!$D$10,2&lt;1))),1,0),IF(AND(U61+V61-W61&gt;0,OR('Debt strategy'!$D$12&gt;'Debt strategy'!$D$10,AND('Debt strategy'!$D$12='Debt strategy'!$D$10,3&lt;1))),1,0),IF(AND(AA61+AB61-AC61&gt;0,OR('Debt strategy'!$D$13&gt;'Debt strategy'!$D$10,AND('Debt strategy'!$D$13='Debt strategy'!$D$10,4&lt;1))),1,0)))</x:f>
        <x:v>99</x:v>
      </x:c>
      <x:c r="M61" s="6" t="n">
        <x:f>IF('Debt strategy'!$C$16&gt;0,0,MIN(I61+J61-K61,MAX(0,'Debt strategy'!$C$5-SUM(E61,K61,Q61,W61,AC61)-SUM(IF(F61&lt;L61,C61+D61-E61,0),IF(R61&lt;L61,O61+P61-Q61,0),IF(X61&lt;L61,U61+V61-W61,0),IF(AD61&lt;L61,AA61+AB61-AC61,0)))))</x:f>
        <x:v>0</x:v>
      </x:c>
      <x:c r="N61" s="6" t="n">
        <x:f>ROUND(MAX(0,I61+J61-K61-M61),2)</x:f>
        <x:v>0</x:v>
      </x:c>
      <x:c r="O61" s="6" t="n">
        <x:f>T60</x:f>
        <x:v>0</x:v>
      </x:c>
      <x:c r="P61" s="6" t="n">
        <x:f>ROUND(O61*'Debt strategy'!$D$11/12,2)</x:f>
        <x:v>0</x:v>
      </x:c>
      <x:c r="Q61" s="6" t="n">
        <x:f>MIN(O61+P61,'Debt strategy'!$E$11)</x:f>
        <x:v>0</x:v>
      </x:c>
      <x:c r="R61" s="27" t="n">
        <x:f>IF(O61+P61-Q61&lt;=0,99,1+SUM(IF(AND(C61+D61-E61&gt;0,OR('Debt strategy'!$D$9&gt;'Debt strategy'!$D$11,AND('Debt strategy'!$D$9='Debt strategy'!$D$11,0&lt;2))),1,0),IF(AND(I61+J61-K61&gt;0,OR('Debt strategy'!$D$10&gt;'Debt strategy'!$D$11,AND('Debt strategy'!$D$10='Debt strategy'!$D$11,1&lt;2))),1,0),IF(AND(U61+V61-W61&gt;0,OR('Debt strategy'!$D$12&gt;'Debt strategy'!$D$11,AND('Debt strategy'!$D$12='Debt strategy'!$D$11,3&lt;2))),1,0),IF(AND(AA61+AB61-AC61&gt;0,OR('Debt strategy'!$D$13&gt;'Debt strategy'!$D$11,AND('Debt strategy'!$D$13='Debt strategy'!$D$11,4&lt;2))),1,0)))</x:f>
        <x:v>99</x:v>
      </x:c>
      <x:c r="S61" s="6" t="n">
        <x:f>IF('Debt strategy'!$C$16&gt;0,0,MIN(O61+P61-Q61,MAX(0,'Debt strategy'!$C$5-SUM(E61,K61,Q61,W61,AC61)-SUM(IF(F61&lt;R61,C61+D61-E61,0),IF(L61&lt;R61,I61+J61-K61,0),IF(X61&lt;R61,U61+V61-W61,0),IF(AD61&lt;R61,AA61+AB61-AC61,0)))))</x:f>
        <x:v>0</x:v>
      </x:c>
      <x:c r="T61" s="6" t="n">
        <x:f>ROUND(MAX(0,O61+P61-Q61-S61),2)</x:f>
        <x:v>0</x:v>
      </x:c>
      <x:c r="U61" s="6" t="n">
        <x:f>Z60</x:f>
        <x:v>0</x:v>
      </x:c>
      <x:c r="V61" s="6" t="n">
        <x:f>ROUND(U61*'Debt strategy'!$D$12/12,2)</x:f>
        <x:v>0</x:v>
      </x:c>
      <x:c r="W61" s="6" t="n">
        <x:f>MIN(U61+V61,'Debt strategy'!$E$12)</x:f>
        <x:v>0</x:v>
      </x:c>
      <x:c r="X61" s="27" t="n">
        <x:f>IF(U61+V61-W61&lt;=0,99,1+SUM(IF(AND(C61+D61-E61&gt;0,OR('Debt strategy'!$D$9&gt;'Debt strategy'!$D$12,AND('Debt strategy'!$D$9='Debt strategy'!$D$12,0&lt;3))),1,0),IF(AND(I61+J61-K61&gt;0,OR('Debt strategy'!$D$10&gt;'Debt strategy'!$D$12,AND('Debt strategy'!$D$10='Debt strategy'!$D$12,1&lt;3))),1,0),IF(AND(O61+P61-Q61&gt;0,OR('Debt strategy'!$D$11&gt;'Debt strategy'!$D$12,AND('Debt strategy'!$D$11='Debt strategy'!$D$12,2&lt;3))),1,0),IF(AND(AA61+AB61-AC61&gt;0,OR('Debt strategy'!$D$13&gt;'Debt strategy'!$D$12,AND('Debt strategy'!$D$13='Debt strategy'!$D$12,4&lt;3))),1,0)))</x:f>
        <x:v>99</x:v>
      </x:c>
      <x:c r="Y61" s="6" t="n">
        <x:f>IF('Debt strategy'!$C$16&gt;0,0,MIN(U61+V61-W61,MAX(0,'Debt strategy'!$C$5-SUM(E61,K61,Q61,W61,AC61)-SUM(IF(F61&lt;X61,C61+D61-E61,0),IF(L61&lt;X61,I61+J61-K61,0),IF(R61&lt;X61,O61+P61-Q61,0),IF(AD61&lt;X61,AA61+AB61-AC61,0)))))</x:f>
        <x:v>0</x:v>
      </x:c>
      <x:c r="Z61" s="6" t="n">
        <x:f>ROUND(MAX(0,U61+V61-W61-Y61),2)</x:f>
        <x:v>0</x:v>
      </x:c>
      <x:c r="AA61" s="6" t="n">
        <x:f>AF60</x:f>
        <x:v>0</x:v>
      </x:c>
      <x:c r="AB61" s="6" t="n">
        <x:f>ROUND(AA61*'Debt strategy'!$D$13/12,2)</x:f>
        <x:v>0</x:v>
      </x:c>
      <x:c r="AC61" s="6" t="n">
        <x:f>MIN(AA61+AB61,'Debt strategy'!$E$13)</x:f>
        <x:v>0</x:v>
      </x:c>
      <x:c r="AD61" s="27" t="n">
        <x:f>IF(AA61+AB61-AC61&lt;=0,99,1+SUM(IF(AND(C61+D61-E61&gt;0,OR('Debt strategy'!$D$9&gt;'Debt strategy'!$D$13,AND('Debt strategy'!$D$9='Debt strategy'!$D$13,0&lt;4))),1,0),IF(AND(I61+J61-K61&gt;0,OR('Debt strategy'!$D$10&gt;'Debt strategy'!$D$13,AND('Debt strategy'!$D$10='Debt strategy'!$D$13,1&lt;4))),1,0),IF(AND(O61+P61-Q61&gt;0,OR('Debt strategy'!$D$11&gt;'Debt strategy'!$D$13,AND('Debt strategy'!$D$11='Debt strategy'!$D$13,2&lt;4))),1,0),IF(AND(U61+V61-W61&gt;0,OR('Debt strategy'!$D$12&gt;'Debt strategy'!$D$13,AND('Debt strategy'!$D$12='Debt strategy'!$D$13,3&lt;4))),1,0)))</x:f>
        <x:v>99</x:v>
      </x:c>
      <x:c r="AE61" s="6" t="n">
        <x:f>IF('Debt strategy'!$C$16&gt;0,0,MIN(AA61+AB61-AC61,MAX(0,'Debt strategy'!$C$5-SUM(E61,K61,Q61,W61,AC61)-SUM(IF(F61&lt;AD61,C61+D61-E61,0),IF(L61&lt;AD61,I61+J61-K61,0),IF(R61&lt;AD61,O61+P61-Q61,0),IF(X61&lt;AD61,U61+V61-W61,0)))))</x:f>
        <x:v>0</x:v>
      </x:c>
      <x:c r="AF61" s="6" t="n">
        <x:f>ROUND(MAX(0,AA61+AB61-AC61-AE61),2)</x:f>
        <x:v>0</x:v>
      </x:c>
      <x:c r="AG61" s="6" t="n">
        <x:f>SUM(H61,N61,T61,Z61,AF61)</x:f>
        <x:v>0</x:v>
      </x:c>
      <x:c r="AH61" s="6" t="n">
        <x:f>SUM(D61,J61,P61,V61,AB61)+AH60</x:f>
        <x:v>1220.8400000000001</x:v>
      </x:c>
      <x:c r="AI61" s="2"/>
    </x:row>
    <x:row r="62" ht="23" customHeight="1">
      <x:c r="B62" s="2" t="n">
        <x:f>54</x:f>
        <x:v>54</x:v>
      </x:c>
      <x:c r="C62" s="6" t="n">
        <x:f>H61</x:f>
        <x:v>0</x:v>
      </x:c>
      <x:c r="D62" s="6" t="n">
        <x:f>ROUND(C62*'Debt strategy'!$D$9/12,2)</x:f>
        <x:v>0</x:v>
      </x:c>
      <x:c r="E62" s="6" t="n">
        <x:f>MIN(C62+D62,'Debt strategy'!$E$9)</x:f>
        <x:v>0</x:v>
      </x:c>
      <x:c r="F62" s="27" t="n">
        <x:f>IF(C62+D62-E62&lt;=0,99,1+SUM(IF(AND(I62+J62-K62&gt;0,OR('Debt strategy'!$D$10&gt;'Debt strategy'!$D$9,AND('Debt strategy'!$D$10='Debt strategy'!$D$9,1&lt;0))),1,0),IF(AND(O62+P62-Q62&gt;0,OR('Debt strategy'!$D$11&gt;'Debt strategy'!$D$9,AND('Debt strategy'!$D$11='Debt strategy'!$D$9,2&lt;0))),1,0),IF(AND(U62+V62-W62&gt;0,OR('Debt strategy'!$D$12&gt;'Debt strategy'!$D$9,AND('Debt strategy'!$D$12='Debt strategy'!$D$9,3&lt;0))),1,0),IF(AND(AA62+AB62-AC62&gt;0,OR('Debt strategy'!$D$13&gt;'Debt strategy'!$D$9,AND('Debt strategy'!$D$13='Debt strategy'!$D$9,4&lt;0))),1,0)))</x:f>
        <x:v>99</x:v>
      </x:c>
      <x:c r="G62" s="6" t="n">
        <x:f>IF('Debt strategy'!$C$16&gt;0,0,MIN(C62+D62-E62,MAX(0,'Debt strategy'!$C$5-SUM(E62,K62,Q62,W62,AC62)-SUM(IF(L62&lt;F62,I62+J62-K62,0),IF(R62&lt;F62,O62+P62-Q62,0),IF(X62&lt;F62,U62+V62-W62,0),IF(AD62&lt;F62,AA62+AB62-AC62,0)))))</x:f>
        <x:v>0</x:v>
      </x:c>
      <x:c r="H62" s="6" t="n">
        <x:f>ROUND(MAX(0,C62+D62-E62-G62),2)</x:f>
        <x:v>0</x:v>
      </x:c>
      <x:c r="I62" s="6" t="n">
        <x:f>N61</x:f>
        <x:v>0</x:v>
      </x:c>
      <x:c r="J62" s="6" t="n">
        <x:f>ROUND(I62*'Debt strategy'!$D$10/12,2)</x:f>
        <x:v>0</x:v>
      </x:c>
      <x:c r="K62" s="6" t="n">
        <x:f>MIN(I62+J62,'Debt strategy'!$E$10)</x:f>
        <x:v>0</x:v>
      </x:c>
      <x:c r="L62" s="27" t="n">
        <x:f>IF(I62+J62-K62&lt;=0,99,1+SUM(IF(AND(C62+D62-E62&gt;0,OR('Debt strategy'!$D$9&gt;'Debt strategy'!$D$10,AND('Debt strategy'!$D$9='Debt strategy'!$D$10,0&lt;1))),1,0),IF(AND(O62+P62-Q62&gt;0,OR('Debt strategy'!$D$11&gt;'Debt strategy'!$D$10,AND('Debt strategy'!$D$11='Debt strategy'!$D$10,2&lt;1))),1,0),IF(AND(U62+V62-W62&gt;0,OR('Debt strategy'!$D$12&gt;'Debt strategy'!$D$10,AND('Debt strategy'!$D$12='Debt strategy'!$D$10,3&lt;1))),1,0),IF(AND(AA62+AB62-AC62&gt;0,OR('Debt strategy'!$D$13&gt;'Debt strategy'!$D$10,AND('Debt strategy'!$D$13='Debt strategy'!$D$10,4&lt;1))),1,0)))</x:f>
        <x:v>99</x:v>
      </x:c>
      <x:c r="M62" s="6" t="n">
        <x:f>IF('Debt strategy'!$C$16&gt;0,0,MIN(I62+J62-K62,MAX(0,'Debt strategy'!$C$5-SUM(E62,K62,Q62,W62,AC62)-SUM(IF(F62&lt;L62,C62+D62-E62,0),IF(R62&lt;L62,O62+P62-Q62,0),IF(X62&lt;L62,U62+V62-W62,0),IF(AD62&lt;L62,AA62+AB62-AC62,0)))))</x:f>
        <x:v>0</x:v>
      </x:c>
      <x:c r="N62" s="6" t="n">
        <x:f>ROUND(MAX(0,I62+J62-K62-M62),2)</x:f>
        <x:v>0</x:v>
      </x:c>
      <x:c r="O62" s="6" t="n">
        <x:f>T61</x:f>
        <x:v>0</x:v>
      </x:c>
      <x:c r="P62" s="6" t="n">
        <x:f>ROUND(O62*'Debt strategy'!$D$11/12,2)</x:f>
        <x:v>0</x:v>
      </x:c>
      <x:c r="Q62" s="6" t="n">
        <x:f>MIN(O62+P62,'Debt strategy'!$E$11)</x:f>
        <x:v>0</x:v>
      </x:c>
      <x:c r="R62" s="27" t="n">
        <x:f>IF(O62+P62-Q62&lt;=0,99,1+SUM(IF(AND(C62+D62-E62&gt;0,OR('Debt strategy'!$D$9&gt;'Debt strategy'!$D$11,AND('Debt strategy'!$D$9='Debt strategy'!$D$11,0&lt;2))),1,0),IF(AND(I62+J62-K62&gt;0,OR('Debt strategy'!$D$10&gt;'Debt strategy'!$D$11,AND('Debt strategy'!$D$10='Debt strategy'!$D$11,1&lt;2))),1,0),IF(AND(U62+V62-W62&gt;0,OR('Debt strategy'!$D$12&gt;'Debt strategy'!$D$11,AND('Debt strategy'!$D$12='Debt strategy'!$D$11,3&lt;2))),1,0),IF(AND(AA62+AB62-AC62&gt;0,OR('Debt strategy'!$D$13&gt;'Debt strategy'!$D$11,AND('Debt strategy'!$D$13='Debt strategy'!$D$11,4&lt;2))),1,0)))</x:f>
        <x:v>99</x:v>
      </x:c>
      <x:c r="S62" s="6" t="n">
        <x:f>IF('Debt strategy'!$C$16&gt;0,0,MIN(O62+P62-Q62,MAX(0,'Debt strategy'!$C$5-SUM(E62,K62,Q62,W62,AC62)-SUM(IF(F62&lt;R62,C62+D62-E62,0),IF(L62&lt;R62,I62+J62-K62,0),IF(X62&lt;R62,U62+V62-W62,0),IF(AD62&lt;R62,AA62+AB62-AC62,0)))))</x:f>
        <x:v>0</x:v>
      </x:c>
      <x:c r="T62" s="6" t="n">
        <x:f>ROUND(MAX(0,O62+P62-Q62-S62),2)</x:f>
        <x:v>0</x:v>
      </x:c>
      <x:c r="U62" s="6" t="n">
        <x:f>Z61</x:f>
        <x:v>0</x:v>
      </x:c>
      <x:c r="V62" s="6" t="n">
        <x:f>ROUND(U62*'Debt strategy'!$D$12/12,2)</x:f>
        <x:v>0</x:v>
      </x:c>
      <x:c r="W62" s="6" t="n">
        <x:f>MIN(U62+V62,'Debt strategy'!$E$12)</x:f>
        <x:v>0</x:v>
      </x:c>
      <x:c r="X62" s="27" t="n">
        <x:f>IF(U62+V62-W62&lt;=0,99,1+SUM(IF(AND(C62+D62-E62&gt;0,OR('Debt strategy'!$D$9&gt;'Debt strategy'!$D$12,AND('Debt strategy'!$D$9='Debt strategy'!$D$12,0&lt;3))),1,0),IF(AND(I62+J62-K62&gt;0,OR('Debt strategy'!$D$10&gt;'Debt strategy'!$D$12,AND('Debt strategy'!$D$10='Debt strategy'!$D$12,1&lt;3))),1,0),IF(AND(O62+P62-Q62&gt;0,OR('Debt strategy'!$D$11&gt;'Debt strategy'!$D$12,AND('Debt strategy'!$D$11='Debt strategy'!$D$12,2&lt;3))),1,0),IF(AND(AA62+AB62-AC62&gt;0,OR('Debt strategy'!$D$13&gt;'Debt strategy'!$D$12,AND('Debt strategy'!$D$13='Debt strategy'!$D$12,4&lt;3))),1,0)))</x:f>
        <x:v>99</x:v>
      </x:c>
      <x:c r="Y62" s="6" t="n">
        <x:f>IF('Debt strategy'!$C$16&gt;0,0,MIN(U62+V62-W62,MAX(0,'Debt strategy'!$C$5-SUM(E62,K62,Q62,W62,AC62)-SUM(IF(F62&lt;X62,C62+D62-E62,0),IF(L62&lt;X62,I62+J62-K62,0),IF(R62&lt;X62,O62+P62-Q62,0),IF(AD62&lt;X62,AA62+AB62-AC62,0)))))</x:f>
        <x:v>0</x:v>
      </x:c>
      <x:c r="Z62" s="6" t="n">
        <x:f>ROUND(MAX(0,U62+V62-W62-Y62),2)</x:f>
        <x:v>0</x:v>
      </x:c>
      <x:c r="AA62" s="6" t="n">
        <x:f>AF61</x:f>
        <x:v>0</x:v>
      </x:c>
      <x:c r="AB62" s="6" t="n">
        <x:f>ROUND(AA62*'Debt strategy'!$D$13/12,2)</x:f>
        <x:v>0</x:v>
      </x:c>
      <x:c r="AC62" s="6" t="n">
        <x:f>MIN(AA62+AB62,'Debt strategy'!$E$13)</x:f>
        <x:v>0</x:v>
      </x:c>
      <x:c r="AD62" s="27" t="n">
        <x:f>IF(AA62+AB62-AC62&lt;=0,99,1+SUM(IF(AND(C62+D62-E62&gt;0,OR('Debt strategy'!$D$9&gt;'Debt strategy'!$D$13,AND('Debt strategy'!$D$9='Debt strategy'!$D$13,0&lt;4))),1,0),IF(AND(I62+J62-K62&gt;0,OR('Debt strategy'!$D$10&gt;'Debt strategy'!$D$13,AND('Debt strategy'!$D$10='Debt strategy'!$D$13,1&lt;4))),1,0),IF(AND(O62+P62-Q62&gt;0,OR('Debt strategy'!$D$11&gt;'Debt strategy'!$D$13,AND('Debt strategy'!$D$11='Debt strategy'!$D$13,2&lt;4))),1,0),IF(AND(U62+V62-W62&gt;0,OR('Debt strategy'!$D$12&gt;'Debt strategy'!$D$13,AND('Debt strategy'!$D$12='Debt strategy'!$D$13,3&lt;4))),1,0)))</x:f>
        <x:v>99</x:v>
      </x:c>
      <x:c r="AE62" s="6" t="n">
        <x:f>IF('Debt strategy'!$C$16&gt;0,0,MIN(AA62+AB62-AC62,MAX(0,'Debt strategy'!$C$5-SUM(E62,K62,Q62,W62,AC62)-SUM(IF(F62&lt;AD62,C62+D62-E62,0),IF(L62&lt;AD62,I62+J62-K62,0),IF(R62&lt;AD62,O62+P62-Q62,0),IF(X62&lt;AD62,U62+V62-W62,0)))))</x:f>
        <x:v>0</x:v>
      </x:c>
      <x:c r="AF62" s="6" t="n">
        <x:f>ROUND(MAX(0,AA62+AB62-AC62-AE62),2)</x:f>
        <x:v>0</x:v>
      </x:c>
      <x:c r="AG62" s="6" t="n">
        <x:f>SUM(H62,N62,T62,Z62,AF62)</x:f>
        <x:v>0</x:v>
      </x:c>
      <x:c r="AH62" s="6" t="n">
        <x:f>SUM(D62,J62,P62,V62,AB62)+AH61</x:f>
        <x:v>1220.8400000000001</x:v>
      </x:c>
      <x:c r="AI62" s="2"/>
    </x:row>
    <x:row r="63" ht="23" customHeight="1">
      <x:c r="B63" s="2" t="n">
        <x:f>55</x:f>
        <x:v>55</x:v>
      </x:c>
      <x:c r="C63" s="6" t="n">
        <x:f>H62</x:f>
        <x:v>0</x:v>
      </x:c>
      <x:c r="D63" s="6" t="n">
        <x:f>ROUND(C63*'Debt strategy'!$D$9/12,2)</x:f>
        <x:v>0</x:v>
      </x:c>
      <x:c r="E63" s="6" t="n">
        <x:f>MIN(C63+D63,'Debt strategy'!$E$9)</x:f>
        <x:v>0</x:v>
      </x:c>
      <x:c r="F63" s="27" t="n">
        <x:f>IF(C63+D63-E63&lt;=0,99,1+SUM(IF(AND(I63+J63-K63&gt;0,OR('Debt strategy'!$D$10&gt;'Debt strategy'!$D$9,AND('Debt strategy'!$D$10='Debt strategy'!$D$9,1&lt;0))),1,0),IF(AND(O63+P63-Q63&gt;0,OR('Debt strategy'!$D$11&gt;'Debt strategy'!$D$9,AND('Debt strategy'!$D$11='Debt strategy'!$D$9,2&lt;0))),1,0),IF(AND(U63+V63-W63&gt;0,OR('Debt strategy'!$D$12&gt;'Debt strategy'!$D$9,AND('Debt strategy'!$D$12='Debt strategy'!$D$9,3&lt;0))),1,0),IF(AND(AA63+AB63-AC63&gt;0,OR('Debt strategy'!$D$13&gt;'Debt strategy'!$D$9,AND('Debt strategy'!$D$13='Debt strategy'!$D$9,4&lt;0))),1,0)))</x:f>
        <x:v>99</x:v>
      </x:c>
      <x:c r="G63" s="6" t="n">
        <x:f>IF('Debt strategy'!$C$16&gt;0,0,MIN(C63+D63-E63,MAX(0,'Debt strategy'!$C$5-SUM(E63,K63,Q63,W63,AC63)-SUM(IF(L63&lt;F63,I63+J63-K63,0),IF(R63&lt;F63,O63+P63-Q63,0),IF(X63&lt;F63,U63+V63-W63,0),IF(AD63&lt;F63,AA63+AB63-AC63,0)))))</x:f>
        <x:v>0</x:v>
      </x:c>
      <x:c r="H63" s="6" t="n">
        <x:f>ROUND(MAX(0,C63+D63-E63-G63),2)</x:f>
        <x:v>0</x:v>
      </x:c>
      <x:c r="I63" s="6" t="n">
        <x:f>N62</x:f>
        <x:v>0</x:v>
      </x:c>
      <x:c r="J63" s="6" t="n">
        <x:f>ROUND(I63*'Debt strategy'!$D$10/12,2)</x:f>
        <x:v>0</x:v>
      </x:c>
      <x:c r="K63" s="6" t="n">
        <x:f>MIN(I63+J63,'Debt strategy'!$E$10)</x:f>
        <x:v>0</x:v>
      </x:c>
      <x:c r="L63" s="27" t="n">
        <x:f>IF(I63+J63-K63&lt;=0,99,1+SUM(IF(AND(C63+D63-E63&gt;0,OR('Debt strategy'!$D$9&gt;'Debt strategy'!$D$10,AND('Debt strategy'!$D$9='Debt strategy'!$D$10,0&lt;1))),1,0),IF(AND(O63+P63-Q63&gt;0,OR('Debt strategy'!$D$11&gt;'Debt strategy'!$D$10,AND('Debt strategy'!$D$11='Debt strategy'!$D$10,2&lt;1))),1,0),IF(AND(U63+V63-W63&gt;0,OR('Debt strategy'!$D$12&gt;'Debt strategy'!$D$10,AND('Debt strategy'!$D$12='Debt strategy'!$D$10,3&lt;1))),1,0),IF(AND(AA63+AB63-AC63&gt;0,OR('Debt strategy'!$D$13&gt;'Debt strategy'!$D$10,AND('Debt strategy'!$D$13='Debt strategy'!$D$10,4&lt;1))),1,0)))</x:f>
        <x:v>99</x:v>
      </x:c>
      <x:c r="M63" s="6" t="n">
        <x:f>IF('Debt strategy'!$C$16&gt;0,0,MIN(I63+J63-K63,MAX(0,'Debt strategy'!$C$5-SUM(E63,K63,Q63,W63,AC63)-SUM(IF(F63&lt;L63,C63+D63-E63,0),IF(R63&lt;L63,O63+P63-Q63,0),IF(X63&lt;L63,U63+V63-W63,0),IF(AD63&lt;L63,AA63+AB63-AC63,0)))))</x:f>
        <x:v>0</x:v>
      </x:c>
      <x:c r="N63" s="6" t="n">
        <x:f>ROUND(MAX(0,I63+J63-K63-M63),2)</x:f>
        <x:v>0</x:v>
      </x:c>
      <x:c r="O63" s="6" t="n">
        <x:f>T62</x:f>
        <x:v>0</x:v>
      </x:c>
      <x:c r="P63" s="6" t="n">
        <x:f>ROUND(O63*'Debt strategy'!$D$11/12,2)</x:f>
        <x:v>0</x:v>
      </x:c>
      <x:c r="Q63" s="6" t="n">
        <x:f>MIN(O63+P63,'Debt strategy'!$E$11)</x:f>
        <x:v>0</x:v>
      </x:c>
      <x:c r="R63" s="27" t="n">
        <x:f>IF(O63+P63-Q63&lt;=0,99,1+SUM(IF(AND(C63+D63-E63&gt;0,OR('Debt strategy'!$D$9&gt;'Debt strategy'!$D$11,AND('Debt strategy'!$D$9='Debt strategy'!$D$11,0&lt;2))),1,0),IF(AND(I63+J63-K63&gt;0,OR('Debt strategy'!$D$10&gt;'Debt strategy'!$D$11,AND('Debt strategy'!$D$10='Debt strategy'!$D$11,1&lt;2))),1,0),IF(AND(U63+V63-W63&gt;0,OR('Debt strategy'!$D$12&gt;'Debt strategy'!$D$11,AND('Debt strategy'!$D$12='Debt strategy'!$D$11,3&lt;2))),1,0),IF(AND(AA63+AB63-AC63&gt;0,OR('Debt strategy'!$D$13&gt;'Debt strategy'!$D$11,AND('Debt strategy'!$D$13='Debt strategy'!$D$11,4&lt;2))),1,0)))</x:f>
        <x:v>99</x:v>
      </x:c>
      <x:c r="S63" s="6" t="n">
        <x:f>IF('Debt strategy'!$C$16&gt;0,0,MIN(O63+P63-Q63,MAX(0,'Debt strategy'!$C$5-SUM(E63,K63,Q63,W63,AC63)-SUM(IF(F63&lt;R63,C63+D63-E63,0),IF(L63&lt;R63,I63+J63-K63,0),IF(X63&lt;R63,U63+V63-W63,0),IF(AD63&lt;R63,AA63+AB63-AC63,0)))))</x:f>
        <x:v>0</x:v>
      </x:c>
      <x:c r="T63" s="6" t="n">
        <x:f>ROUND(MAX(0,O63+P63-Q63-S63),2)</x:f>
        <x:v>0</x:v>
      </x:c>
      <x:c r="U63" s="6" t="n">
        <x:f>Z62</x:f>
        <x:v>0</x:v>
      </x:c>
      <x:c r="V63" s="6" t="n">
        <x:f>ROUND(U63*'Debt strategy'!$D$12/12,2)</x:f>
        <x:v>0</x:v>
      </x:c>
      <x:c r="W63" s="6" t="n">
        <x:f>MIN(U63+V63,'Debt strategy'!$E$12)</x:f>
        <x:v>0</x:v>
      </x:c>
      <x:c r="X63" s="27" t="n">
        <x:f>IF(U63+V63-W63&lt;=0,99,1+SUM(IF(AND(C63+D63-E63&gt;0,OR('Debt strategy'!$D$9&gt;'Debt strategy'!$D$12,AND('Debt strategy'!$D$9='Debt strategy'!$D$12,0&lt;3))),1,0),IF(AND(I63+J63-K63&gt;0,OR('Debt strategy'!$D$10&gt;'Debt strategy'!$D$12,AND('Debt strategy'!$D$10='Debt strategy'!$D$12,1&lt;3))),1,0),IF(AND(O63+P63-Q63&gt;0,OR('Debt strategy'!$D$11&gt;'Debt strategy'!$D$12,AND('Debt strategy'!$D$11='Debt strategy'!$D$12,2&lt;3))),1,0),IF(AND(AA63+AB63-AC63&gt;0,OR('Debt strategy'!$D$13&gt;'Debt strategy'!$D$12,AND('Debt strategy'!$D$13='Debt strategy'!$D$12,4&lt;3))),1,0)))</x:f>
        <x:v>99</x:v>
      </x:c>
      <x:c r="Y63" s="6" t="n">
        <x:f>IF('Debt strategy'!$C$16&gt;0,0,MIN(U63+V63-W63,MAX(0,'Debt strategy'!$C$5-SUM(E63,K63,Q63,W63,AC63)-SUM(IF(F63&lt;X63,C63+D63-E63,0),IF(L63&lt;X63,I63+J63-K63,0),IF(R63&lt;X63,O63+P63-Q63,0),IF(AD63&lt;X63,AA63+AB63-AC63,0)))))</x:f>
        <x:v>0</x:v>
      </x:c>
      <x:c r="Z63" s="6" t="n">
        <x:f>ROUND(MAX(0,U63+V63-W63-Y63),2)</x:f>
        <x:v>0</x:v>
      </x:c>
      <x:c r="AA63" s="6" t="n">
        <x:f>AF62</x:f>
        <x:v>0</x:v>
      </x:c>
      <x:c r="AB63" s="6" t="n">
        <x:f>ROUND(AA63*'Debt strategy'!$D$13/12,2)</x:f>
        <x:v>0</x:v>
      </x:c>
      <x:c r="AC63" s="6" t="n">
        <x:f>MIN(AA63+AB63,'Debt strategy'!$E$13)</x:f>
        <x:v>0</x:v>
      </x:c>
      <x:c r="AD63" s="27" t="n">
        <x:f>IF(AA63+AB63-AC63&lt;=0,99,1+SUM(IF(AND(C63+D63-E63&gt;0,OR('Debt strategy'!$D$9&gt;'Debt strategy'!$D$13,AND('Debt strategy'!$D$9='Debt strategy'!$D$13,0&lt;4))),1,0),IF(AND(I63+J63-K63&gt;0,OR('Debt strategy'!$D$10&gt;'Debt strategy'!$D$13,AND('Debt strategy'!$D$10='Debt strategy'!$D$13,1&lt;4))),1,0),IF(AND(O63+P63-Q63&gt;0,OR('Debt strategy'!$D$11&gt;'Debt strategy'!$D$13,AND('Debt strategy'!$D$11='Debt strategy'!$D$13,2&lt;4))),1,0),IF(AND(U63+V63-W63&gt;0,OR('Debt strategy'!$D$12&gt;'Debt strategy'!$D$13,AND('Debt strategy'!$D$12='Debt strategy'!$D$13,3&lt;4))),1,0)))</x:f>
        <x:v>99</x:v>
      </x:c>
      <x:c r="AE63" s="6" t="n">
        <x:f>IF('Debt strategy'!$C$16&gt;0,0,MIN(AA63+AB63-AC63,MAX(0,'Debt strategy'!$C$5-SUM(E63,K63,Q63,W63,AC63)-SUM(IF(F63&lt;AD63,C63+D63-E63,0),IF(L63&lt;AD63,I63+J63-K63,0),IF(R63&lt;AD63,O63+P63-Q63,0),IF(X63&lt;AD63,U63+V63-W63,0)))))</x:f>
        <x:v>0</x:v>
      </x:c>
      <x:c r="AF63" s="6" t="n">
        <x:f>ROUND(MAX(0,AA63+AB63-AC63-AE63),2)</x:f>
        <x:v>0</x:v>
      </x:c>
      <x:c r="AG63" s="6" t="n">
        <x:f>SUM(H63,N63,T63,Z63,AF63)</x:f>
        <x:v>0</x:v>
      </x:c>
      <x:c r="AH63" s="6" t="n">
        <x:f>SUM(D63,J63,P63,V63,AB63)+AH62</x:f>
        <x:v>1220.8400000000001</x:v>
      </x:c>
      <x:c r="AI63" s="2"/>
    </x:row>
    <x:row r="64" ht="23" customHeight="1">
      <x:c r="B64" s="2" t="n">
        <x:f>56</x:f>
        <x:v>56</x:v>
      </x:c>
      <x:c r="C64" s="6" t="n">
        <x:f>H63</x:f>
        <x:v>0</x:v>
      </x:c>
      <x:c r="D64" s="6" t="n">
        <x:f>ROUND(C64*'Debt strategy'!$D$9/12,2)</x:f>
        <x:v>0</x:v>
      </x:c>
      <x:c r="E64" s="6" t="n">
        <x:f>MIN(C64+D64,'Debt strategy'!$E$9)</x:f>
        <x:v>0</x:v>
      </x:c>
      <x:c r="F64" s="27" t="n">
        <x:f>IF(C64+D64-E64&lt;=0,99,1+SUM(IF(AND(I64+J64-K64&gt;0,OR('Debt strategy'!$D$10&gt;'Debt strategy'!$D$9,AND('Debt strategy'!$D$10='Debt strategy'!$D$9,1&lt;0))),1,0),IF(AND(O64+P64-Q64&gt;0,OR('Debt strategy'!$D$11&gt;'Debt strategy'!$D$9,AND('Debt strategy'!$D$11='Debt strategy'!$D$9,2&lt;0))),1,0),IF(AND(U64+V64-W64&gt;0,OR('Debt strategy'!$D$12&gt;'Debt strategy'!$D$9,AND('Debt strategy'!$D$12='Debt strategy'!$D$9,3&lt;0))),1,0),IF(AND(AA64+AB64-AC64&gt;0,OR('Debt strategy'!$D$13&gt;'Debt strategy'!$D$9,AND('Debt strategy'!$D$13='Debt strategy'!$D$9,4&lt;0))),1,0)))</x:f>
        <x:v>99</x:v>
      </x:c>
      <x:c r="G64" s="6" t="n">
        <x:f>IF('Debt strategy'!$C$16&gt;0,0,MIN(C64+D64-E64,MAX(0,'Debt strategy'!$C$5-SUM(E64,K64,Q64,W64,AC64)-SUM(IF(L64&lt;F64,I64+J64-K64,0),IF(R64&lt;F64,O64+P64-Q64,0),IF(X64&lt;F64,U64+V64-W64,0),IF(AD64&lt;F64,AA64+AB64-AC64,0)))))</x:f>
        <x:v>0</x:v>
      </x:c>
      <x:c r="H64" s="6" t="n">
        <x:f>ROUND(MAX(0,C64+D64-E64-G64),2)</x:f>
        <x:v>0</x:v>
      </x:c>
      <x:c r="I64" s="6" t="n">
        <x:f>N63</x:f>
        <x:v>0</x:v>
      </x:c>
      <x:c r="J64" s="6" t="n">
        <x:f>ROUND(I64*'Debt strategy'!$D$10/12,2)</x:f>
        <x:v>0</x:v>
      </x:c>
      <x:c r="K64" s="6" t="n">
        <x:f>MIN(I64+J64,'Debt strategy'!$E$10)</x:f>
        <x:v>0</x:v>
      </x:c>
      <x:c r="L64" s="27" t="n">
        <x:f>IF(I64+J64-K64&lt;=0,99,1+SUM(IF(AND(C64+D64-E64&gt;0,OR('Debt strategy'!$D$9&gt;'Debt strategy'!$D$10,AND('Debt strategy'!$D$9='Debt strategy'!$D$10,0&lt;1))),1,0),IF(AND(O64+P64-Q64&gt;0,OR('Debt strategy'!$D$11&gt;'Debt strategy'!$D$10,AND('Debt strategy'!$D$11='Debt strategy'!$D$10,2&lt;1))),1,0),IF(AND(U64+V64-W64&gt;0,OR('Debt strategy'!$D$12&gt;'Debt strategy'!$D$10,AND('Debt strategy'!$D$12='Debt strategy'!$D$10,3&lt;1))),1,0),IF(AND(AA64+AB64-AC64&gt;0,OR('Debt strategy'!$D$13&gt;'Debt strategy'!$D$10,AND('Debt strategy'!$D$13='Debt strategy'!$D$10,4&lt;1))),1,0)))</x:f>
        <x:v>99</x:v>
      </x:c>
      <x:c r="M64" s="6" t="n">
        <x:f>IF('Debt strategy'!$C$16&gt;0,0,MIN(I64+J64-K64,MAX(0,'Debt strategy'!$C$5-SUM(E64,K64,Q64,W64,AC64)-SUM(IF(F64&lt;L64,C64+D64-E64,0),IF(R64&lt;L64,O64+P64-Q64,0),IF(X64&lt;L64,U64+V64-W64,0),IF(AD64&lt;L64,AA64+AB64-AC64,0)))))</x:f>
        <x:v>0</x:v>
      </x:c>
      <x:c r="N64" s="6" t="n">
        <x:f>ROUND(MAX(0,I64+J64-K64-M64),2)</x:f>
        <x:v>0</x:v>
      </x:c>
      <x:c r="O64" s="6" t="n">
        <x:f>T63</x:f>
        <x:v>0</x:v>
      </x:c>
      <x:c r="P64" s="6" t="n">
        <x:f>ROUND(O64*'Debt strategy'!$D$11/12,2)</x:f>
        <x:v>0</x:v>
      </x:c>
      <x:c r="Q64" s="6" t="n">
        <x:f>MIN(O64+P64,'Debt strategy'!$E$11)</x:f>
        <x:v>0</x:v>
      </x:c>
      <x:c r="R64" s="27" t="n">
        <x:f>IF(O64+P64-Q64&lt;=0,99,1+SUM(IF(AND(C64+D64-E64&gt;0,OR('Debt strategy'!$D$9&gt;'Debt strategy'!$D$11,AND('Debt strategy'!$D$9='Debt strategy'!$D$11,0&lt;2))),1,0),IF(AND(I64+J64-K64&gt;0,OR('Debt strategy'!$D$10&gt;'Debt strategy'!$D$11,AND('Debt strategy'!$D$10='Debt strategy'!$D$11,1&lt;2))),1,0),IF(AND(U64+V64-W64&gt;0,OR('Debt strategy'!$D$12&gt;'Debt strategy'!$D$11,AND('Debt strategy'!$D$12='Debt strategy'!$D$11,3&lt;2))),1,0),IF(AND(AA64+AB64-AC64&gt;0,OR('Debt strategy'!$D$13&gt;'Debt strategy'!$D$11,AND('Debt strategy'!$D$13='Debt strategy'!$D$11,4&lt;2))),1,0)))</x:f>
        <x:v>99</x:v>
      </x:c>
      <x:c r="S64" s="6" t="n">
        <x:f>IF('Debt strategy'!$C$16&gt;0,0,MIN(O64+P64-Q64,MAX(0,'Debt strategy'!$C$5-SUM(E64,K64,Q64,W64,AC64)-SUM(IF(F64&lt;R64,C64+D64-E64,0),IF(L64&lt;R64,I64+J64-K64,0),IF(X64&lt;R64,U64+V64-W64,0),IF(AD64&lt;R64,AA64+AB64-AC64,0)))))</x:f>
        <x:v>0</x:v>
      </x:c>
      <x:c r="T64" s="6" t="n">
        <x:f>ROUND(MAX(0,O64+P64-Q64-S64),2)</x:f>
        <x:v>0</x:v>
      </x:c>
      <x:c r="U64" s="6" t="n">
        <x:f>Z63</x:f>
        <x:v>0</x:v>
      </x:c>
      <x:c r="V64" s="6" t="n">
        <x:f>ROUND(U64*'Debt strategy'!$D$12/12,2)</x:f>
        <x:v>0</x:v>
      </x:c>
      <x:c r="W64" s="6" t="n">
        <x:f>MIN(U64+V64,'Debt strategy'!$E$12)</x:f>
        <x:v>0</x:v>
      </x:c>
      <x:c r="X64" s="27" t="n">
        <x:f>IF(U64+V64-W64&lt;=0,99,1+SUM(IF(AND(C64+D64-E64&gt;0,OR('Debt strategy'!$D$9&gt;'Debt strategy'!$D$12,AND('Debt strategy'!$D$9='Debt strategy'!$D$12,0&lt;3))),1,0),IF(AND(I64+J64-K64&gt;0,OR('Debt strategy'!$D$10&gt;'Debt strategy'!$D$12,AND('Debt strategy'!$D$10='Debt strategy'!$D$12,1&lt;3))),1,0),IF(AND(O64+P64-Q64&gt;0,OR('Debt strategy'!$D$11&gt;'Debt strategy'!$D$12,AND('Debt strategy'!$D$11='Debt strategy'!$D$12,2&lt;3))),1,0),IF(AND(AA64+AB64-AC64&gt;0,OR('Debt strategy'!$D$13&gt;'Debt strategy'!$D$12,AND('Debt strategy'!$D$13='Debt strategy'!$D$12,4&lt;3))),1,0)))</x:f>
        <x:v>99</x:v>
      </x:c>
      <x:c r="Y64" s="6" t="n">
        <x:f>IF('Debt strategy'!$C$16&gt;0,0,MIN(U64+V64-W64,MAX(0,'Debt strategy'!$C$5-SUM(E64,K64,Q64,W64,AC64)-SUM(IF(F64&lt;X64,C64+D64-E64,0),IF(L64&lt;X64,I64+J64-K64,0),IF(R64&lt;X64,O64+P64-Q64,0),IF(AD64&lt;X64,AA64+AB64-AC64,0)))))</x:f>
        <x:v>0</x:v>
      </x:c>
      <x:c r="Z64" s="6" t="n">
        <x:f>ROUND(MAX(0,U64+V64-W64-Y64),2)</x:f>
        <x:v>0</x:v>
      </x:c>
      <x:c r="AA64" s="6" t="n">
        <x:f>AF63</x:f>
        <x:v>0</x:v>
      </x:c>
      <x:c r="AB64" s="6" t="n">
        <x:f>ROUND(AA64*'Debt strategy'!$D$13/12,2)</x:f>
        <x:v>0</x:v>
      </x:c>
      <x:c r="AC64" s="6" t="n">
        <x:f>MIN(AA64+AB64,'Debt strategy'!$E$13)</x:f>
        <x:v>0</x:v>
      </x:c>
      <x:c r="AD64" s="27" t="n">
        <x:f>IF(AA64+AB64-AC64&lt;=0,99,1+SUM(IF(AND(C64+D64-E64&gt;0,OR('Debt strategy'!$D$9&gt;'Debt strategy'!$D$13,AND('Debt strategy'!$D$9='Debt strategy'!$D$13,0&lt;4))),1,0),IF(AND(I64+J64-K64&gt;0,OR('Debt strategy'!$D$10&gt;'Debt strategy'!$D$13,AND('Debt strategy'!$D$10='Debt strategy'!$D$13,1&lt;4))),1,0),IF(AND(O64+P64-Q64&gt;0,OR('Debt strategy'!$D$11&gt;'Debt strategy'!$D$13,AND('Debt strategy'!$D$11='Debt strategy'!$D$13,2&lt;4))),1,0),IF(AND(U64+V64-W64&gt;0,OR('Debt strategy'!$D$12&gt;'Debt strategy'!$D$13,AND('Debt strategy'!$D$12='Debt strategy'!$D$13,3&lt;4))),1,0)))</x:f>
        <x:v>99</x:v>
      </x:c>
      <x:c r="AE64" s="6" t="n">
        <x:f>IF('Debt strategy'!$C$16&gt;0,0,MIN(AA64+AB64-AC64,MAX(0,'Debt strategy'!$C$5-SUM(E64,K64,Q64,W64,AC64)-SUM(IF(F64&lt;AD64,C64+D64-E64,0),IF(L64&lt;AD64,I64+J64-K64,0),IF(R64&lt;AD64,O64+P64-Q64,0),IF(X64&lt;AD64,U64+V64-W64,0)))))</x:f>
        <x:v>0</x:v>
      </x:c>
      <x:c r="AF64" s="6" t="n">
        <x:f>ROUND(MAX(0,AA64+AB64-AC64-AE64),2)</x:f>
        <x:v>0</x:v>
      </x:c>
      <x:c r="AG64" s="6" t="n">
        <x:f>SUM(H64,N64,T64,Z64,AF64)</x:f>
        <x:v>0</x:v>
      </x:c>
      <x:c r="AH64" s="6" t="n">
        <x:f>SUM(D64,J64,P64,V64,AB64)+AH63</x:f>
        <x:v>1220.8400000000001</x:v>
      </x:c>
      <x:c r="AI64" s="2"/>
    </x:row>
    <x:row r="65" ht="23" customHeight="1">
      <x:c r="B65" s="2" t="n">
        <x:f>57</x:f>
        <x:v>57</x:v>
      </x:c>
      <x:c r="C65" s="6" t="n">
        <x:f>H64</x:f>
        <x:v>0</x:v>
      </x:c>
      <x:c r="D65" s="6" t="n">
        <x:f>ROUND(C65*'Debt strategy'!$D$9/12,2)</x:f>
        <x:v>0</x:v>
      </x:c>
      <x:c r="E65" s="6" t="n">
        <x:f>MIN(C65+D65,'Debt strategy'!$E$9)</x:f>
        <x:v>0</x:v>
      </x:c>
      <x:c r="F65" s="27" t="n">
        <x:f>IF(C65+D65-E65&lt;=0,99,1+SUM(IF(AND(I65+J65-K65&gt;0,OR('Debt strategy'!$D$10&gt;'Debt strategy'!$D$9,AND('Debt strategy'!$D$10='Debt strategy'!$D$9,1&lt;0))),1,0),IF(AND(O65+P65-Q65&gt;0,OR('Debt strategy'!$D$11&gt;'Debt strategy'!$D$9,AND('Debt strategy'!$D$11='Debt strategy'!$D$9,2&lt;0))),1,0),IF(AND(U65+V65-W65&gt;0,OR('Debt strategy'!$D$12&gt;'Debt strategy'!$D$9,AND('Debt strategy'!$D$12='Debt strategy'!$D$9,3&lt;0))),1,0),IF(AND(AA65+AB65-AC65&gt;0,OR('Debt strategy'!$D$13&gt;'Debt strategy'!$D$9,AND('Debt strategy'!$D$13='Debt strategy'!$D$9,4&lt;0))),1,0)))</x:f>
        <x:v>99</x:v>
      </x:c>
      <x:c r="G65" s="6" t="n">
        <x:f>IF('Debt strategy'!$C$16&gt;0,0,MIN(C65+D65-E65,MAX(0,'Debt strategy'!$C$5-SUM(E65,K65,Q65,W65,AC65)-SUM(IF(L65&lt;F65,I65+J65-K65,0),IF(R65&lt;F65,O65+P65-Q65,0),IF(X65&lt;F65,U65+V65-W65,0),IF(AD65&lt;F65,AA65+AB65-AC65,0)))))</x:f>
        <x:v>0</x:v>
      </x:c>
      <x:c r="H65" s="6" t="n">
        <x:f>ROUND(MAX(0,C65+D65-E65-G65),2)</x:f>
        <x:v>0</x:v>
      </x:c>
      <x:c r="I65" s="6" t="n">
        <x:f>N64</x:f>
        <x:v>0</x:v>
      </x:c>
      <x:c r="J65" s="6" t="n">
        <x:f>ROUND(I65*'Debt strategy'!$D$10/12,2)</x:f>
        <x:v>0</x:v>
      </x:c>
      <x:c r="K65" s="6" t="n">
        <x:f>MIN(I65+J65,'Debt strategy'!$E$10)</x:f>
        <x:v>0</x:v>
      </x:c>
      <x:c r="L65" s="27" t="n">
        <x:f>IF(I65+J65-K65&lt;=0,99,1+SUM(IF(AND(C65+D65-E65&gt;0,OR('Debt strategy'!$D$9&gt;'Debt strategy'!$D$10,AND('Debt strategy'!$D$9='Debt strategy'!$D$10,0&lt;1))),1,0),IF(AND(O65+P65-Q65&gt;0,OR('Debt strategy'!$D$11&gt;'Debt strategy'!$D$10,AND('Debt strategy'!$D$11='Debt strategy'!$D$10,2&lt;1))),1,0),IF(AND(U65+V65-W65&gt;0,OR('Debt strategy'!$D$12&gt;'Debt strategy'!$D$10,AND('Debt strategy'!$D$12='Debt strategy'!$D$10,3&lt;1))),1,0),IF(AND(AA65+AB65-AC65&gt;0,OR('Debt strategy'!$D$13&gt;'Debt strategy'!$D$10,AND('Debt strategy'!$D$13='Debt strategy'!$D$10,4&lt;1))),1,0)))</x:f>
        <x:v>99</x:v>
      </x:c>
      <x:c r="M65" s="6" t="n">
        <x:f>IF('Debt strategy'!$C$16&gt;0,0,MIN(I65+J65-K65,MAX(0,'Debt strategy'!$C$5-SUM(E65,K65,Q65,W65,AC65)-SUM(IF(F65&lt;L65,C65+D65-E65,0),IF(R65&lt;L65,O65+P65-Q65,0),IF(X65&lt;L65,U65+V65-W65,0),IF(AD65&lt;L65,AA65+AB65-AC65,0)))))</x:f>
        <x:v>0</x:v>
      </x:c>
      <x:c r="N65" s="6" t="n">
        <x:f>ROUND(MAX(0,I65+J65-K65-M65),2)</x:f>
        <x:v>0</x:v>
      </x:c>
      <x:c r="O65" s="6" t="n">
        <x:f>T64</x:f>
        <x:v>0</x:v>
      </x:c>
      <x:c r="P65" s="6" t="n">
        <x:f>ROUND(O65*'Debt strategy'!$D$11/12,2)</x:f>
        <x:v>0</x:v>
      </x:c>
      <x:c r="Q65" s="6" t="n">
        <x:f>MIN(O65+P65,'Debt strategy'!$E$11)</x:f>
        <x:v>0</x:v>
      </x:c>
      <x:c r="R65" s="27" t="n">
        <x:f>IF(O65+P65-Q65&lt;=0,99,1+SUM(IF(AND(C65+D65-E65&gt;0,OR('Debt strategy'!$D$9&gt;'Debt strategy'!$D$11,AND('Debt strategy'!$D$9='Debt strategy'!$D$11,0&lt;2))),1,0),IF(AND(I65+J65-K65&gt;0,OR('Debt strategy'!$D$10&gt;'Debt strategy'!$D$11,AND('Debt strategy'!$D$10='Debt strategy'!$D$11,1&lt;2))),1,0),IF(AND(U65+V65-W65&gt;0,OR('Debt strategy'!$D$12&gt;'Debt strategy'!$D$11,AND('Debt strategy'!$D$12='Debt strategy'!$D$11,3&lt;2))),1,0),IF(AND(AA65+AB65-AC65&gt;0,OR('Debt strategy'!$D$13&gt;'Debt strategy'!$D$11,AND('Debt strategy'!$D$13='Debt strategy'!$D$11,4&lt;2))),1,0)))</x:f>
        <x:v>99</x:v>
      </x:c>
      <x:c r="S65" s="6" t="n">
        <x:f>IF('Debt strategy'!$C$16&gt;0,0,MIN(O65+P65-Q65,MAX(0,'Debt strategy'!$C$5-SUM(E65,K65,Q65,W65,AC65)-SUM(IF(F65&lt;R65,C65+D65-E65,0),IF(L65&lt;R65,I65+J65-K65,0),IF(X65&lt;R65,U65+V65-W65,0),IF(AD65&lt;R65,AA65+AB65-AC65,0)))))</x:f>
        <x:v>0</x:v>
      </x:c>
      <x:c r="T65" s="6" t="n">
        <x:f>ROUND(MAX(0,O65+P65-Q65-S65),2)</x:f>
        <x:v>0</x:v>
      </x:c>
      <x:c r="U65" s="6" t="n">
        <x:f>Z64</x:f>
        <x:v>0</x:v>
      </x:c>
      <x:c r="V65" s="6" t="n">
        <x:f>ROUND(U65*'Debt strategy'!$D$12/12,2)</x:f>
        <x:v>0</x:v>
      </x:c>
      <x:c r="W65" s="6" t="n">
        <x:f>MIN(U65+V65,'Debt strategy'!$E$12)</x:f>
        <x:v>0</x:v>
      </x:c>
      <x:c r="X65" s="27" t="n">
        <x:f>IF(U65+V65-W65&lt;=0,99,1+SUM(IF(AND(C65+D65-E65&gt;0,OR('Debt strategy'!$D$9&gt;'Debt strategy'!$D$12,AND('Debt strategy'!$D$9='Debt strategy'!$D$12,0&lt;3))),1,0),IF(AND(I65+J65-K65&gt;0,OR('Debt strategy'!$D$10&gt;'Debt strategy'!$D$12,AND('Debt strategy'!$D$10='Debt strategy'!$D$12,1&lt;3))),1,0),IF(AND(O65+P65-Q65&gt;0,OR('Debt strategy'!$D$11&gt;'Debt strategy'!$D$12,AND('Debt strategy'!$D$11='Debt strategy'!$D$12,2&lt;3))),1,0),IF(AND(AA65+AB65-AC65&gt;0,OR('Debt strategy'!$D$13&gt;'Debt strategy'!$D$12,AND('Debt strategy'!$D$13='Debt strategy'!$D$12,4&lt;3))),1,0)))</x:f>
        <x:v>99</x:v>
      </x:c>
      <x:c r="Y65" s="6" t="n">
        <x:f>IF('Debt strategy'!$C$16&gt;0,0,MIN(U65+V65-W65,MAX(0,'Debt strategy'!$C$5-SUM(E65,K65,Q65,W65,AC65)-SUM(IF(F65&lt;X65,C65+D65-E65,0),IF(L65&lt;X65,I65+J65-K65,0),IF(R65&lt;X65,O65+P65-Q65,0),IF(AD65&lt;X65,AA65+AB65-AC65,0)))))</x:f>
        <x:v>0</x:v>
      </x:c>
      <x:c r="Z65" s="6" t="n">
        <x:f>ROUND(MAX(0,U65+V65-W65-Y65),2)</x:f>
        <x:v>0</x:v>
      </x:c>
      <x:c r="AA65" s="6" t="n">
        <x:f>AF64</x:f>
        <x:v>0</x:v>
      </x:c>
      <x:c r="AB65" s="6" t="n">
        <x:f>ROUND(AA65*'Debt strategy'!$D$13/12,2)</x:f>
        <x:v>0</x:v>
      </x:c>
      <x:c r="AC65" s="6" t="n">
        <x:f>MIN(AA65+AB65,'Debt strategy'!$E$13)</x:f>
        <x:v>0</x:v>
      </x:c>
      <x:c r="AD65" s="27" t="n">
        <x:f>IF(AA65+AB65-AC65&lt;=0,99,1+SUM(IF(AND(C65+D65-E65&gt;0,OR('Debt strategy'!$D$9&gt;'Debt strategy'!$D$13,AND('Debt strategy'!$D$9='Debt strategy'!$D$13,0&lt;4))),1,0),IF(AND(I65+J65-K65&gt;0,OR('Debt strategy'!$D$10&gt;'Debt strategy'!$D$13,AND('Debt strategy'!$D$10='Debt strategy'!$D$13,1&lt;4))),1,0),IF(AND(O65+P65-Q65&gt;0,OR('Debt strategy'!$D$11&gt;'Debt strategy'!$D$13,AND('Debt strategy'!$D$11='Debt strategy'!$D$13,2&lt;4))),1,0),IF(AND(U65+V65-W65&gt;0,OR('Debt strategy'!$D$12&gt;'Debt strategy'!$D$13,AND('Debt strategy'!$D$12='Debt strategy'!$D$13,3&lt;4))),1,0)))</x:f>
        <x:v>99</x:v>
      </x:c>
      <x:c r="AE65" s="6" t="n">
        <x:f>IF('Debt strategy'!$C$16&gt;0,0,MIN(AA65+AB65-AC65,MAX(0,'Debt strategy'!$C$5-SUM(E65,K65,Q65,W65,AC65)-SUM(IF(F65&lt;AD65,C65+D65-E65,0),IF(L65&lt;AD65,I65+J65-K65,0),IF(R65&lt;AD65,O65+P65-Q65,0),IF(X65&lt;AD65,U65+V65-W65,0)))))</x:f>
        <x:v>0</x:v>
      </x:c>
      <x:c r="AF65" s="6" t="n">
        <x:f>ROUND(MAX(0,AA65+AB65-AC65-AE65),2)</x:f>
        <x:v>0</x:v>
      </x:c>
      <x:c r="AG65" s="6" t="n">
        <x:f>SUM(H65,N65,T65,Z65,AF65)</x:f>
        <x:v>0</x:v>
      </x:c>
      <x:c r="AH65" s="6" t="n">
        <x:f>SUM(D65,J65,P65,V65,AB65)+AH64</x:f>
        <x:v>1220.8400000000001</x:v>
      </x:c>
      <x:c r="AI65" s="2"/>
    </x:row>
    <x:row r="66" ht="23" customHeight="1">
      <x:c r="B66" s="2" t="n">
        <x:f>58</x:f>
        <x:v>58</x:v>
      </x:c>
      <x:c r="C66" s="6" t="n">
        <x:f>H65</x:f>
        <x:v>0</x:v>
      </x:c>
      <x:c r="D66" s="6" t="n">
        <x:f>ROUND(C66*'Debt strategy'!$D$9/12,2)</x:f>
        <x:v>0</x:v>
      </x:c>
      <x:c r="E66" s="6" t="n">
        <x:f>MIN(C66+D66,'Debt strategy'!$E$9)</x:f>
        <x:v>0</x:v>
      </x:c>
      <x:c r="F66" s="27" t="n">
        <x:f>IF(C66+D66-E66&lt;=0,99,1+SUM(IF(AND(I66+J66-K66&gt;0,OR('Debt strategy'!$D$10&gt;'Debt strategy'!$D$9,AND('Debt strategy'!$D$10='Debt strategy'!$D$9,1&lt;0))),1,0),IF(AND(O66+P66-Q66&gt;0,OR('Debt strategy'!$D$11&gt;'Debt strategy'!$D$9,AND('Debt strategy'!$D$11='Debt strategy'!$D$9,2&lt;0))),1,0),IF(AND(U66+V66-W66&gt;0,OR('Debt strategy'!$D$12&gt;'Debt strategy'!$D$9,AND('Debt strategy'!$D$12='Debt strategy'!$D$9,3&lt;0))),1,0),IF(AND(AA66+AB66-AC66&gt;0,OR('Debt strategy'!$D$13&gt;'Debt strategy'!$D$9,AND('Debt strategy'!$D$13='Debt strategy'!$D$9,4&lt;0))),1,0)))</x:f>
        <x:v>99</x:v>
      </x:c>
      <x:c r="G66" s="6" t="n">
        <x:f>IF('Debt strategy'!$C$16&gt;0,0,MIN(C66+D66-E66,MAX(0,'Debt strategy'!$C$5-SUM(E66,K66,Q66,W66,AC66)-SUM(IF(L66&lt;F66,I66+J66-K66,0),IF(R66&lt;F66,O66+P66-Q66,0),IF(X66&lt;F66,U66+V66-W66,0),IF(AD66&lt;F66,AA66+AB66-AC66,0)))))</x:f>
        <x:v>0</x:v>
      </x:c>
      <x:c r="H66" s="6" t="n">
        <x:f>ROUND(MAX(0,C66+D66-E66-G66),2)</x:f>
        <x:v>0</x:v>
      </x:c>
      <x:c r="I66" s="6" t="n">
        <x:f>N65</x:f>
        <x:v>0</x:v>
      </x:c>
      <x:c r="J66" s="6" t="n">
        <x:f>ROUND(I66*'Debt strategy'!$D$10/12,2)</x:f>
        <x:v>0</x:v>
      </x:c>
      <x:c r="K66" s="6" t="n">
        <x:f>MIN(I66+J66,'Debt strategy'!$E$10)</x:f>
        <x:v>0</x:v>
      </x:c>
      <x:c r="L66" s="27" t="n">
        <x:f>IF(I66+J66-K66&lt;=0,99,1+SUM(IF(AND(C66+D66-E66&gt;0,OR('Debt strategy'!$D$9&gt;'Debt strategy'!$D$10,AND('Debt strategy'!$D$9='Debt strategy'!$D$10,0&lt;1))),1,0),IF(AND(O66+P66-Q66&gt;0,OR('Debt strategy'!$D$11&gt;'Debt strategy'!$D$10,AND('Debt strategy'!$D$11='Debt strategy'!$D$10,2&lt;1))),1,0),IF(AND(U66+V66-W66&gt;0,OR('Debt strategy'!$D$12&gt;'Debt strategy'!$D$10,AND('Debt strategy'!$D$12='Debt strategy'!$D$10,3&lt;1))),1,0),IF(AND(AA66+AB66-AC66&gt;0,OR('Debt strategy'!$D$13&gt;'Debt strategy'!$D$10,AND('Debt strategy'!$D$13='Debt strategy'!$D$10,4&lt;1))),1,0)))</x:f>
        <x:v>99</x:v>
      </x:c>
      <x:c r="M66" s="6" t="n">
        <x:f>IF('Debt strategy'!$C$16&gt;0,0,MIN(I66+J66-K66,MAX(0,'Debt strategy'!$C$5-SUM(E66,K66,Q66,W66,AC66)-SUM(IF(F66&lt;L66,C66+D66-E66,0),IF(R66&lt;L66,O66+P66-Q66,0),IF(X66&lt;L66,U66+V66-W66,0),IF(AD66&lt;L66,AA66+AB66-AC66,0)))))</x:f>
        <x:v>0</x:v>
      </x:c>
      <x:c r="N66" s="6" t="n">
        <x:f>ROUND(MAX(0,I66+J66-K66-M66),2)</x:f>
        <x:v>0</x:v>
      </x:c>
      <x:c r="O66" s="6" t="n">
        <x:f>T65</x:f>
        <x:v>0</x:v>
      </x:c>
      <x:c r="P66" s="6" t="n">
        <x:f>ROUND(O66*'Debt strategy'!$D$11/12,2)</x:f>
        <x:v>0</x:v>
      </x:c>
      <x:c r="Q66" s="6" t="n">
        <x:f>MIN(O66+P66,'Debt strategy'!$E$11)</x:f>
        <x:v>0</x:v>
      </x:c>
      <x:c r="R66" s="27" t="n">
        <x:f>IF(O66+P66-Q66&lt;=0,99,1+SUM(IF(AND(C66+D66-E66&gt;0,OR('Debt strategy'!$D$9&gt;'Debt strategy'!$D$11,AND('Debt strategy'!$D$9='Debt strategy'!$D$11,0&lt;2))),1,0),IF(AND(I66+J66-K66&gt;0,OR('Debt strategy'!$D$10&gt;'Debt strategy'!$D$11,AND('Debt strategy'!$D$10='Debt strategy'!$D$11,1&lt;2))),1,0),IF(AND(U66+V66-W66&gt;0,OR('Debt strategy'!$D$12&gt;'Debt strategy'!$D$11,AND('Debt strategy'!$D$12='Debt strategy'!$D$11,3&lt;2))),1,0),IF(AND(AA66+AB66-AC66&gt;0,OR('Debt strategy'!$D$13&gt;'Debt strategy'!$D$11,AND('Debt strategy'!$D$13='Debt strategy'!$D$11,4&lt;2))),1,0)))</x:f>
        <x:v>99</x:v>
      </x:c>
      <x:c r="S66" s="6" t="n">
        <x:f>IF('Debt strategy'!$C$16&gt;0,0,MIN(O66+P66-Q66,MAX(0,'Debt strategy'!$C$5-SUM(E66,K66,Q66,W66,AC66)-SUM(IF(F66&lt;R66,C66+D66-E66,0),IF(L66&lt;R66,I66+J66-K66,0),IF(X66&lt;R66,U66+V66-W66,0),IF(AD66&lt;R66,AA66+AB66-AC66,0)))))</x:f>
        <x:v>0</x:v>
      </x:c>
      <x:c r="T66" s="6" t="n">
        <x:f>ROUND(MAX(0,O66+P66-Q66-S66),2)</x:f>
        <x:v>0</x:v>
      </x:c>
      <x:c r="U66" s="6" t="n">
        <x:f>Z65</x:f>
        <x:v>0</x:v>
      </x:c>
      <x:c r="V66" s="6" t="n">
        <x:f>ROUND(U66*'Debt strategy'!$D$12/12,2)</x:f>
        <x:v>0</x:v>
      </x:c>
      <x:c r="W66" s="6" t="n">
        <x:f>MIN(U66+V66,'Debt strategy'!$E$12)</x:f>
        <x:v>0</x:v>
      </x:c>
      <x:c r="X66" s="27" t="n">
        <x:f>IF(U66+V66-W66&lt;=0,99,1+SUM(IF(AND(C66+D66-E66&gt;0,OR('Debt strategy'!$D$9&gt;'Debt strategy'!$D$12,AND('Debt strategy'!$D$9='Debt strategy'!$D$12,0&lt;3))),1,0),IF(AND(I66+J66-K66&gt;0,OR('Debt strategy'!$D$10&gt;'Debt strategy'!$D$12,AND('Debt strategy'!$D$10='Debt strategy'!$D$12,1&lt;3))),1,0),IF(AND(O66+P66-Q66&gt;0,OR('Debt strategy'!$D$11&gt;'Debt strategy'!$D$12,AND('Debt strategy'!$D$11='Debt strategy'!$D$12,2&lt;3))),1,0),IF(AND(AA66+AB66-AC66&gt;0,OR('Debt strategy'!$D$13&gt;'Debt strategy'!$D$12,AND('Debt strategy'!$D$13='Debt strategy'!$D$12,4&lt;3))),1,0)))</x:f>
        <x:v>99</x:v>
      </x:c>
      <x:c r="Y66" s="6" t="n">
        <x:f>IF('Debt strategy'!$C$16&gt;0,0,MIN(U66+V66-W66,MAX(0,'Debt strategy'!$C$5-SUM(E66,K66,Q66,W66,AC66)-SUM(IF(F66&lt;X66,C66+D66-E66,0),IF(L66&lt;X66,I66+J66-K66,0),IF(R66&lt;X66,O66+P66-Q66,0),IF(AD66&lt;X66,AA66+AB66-AC66,0)))))</x:f>
        <x:v>0</x:v>
      </x:c>
      <x:c r="Z66" s="6" t="n">
        <x:f>ROUND(MAX(0,U66+V66-W66-Y66),2)</x:f>
        <x:v>0</x:v>
      </x:c>
      <x:c r="AA66" s="6" t="n">
        <x:f>AF65</x:f>
        <x:v>0</x:v>
      </x:c>
      <x:c r="AB66" s="6" t="n">
        <x:f>ROUND(AA66*'Debt strategy'!$D$13/12,2)</x:f>
        <x:v>0</x:v>
      </x:c>
      <x:c r="AC66" s="6" t="n">
        <x:f>MIN(AA66+AB66,'Debt strategy'!$E$13)</x:f>
        <x:v>0</x:v>
      </x:c>
      <x:c r="AD66" s="27" t="n">
        <x:f>IF(AA66+AB66-AC66&lt;=0,99,1+SUM(IF(AND(C66+D66-E66&gt;0,OR('Debt strategy'!$D$9&gt;'Debt strategy'!$D$13,AND('Debt strategy'!$D$9='Debt strategy'!$D$13,0&lt;4))),1,0),IF(AND(I66+J66-K66&gt;0,OR('Debt strategy'!$D$10&gt;'Debt strategy'!$D$13,AND('Debt strategy'!$D$10='Debt strategy'!$D$13,1&lt;4))),1,0),IF(AND(O66+P66-Q66&gt;0,OR('Debt strategy'!$D$11&gt;'Debt strategy'!$D$13,AND('Debt strategy'!$D$11='Debt strategy'!$D$13,2&lt;4))),1,0),IF(AND(U66+V66-W66&gt;0,OR('Debt strategy'!$D$12&gt;'Debt strategy'!$D$13,AND('Debt strategy'!$D$12='Debt strategy'!$D$13,3&lt;4))),1,0)))</x:f>
        <x:v>99</x:v>
      </x:c>
      <x:c r="AE66" s="6" t="n">
        <x:f>IF('Debt strategy'!$C$16&gt;0,0,MIN(AA66+AB66-AC66,MAX(0,'Debt strategy'!$C$5-SUM(E66,K66,Q66,W66,AC66)-SUM(IF(F66&lt;AD66,C66+D66-E66,0),IF(L66&lt;AD66,I66+J66-K66,0),IF(R66&lt;AD66,O66+P66-Q66,0),IF(X66&lt;AD66,U66+V66-W66,0)))))</x:f>
        <x:v>0</x:v>
      </x:c>
      <x:c r="AF66" s="6" t="n">
        <x:f>ROUND(MAX(0,AA66+AB66-AC66-AE66),2)</x:f>
        <x:v>0</x:v>
      </x:c>
      <x:c r="AG66" s="6" t="n">
        <x:f>SUM(H66,N66,T66,Z66,AF66)</x:f>
        <x:v>0</x:v>
      </x:c>
      <x:c r="AH66" s="6" t="n">
        <x:f>SUM(D66,J66,P66,V66,AB66)+AH65</x:f>
        <x:v>1220.8400000000001</x:v>
      </x:c>
      <x:c r="AI66" s="2"/>
    </x:row>
    <x:row r="67" ht="23" customHeight="1">
      <x:c r="B67" s="2" t="n">
        <x:f>59</x:f>
        <x:v>59</x:v>
      </x:c>
      <x:c r="C67" s="6" t="n">
        <x:f>H66</x:f>
        <x:v>0</x:v>
      </x:c>
      <x:c r="D67" s="6" t="n">
        <x:f>ROUND(C67*'Debt strategy'!$D$9/12,2)</x:f>
        <x:v>0</x:v>
      </x:c>
      <x:c r="E67" s="6" t="n">
        <x:f>MIN(C67+D67,'Debt strategy'!$E$9)</x:f>
        <x:v>0</x:v>
      </x:c>
      <x:c r="F67" s="27" t="n">
        <x:f>IF(C67+D67-E67&lt;=0,99,1+SUM(IF(AND(I67+J67-K67&gt;0,OR('Debt strategy'!$D$10&gt;'Debt strategy'!$D$9,AND('Debt strategy'!$D$10='Debt strategy'!$D$9,1&lt;0))),1,0),IF(AND(O67+P67-Q67&gt;0,OR('Debt strategy'!$D$11&gt;'Debt strategy'!$D$9,AND('Debt strategy'!$D$11='Debt strategy'!$D$9,2&lt;0))),1,0),IF(AND(U67+V67-W67&gt;0,OR('Debt strategy'!$D$12&gt;'Debt strategy'!$D$9,AND('Debt strategy'!$D$12='Debt strategy'!$D$9,3&lt;0))),1,0),IF(AND(AA67+AB67-AC67&gt;0,OR('Debt strategy'!$D$13&gt;'Debt strategy'!$D$9,AND('Debt strategy'!$D$13='Debt strategy'!$D$9,4&lt;0))),1,0)))</x:f>
        <x:v>99</x:v>
      </x:c>
      <x:c r="G67" s="6" t="n">
        <x:f>IF('Debt strategy'!$C$16&gt;0,0,MIN(C67+D67-E67,MAX(0,'Debt strategy'!$C$5-SUM(E67,K67,Q67,W67,AC67)-SUM(IF(L67&lt;F67,I67+J67-K67,0),IF(R67&lt;F67,O67+P67-Q67,0),IF(X67&lt;F67,U67+V67-W67,0),IF(AD67&lt;F67,AA67+AB67-AC67,0)))))</x:f>
        <x:v>0</x:v>
      </x:c>
      <x:c r="H67" s="6" t="n">
        <x:f>ROUND(MAX(0,C67+D67-E67-G67),2)</x:f>
        <x:v>0</x:v>
      </x:c>
      <x:c r="I67" s="6" t="n">
        <x:f>N66</x:f>
        <x:v>0</x:v>
      </x:c>
      <x:c r="J67" s="6" t="n">
        <x:f>ROUND(I67*'Debt strategy'!$D$10/12,2)</x:f>
        <x:v>0</x:v>
      </x:c>
      <x:c r="K67" s="6" t="n">
        <x:f>MIN(I67+J67,'Debt strategy'!$E$10)</x:f>
        <x:v>0</x:v>
      </x:c>
      <x:c r="L67" s="27" t="n">
        <x:f>IF(I67+J67-K67&lt;=0,99,1+SUM(IF(AND(C67+D67-E67&gt;0,OR('Debt strategy'!$D$9&gt;'Debt strategy'!$D$10,AND('Debt strategy'!$D$9='Debt strategy'!$D$10,0&lt;1))),1,0),IF(AND(O67+P67-Q67&gt;0,OR('Debt strategy'!$D$11&gt;'Debt strategy'!$D$10,AND('Debt strategy'!$D$11='Debt strategy'!$D$10,2&lt;1))),1,0),IF(AND(U67+V67-W67&gt;0,OR('Debt strategy'!$D$12&gt;'Debt strategy'!$D$10,AND('Debt strategy'!$D$12='Debt strategy'!$D$10,3&lt;1))),1,0),IF(AND(AA67+AB67-AC67&gt;0,OR('Debt strategy'!$D$13&gt;'Debt strategy'!$D$10,AND('Debt strategy'!$D$13='Debt strategy'!$D$10,4&lt;1))),1,0)))</x:f>
        <x:v>99</x:v>
      </x:c>
      <x:c r="M67" s="6" t="n">
        <x:f>IF('Debt strategy'!$C$16&gt;0,0,MIN(I67+J67-K67,MAX(0,'Debt strategy'!$C$5-SUM(E67,K67,Q67,W67,AC67)-SUM(IF(F67&lt;L67,C67+D67-E67,0),IF(R67&lt;L67,O67+P67-Q67,0),IF(X67&lt;L67,U67+V67-W67,0),IF(AD67&lt;L67,AA67+AB67-AC67,0)))))</x:f>
        <x:v>0</x:v>
      </x:c>
      <x:c r="N67" s="6" t="n">
        <x:f>ROUND(MAX(0,I67+J67-K67-M67),2)</x:f>
        <x:v>0</x:v>
      </x:c>
      <x:c r="O67" s="6" t="n">
        <x:f>T66</x:f>
        <x:v>0</x:v>
      </x:c>
      <x:c r="P67" s="6" t="n">
        <x:f>ROUND(O67*'Debt strategy'!$D$11/12,2)</x:f>
        <x:v>0</x:v>
      </x:c>
      <x:c r="Q67" s="6" t="n">
        <x:f>MIN(O67+P67,'Debt strategy'!$E$11)</x:f>
        <x:v>0</x:v>
      </x:c>
      <x:c r="R67" s="27" t="n">
        <x:f>IF(O67+P67-Q67&lt;=0,99,1+SUM(IF(AND(C67+D67-E67&gt;0,OR('Debt strategy'!$D$9&gt;'Debt strategy'!$D$11,AND('Debt strategy'!$D$9='Debt strategy'!$D$11,0&lt;2))),1,0),IF(AND(I67+J67-K67&gt;0,OR('Debt strategy'!$D$10&gt;'Debt strategy'!$D$11,AND('Debt strategy'!$D$10='Debt strategy'!$D$11,1&lt;2))),1,0),IF(AND(U67+V67-W67&gt;0,OR('Debt strategy'!$D$12&gt;'Debt strategy'!$D$11,AND('Debt strategy'!$D$12='Debt strategy'!$D$11,3&lt;2))),1,0),IF(AND(AA67+AB67-AC67&gt;0,OR('Debt strategy'!$D$13&gt;'Debt strategy'!$D$11,AND('Debt strategy'!$D$13='Debt strategy'!$D$11,4&lt;2))),1,0)))</x:f>
        <x:v>99</x:v>
      </x:c>
      <x:c r="S67" s="6" t="n">
        <x:f>IF('Debt strategy'!$C$16&gt;0,0,MIN(O67+P67-Q67,MAX(0,'Debt strategy'!$C$5-SUM(E67,K67,Q67,W67,AC67)-SUM(IF(F67&lt;R67,C67+D67-E67,0),IF(L67&lt;R67,I67+J67-K67,0),IF(X67&lt;R67,U67+V67-W67,0),IF(AD67&lt;R67,AA67+AB67-AC67,0)))))</x:f>
        <x:v>0</x:v>
      </x:c>
      <x:c r="T67" s="6" t="n">
        <x:f>ROUND(MAX(0,O67+P67-Q67-S67),2)</x:f>
        <x:v>0</x:v>
      </x:c>
      <x:c r="U67" s="6" t="n">
        <x:f>Z66</x:f>
        <x:v>0</x:v>
      </x:c>
      <x:c r="V67" s="6" t="n">
        <x:f>ROUND(U67*'Debt strategy'!$D$12/12,2)</x:f>
        <x:v>0</x:v>
      </x:c>
      <x:c r="W67" s="6" t="n">
        <x:f>MIN(U67+V67,'Debt strategy'!$E$12)</x:f>
        <x:v>0</x:v>
      </x:c>
      <x:c r="X67" s="27" t="n">
        <x:f>IF(U67+V67-W67&lt;=0,99,1+SUM(IF(AND(C67+D67-E67&gt;0,OR('Debt strategy'!$D$9&gt;'Debt strategy'!$D$12,AND('Debt strategy'!$D$9='Debt strategy'!$D$12,0&lt;3))),1,0),IF(AND(I67+J67-K67&gt;0,OR('Debt strategy'!$D$10&gt;'Debt strategy'!$D$12,AND('Debt strategy'!$D$10='Debt strategy'!$D$12,1&lt;3))),1,0),IF(AND(O67+P67-Q67&gt;0,OR('Debt strategy'!$D$11&gt;'Debt strategy'!$D$12,AND('Debt strategy'!$D$11='Debt strategy'!$D$12,2&lt;3))),1,0),IF(AND(AA67+AB67-AC67&gt;0,OR('Debt strategy'!$D$13&gt;'Debt strategy'!$D$12,AND('Debt strategy'!$D$13='Debt strategy'!$D$12,4&lt;3))),1,0)))</x:f>
        <x:v>99</x:v>
      </x:c>
      <x:c r="Y67" s="6" t="n">
        <x:f>IF('Debt strategy'!$C$16&gt;0,0,MIN(U67+V67-W67,MAX(0,'Debt strategy'!$C$5-SUM(E67,K67,Q67,W67,AC67)-SUM(IF(F67&lt;X67,C67+D67-E67,0),IF(L67&lt;X67,I67+J67-K67,0),IF(R67&lt;X67,O67+P67-Q67,0),IF(AD67&lt;X67,AA67+AB67-AC67,0)))))</x:f>
        <x:v>0</x:v>
      </x:c>
      <x:c r="Z67" s="6" t="n">
        <x:f>ROUND(MAX(0,U67+V67-W67-Y67),2)</x:f>
        <x:v>0</x:v>
      </x:c>
      <x:c r="AA67" s="6" t="n">
        <x:f>AF66</x:f>
        <x:v>0</x:v>
      </x:c>
      <x:c r="AB67" s="6" t="n">
        <x:f>ROUND(AA67*'Debt strategy'!$D$13/12,2)</x:f>
        <x:v>0</x:v>
      </x:c>
      <x:c r="AC67" s="6" t="n">
        <x:f>MIN(AA67+AB67,'Debt strategy'!$E$13)</x:f>
        <x:v>0</x:v>
      </x:c>
      <x:c r="AD67" s="27" t="n">
        <x:f>IF(AA67+AB67-AC67&lt;=0,99,1+SUM(IF(AND(C67+D67-E67&gt;0,OR('Debt strategy'!$D$9&gt;'Debt strategy'!$D$13,AND('Debt strategy'!$D$9='Debt strategy'!$D$13,0&lt;4))),1,0),IF(AND(I67+J67-K67&gt;0,OR('Debt strategy'!$D$10&gt;'Debt strategy'!$D$13,AND('Debt strategy'!$D$10='Debt strategy'!$D$13,1&lt;4))),1,0),IF(AND(O67+P67-Q67&gt;0,OR('Debt strategy'!$D$11&gt;'Debt strategy'!$D$13,AND('Debt strategy'!$D$11='Debt strategy'!$D$13,2&lt;4))),1,0),IF(AND(U67+V67-W67&gt;0,OR('Debt strategy'!$D$12&gt;'Debt strategy'!$D$13,AND('Debt strategy'!$D$12='Debt strategy'!$D$13,3&lt;4))),1,0)))</x:f>
        <x:v>99</x:v>
      </x:c>
      <x:c r="AE67" s="6" t="n">
        <x:f>IF('Debt strategy'!$C$16&gt;0,0,MIN(AA67+AB67-AC67,MAX(0,'Debt strategy'!$C$5-SUM(E67,K67,Q67,W67,AC67)-SUM(IF(F67&lt;AD67,C67+D67-E67,0),IF(L67&lt;AD67,I67+J67-K67,0),IF(R67&lt;AD67,O67+P67-Q67,0),IF(X67&lt;AD67,U67+V67-W67,0)))))</x:f>
        <x:v>0</x:v>
      </x:c>
      <x:c r="AF67" s="6" t="n">
        <x:f>ROUND(MAX(0,AA67+AB67-AC67-AE67),2)</x:f>
        <x:v>0</x:v>
      </x:c>
      <x:c r="AG67" s="6" t="n">
        <x:f>SUM(H67,N67,T67,Z67,AF67)</x:f>
        <x:v>0</x:v>
      </x:c>
      <x:c r="AH67" s="6" t="n">
        <x:f>SUM(D67,J67,P67,V67,AB67)+AH66</x:f>
        <x:v>1220.8400000000001</x:v>
      </x:c>
      <x:c r="AI67" s="2"/>
    </x:row>
    <x:row r="68" ht="23" customHeight="1">
      <x:c r="B68" s="2" t="n">
        <x:f>60</x:f>
        <x:v>60</x:v>
      </x:c>
      <x:c r="C68" s="6" t="n">
        <x:f>H67</x:f>
        <x:v>0</x:v>
      </x:c>
      <x:c r="D68" s="6" t="n">
        <x:f>ROUND(C68*'Debt strategy'!$D$9/12,2)</x:f>
        <x:v>0</x:v>
      </x:c>
      <x:c r="E68" s="6" t="n">
        <x:f>MIN(C68+D68,'Debt strategy'!$E$9)</x:f>
        <x:v>0</x:v>
      </x:c>
      <x:c r="F68" s="27" t="n">
        <x:f>IF(C68+D68-E68&lt;=0,99,1+SUM(IF(AND(I68+J68-K68&gt;0,OR('Debt strategy'!$D$10&gt;'Debt strategy'!$D$9,AND('Debt strategy'!$D$10='Debt strategy'!$D$9,1&lt;0))),1,0),IF(AND(O68+P68-Q68&gt;0,OR('Debt strategy'!$D$11&gt;'Debt strategy'!$D$9,AND('Debt strategy'!$D$11='Debt strategy'!$D$9,2&lt;0))),1,0),IF(AND(U68+V68-W68&gt;0,OR('Debt strategy'!$D$12&gt;'Debt strategy'!$D$9,AND('Debt strategy'!$D$12='Debt strategy'!$D$9,3&lt;0))),1,0),IF(AND(AA68+AB68-AC68&gt;0,OR('Debt strategy'!$D$13&gt;'Debt strategy'!$D$9,AND('Debt strategy'!$D$13='Debt strategy'!$D$9,4&lt;0))),1,0)))</x:f>
        <x:v>99</x:v>
      </x:c>
      <x:c r="G68" s="6" t="n">
        <x:f>IF('Debt strategy'!$C$16&gt;0,0,MIN(C68+D68-E68,MAX(0,'Debt strategy'!$C$5-SUM(E68,K68,Q68,W68,AC68)-SUM(IF(L68&lt;F68,I68+J68-K68,0),IF(R68&lt;F68,O68+P68-Q68,0),IF(X68&lt;F68,U68+V68-W68,0),IF(AD68&lt;F68,AA68+AB68-AC68,0)))))</x:f>
        <x:v>0</x:v>
      </x:c>
      <x:c r="H68" s="6" t="n">
        <x:f>ROUND(MAX(0,C68+D68-E68-G68),2)</x:f>
        <x:v>0</x:v>
      </x:c>
      <x:c r="I68" s="6" t="n">
        <x:f>N67</x:f>
        <x:v>0</x:v>
      </x:c>
      <x:c r="J68" s="6" t="n">
        <x:f>ROUND(I68*'Debt strategy'!$D$10/12,2)</x:f>
        <x:v>0</x:v>
      </x:c>
      <x:c r="K68" s="6" t="n">
        <x:f>MIN(I68+J68,'Debt strategy'!$E$10)</x:f>
        <x:v>0</x:v>
      </x:c>
      <x:c r="L68" s="27" t="n">
        <x:f>IF(I68+J68-K68&lt;=0,99,1+SUM(IF(AND(C68+D68-E68&gt;0,OR('Debt strategy'!$D$9&gt;'Debt strategy'!$D$10,AND('Debt strategy'!$D$9='Debt strategy'!$D$10,0&lt;1))),1,0),IF(AND(O68+P68-Q68&gt;0,OR('Debt strategy'!$D$11&gt;'Debt strategy'!$D$10,AND('Debt strategy'!$D$11='Debt strategy'!$D$10,2&lt;1))),1,0),IF(AND(U68+V68-W68&gt;0,OR('Debt strategy'!$D$12&gt;'Debt strategy'!$D$10,AND('Debt strategy'!$D$12='Debt strategy'!$D$10,3&lt;1))),1,0),IF(AND(AA68+AB68-AC68&gt;0,OR('Debt strategy'!$D$13&gt;'Debt strategy'!$D$10,AND('Debt strategy'!$D$13='Debt strategy'!$D$10,4&lt;1))),1,0)))</x:f>
        <x:v>99</x:v>
      </x:c>
      <x:c r="M68" s="6" t="n">
        <x:f>IF('Debt strategy'!$C$16&gt;0,0,MIN(I68+J68-K68,MAX(0,'Debt strategy'!$C$5-SUM(E68,K68,Q68,W68,AC68)-SUM(IF(F68&lt;L68,C68+D68-E68,0),IF(R68&lt;L68,O68+P68-Q68,0),IF(X68&lt;L68,U68+V68-W68,0),IF(AD68&lt;L68,AA68+AB68-AC68,0)))))</x:f>
        <x:v>0</x:v>
      </x:c>
      <x:c r="N68" s="6" t="n">
        <x:f>ROUND(MAX(0,I68+J68-K68-M68),2)</x:f>
        <x:v>0</x:v>
      </x:c>
      <x:c r="O68" s="6" t="n">
        <x:f>T67</x:f>
        <x:v>0</x:v>
      </x:c>
      <x:c r="P68" s="6" t="n">
        <x:f>ROUND(O68*'Debt strategy'!$D$11/12,2)</x:f>
        <x:v>0</x:v>
      </x:c>
      <x:c r="Q68" s="6" t="n">
        <x:f>MIN(O68+P68,'Debt strategy'!$E$11)</x:f>
        <x:v>0</x:v>
      </x:c>
      <x:c r="R68" s="27" t="n">
        <x:f>IF(O68+P68-Q68&lt;=0,99,1+SUM(IF(AND(C68+D68-E68&gt;0,OR('Debt strategy'!$D$9&gt;'Debt strategy'!$D$11,AND('Debt strategy'!$D$9='Debt strategy'!$D$11,0&lt;2))),1,0),IF(AND(I68+J68-K68&gt;0,OR('Debt strategy'!$D$10&gt;'Debt strategy'!$D$11,AND('Debt strategy'!$D$10='Debt strategy'!$D$11,1&lt;2))),1,0),IF(AND(U68+V68-W68&gt;0,OR('Debt strategy'!$D$12&gt;'Debt strategy'!$D$11,AND('Debt strategy'!$D$12='Debt strategy'!$D$11,3&lt;2))),1,0),IF(AND(AA68+AB68-AC68&gt;0,OR('Debt strategy'!$D$13&gt;'Debt strategy'!$D$11,AND('Debt strategy'!$D$13='Debt strategy'!$D$11,4&lt;2))),1,0)))</x:f>
        <x:v>99</x:v>
      </x:c>
      <x:c r="S68" s="6" t="n">
        <x:f>IF('Debt strategy'!$C$16&gt;0,0,MIN(O68+P68-Q68,MAX(0,'Debt strategy'!$C$5-SUM(E68,K68,Q68,W68,AC68)-SUM(IF(F68&lt;R68,C68+D68-E68,0),IF(L68&lt;R68,I68+J68-K68,0),IF(X68&lt;R68,U68+V68-W68,0),IF(AD68&lt;R68,AA68+AB68-AC68,0)))))</x:f>
        <x:v>0</x:v>
      </x:c>
      <x:c r="T68" s="6" t="n">
        <x:f>ROUND(MAX(0,O68+P68-Q68-S68),2)</x:f>
        <x:v>0</x:v>
      </x:c>
      <x:c r="U68" s="6" t="n">
        <x:f>Z67</x:f>
        <x:v>0</x:v>
      </x:c>
      <x:c r="V68" s="6" t="n">
        <x:f>ROUND(U68*'Debt strategy'!$D$12/12,2)</x:f>
        <x:v>0</x:v>
      </x:c>
      <x:c r="W68" s="6" t="n">
        <x:f>MIN(U68+V68,'Debt strategy'!$E$12)</x:f>
        <x:v>0</x:v>
      </x:c>
      <x:c r="X68" s="27" t="n">
        <x:f>IF(U68+V68-W68&lt;=0,99,1+SUM(IF(AND(C68+D68-E68&gt;0,OR('Debt strategy'!$D$9&gt;'Debt strategy'!$D$12,AND('Debt strategy'!$D$9='Debt strategy'!$D$12,0&lt;3))),1,0),IF(AND(I68+J68-K68&gt;0,OR('Debt strategy'!$D$10&gt;'Debt strategy'!$D$12,AND('Debt strategy'!$D$10='Debt strategy'!$D$12,1&lt;3))),1,0),IF(AND(O68+P68-Q68&gt;0,OR('Debt strategy'!$D$11&gt;'Debt strategy'!$D$12,AND('Debt strategy'!$D$11='Debt strategy'!$D$12,2&lt;3))),1,0),IF(AND(AA68+AB68-AC68&gt;0,OR('Debt strategy'!$D$13&gt;'Debt strategy'!$D$12,AND('Debt strategy'!$D$13='Debt strategy'!$D$12,4&lt;3))),1,0)))</x:f>
        <x:v>99</x:v>
      </x:c>
      <x:c r="Y68" s="6" t="n">
        <x:f>IF('Debt strategy'!$C$16&gt;0,0,MIN(U68+V68-W68,MAX(0,'Debt strategy'!$C$5-SUM(E68,K68,Q68,W68,AC68)-SUM(IF(F68&lt;X68,C68+D68-E68,0),IF(L68&lt;X68,I68+J68-K68,0),IF(R68&lt;X68,O68+P68-Q68,0),IF(AD68&lt;X68,AA68+AB68-AC68,0)))))</x:f>
        <x:v>0</x:v>
      </x:c>
      <x:c r="Z68" s="6" t="n">
        <x:f>ROUND(MAX(0,U68+V68-W68-Y68),2)</x:f>
        <x:v>0</x:v>
      </x:c>
      <x:c r="AA68" s="6" t="n">
        <x:f>AF67</x:f>
        <x:v>0</x:v>
      </x:c>
      <x:c r="AB68" s="6" t="n">
        <x:f>ROUND(AA68*'Debt strategy'!$D$13/12,2)</x:f>
        <x:v>0</x:v>
      </x:c>
      <x:c r="AC68" s="6" t="n">
        <x:f>MIN(AA68+AB68,'Debt strategy'!$E$13)</x:f>
        <x:v>0</x:v>
      </x:c>
      <x:c r="AD68" s="27" t="n">
        <x:f>IF(AA68+AB68-AC68&lt;=0,99,1+SUM(IF(AND(C68+D68-E68&gt;0,OR('Debt strategy'!$D$9&gt;'Debt strategy'!$D$13,AND('Debt strategy'!$D$9='Debt strategy'!$D$13,0&lt;4))),1,0),IF(AND(I68+J68-K68&gt;0,OR('Debt strategy'!$D$10&gt;'Debt strategy'!$D$13,AND('Debt strategy'!$D$10='Debt strategy'!$D$13,1&lt;4))),1,0),IF(AND(O68+P68-Q68&gt;0,OR('Debt strategy'!$D$11&gt;'Debt strategy'!$D$13,AND('Debt strategy'!$D$11='Debt strategy'!$D$13,2&lt;4))),1,0),IF(AND(U68+V68-W68&gt;0,OR('Debt strategy'!$D$12&gt;'Debt strategy'!$D$13,AND('Debt strategy'!$D$12='Debt strategy'!$D$13,3&lt;4))),1,0)))</x:f>
        <x:v>99</x:v>
      </x:c>
      <x:c r="AE68" s="6" t="n">
        <x:f>IF('Debt strategy'!$C$16&gt;0,0,MIN(AA68+AB68-AC68,MAX(0,'Debt strategy'!$C$5-SUM(E68,K68,Q68,W68,AC68)-SUM(IF(F68&lt;AD68,C68+D68-E68,0),IF(L68&lt;AD68,I68+J68-K68,0),IF(R68&lt;AD68,O68+P68-Q68,0),IF(X68&lt;AD68,U68+V68-W68,0)))))</x:f>
        <x:v>0</x:v>
      </x:c>
      <x:c r="AF68" s="6" t="n">
        <x:f>ROUND(MAX(0,AA68+AB68-AC68-AE68),2)</x:f>
        <x:v>0</x:v>
      </x:c>
      <x:c r="AG68" s="6" t="n">
        <x:f>SUM(H68,N68,T68,Z68,AF68)</x:f>
        <x:v>0</x:v>
      </x:c>
      <x:c r="AH68" s="6" t="n">
        <x:f>SUM(D68,J68,P68,V68,AB68)+AH67</x:f>
        <x:v>1220.8400000000001</x:v>
      </x:c>
      <x:c r="AI68" s="2"/>
    </x:row>
    <x:row r="69" ht="23" customHeight="1">
      <x:c r="B69" s="2" t="n">
        <x:f>61</x:f>
        <x:v>61</x:v>
      </x:c>
      <x:c r="C69" s="6" t="n">
        <x:f>H68</x:f>
        <x:v>0</x:v>
      </x:c>
      <x:c r="D69" s="6" t="n">
        <x:f>ROUND(C69*'Debt strategy'!$D$9/12,2)</x:f>
        <x:v>0</x:v>
      </x:c>
      <x:c r="E69" s="6" t="n">
        <x:f>MIN(C69+D69,'Debt strategy'!$E$9)</x:f>
        <x:v>0</x:v>
      </x:c>
      <x:c r="F69" s="27" t="n">
        <x:f>IF(C69+D69-E69&lt;=0,99,1+SUM(IF(AND(I69+J69-K69&gt;0,OR('Debt strategy'!$D$10&gt;'Debt strategy'!$D$9,AND('Debt strategy'!$D$10='Debt strategy'!$D$9,1&lt;0))),1,0),IF(AND(O69+P69-Q69&gt;0,OR('Debt strategy'!$D$11&gt;'Debt strategy'!$D$9,AND('Debt strategy'!$D$11='Debt strategy'!$D$9,2&lt;0))),1,0),IF(AND(U69+V69-W69&gt;0,OR('Debt strategy'!$D$12&gt;'Debt strategy'!$D$9,AND('Debt strategy'!$D$12='Debt strategy'!$D$9,3&lt;0))),1,0),IF(AND(AA69+AB69-AC69&gt;0,OR('Debt strategy'!$D$13&gt;'Debt strategy'!$D$9,AND('Debt strategy'!$D$13='Debt strategy'!$D$9,4&lt;0))),1,0)))</x:f>
        <x:v>99</x:v>
      </x:c>
      <x:c r="G69" s="6" t="n">
        <x:f>IF('Debt strategy'!$C$16&gt;0,0,MIN(C69+D69-E69,MAX(0,'Debt strategy'!$C$5-SUM(E69,K69,Q69,W69,AC69)-SUM(IF(L69&lt;F69,I69+J69-K69,0),IF(R69&lt;F69,O69+P69-Q69,0),IF(X69&lt;F69,U69+V69-W69,0),IF(AD69&lt;F69,AA69+AB69-AC69,0)))))</x:f>
        <x:v>0</x:v>
      </x:c>
      <x:c r="H69" s="6" t="n">
        <x:f>ROUND(MAX(0,C69+D69-E69-G69),2)</x:f>
        <x:v>0</x:v>
      </x:c>
      <x:c r="I69" s="6" t="n">
        <x:f>N68</x:f>
        <x:v>0</x:v>
      </x:c>
      <x:c r="J69" s="6" t="n">
        <x:f>ROUND(I69*'Debt strategy'!$D$10/12,2)</x:f>
        <x:v>0</x:v>
      </x:c>
      <x:c r="K69" s="6" t="n">
        <x:f>MIN(I69+J69,'Debt strategy'!$E$10)</x:f>
        <x:v>0</x:v>
      </x:c>
      <x:c r="L69" s="27" t="n">
        <x:f>IF(I69+J69-K69&lt;=0,99,1+SUM(IF(AND(C69+D69-E69&gt;0,OR('Debt strategy'!$D$9&gt;'Debt strategy'!$D$10,AND('Debt strategy'!$D$9='Debt strategy'!$D$10,0&lt;1))),1,0),IF(AND(O69+P69-Q69&gt;0,OR('Debt strategy'!$D$11&gt;'Debt strategy'!$D$10,AND('Debt strategy'!$D$11='Debt strategy'!$D$10,2&lt;1))),1,0),IF(AND(U69+V69-W69&gt;0,OR('Debt strategy'!$D$12&gt;'Debt strategy'!$D$10,AND('Debt strategy'!$D$12='Debt strategy'!$D$10,3&lt;1))),1,0),IF(AND(AA69+AB69-AC69&gt;0,OR('Debt strategy'!$D$13&gt;'Debt strategy'!$D$10,AND('Debt strategy'!$D$13='Debt strategy'!$D$10,4&lt;1))),1,0)))</x:f>
        <x:v>99</x:v>
      </x:c>
      <x:c r="M69" s="6" t="n">
        <x:f>IF('Debt strategy'!$C$16&gt;0,0,MIN(I69+J69-K69,MAX(0,'Debt strategy'!$C$5-SUM(E69,K69,Q69,W69,AC69)-SUM(IF(F69&lt;L69,C69+D69-E69,0),IF(R69&lt;L69,O69+P69-Q69,0),IF(X69&lt;L69,U69+V69-W69,0),IF(AD69&lt;L69,AA69+AB69-AC69,0)))))</x:f>
        <x:v>0</x:v>
      </x:c>
      <x:c r="N69" s="6" t="n">
        <x:f>ROUND(MAX(0,I69+J69-K69-M69),2)</x:f>
        <x:v>0</x:v>
      </x:c>
      <x:c r="O69" s="6" t="n">
        <x:f>T68</x:f>
        <x:v>0</x:v>
      </x:c>
      <x:c r="P69" s="6" t="n">
        <x:f>ROUND(O69*'Debt strategy'!$D$11/12,2)</x:f>
        <x:v>0</x:v>
      </x:c>
      <x:c r="Q69" s="6" t="n">
        <x:f>MIN(O69+P69,'Debt strategy'!$E$11)</x:f>
        <x:v>0</x:v>
      </x:c>
      <x:c r="R69" s="27" t="n">
        <x:f>IF(O69+P69-Q69&lt;=0,99,1+SUM(IF(AND(C69+D69-E69&gt;0,OR('Debt strategy'!$D$9&gt;'Debt strategy'!$D$11,AND('Debt strategy'!$D$9='Debt strategy'!$D$11,0&lt;2))),1,0),IF(AND(I69+J69-K69&gt;0,OR('Debt strategy'!$D$10&gt;'Debt strategy'!$D$11,AND('Debt strategy'!$D$10='Debt strategy'!$D$11,1&lt;2))),1,0),IF(AND(U69+V69-W69&gt;0,OR('Debt strategy'!$D$12&gt;'Debt strategy'!$D$11,AND('Debt strategy'!$D$12='Debt strategy'!$D$11,3&lt;2))),1,0),IF(AND(AA69+AB69-AC69&gt;0,OR('Debt strategy'!$D$13&gt;'Debt strategy'!$D$11,AND('Debt strategy'!$D$13='Debt strategy'!$D$11,4&lt;2))),1,0)))</x:f>
        <x:v>99</x:v>
      </x:c>
      <x:c r="S69" s="6" t="n">
        <x:f>IF('Debt strategy'!$C$16&gt;0,0,MIN(O69+P69-Q69,MAX(0,'Debt strategy'!$C$5-SUM(E69,K69,Q69,W69,AC69)-SUM(IF(F69&lt;R69,C69+D69-E69,0),IF(L69&lt;R69,I69+J69-K69,0),IF(X69&lt;R69,U69+V69-W69,0),IF(AD69&lt;R69,AA69+AB69-AC69,0)))))</x:f>
        <x:v>0</x:v>
      </x:c>
      <x:c r="T69" s="6" t="n">
        <x:f>ROUND(MAX(0,O69+P69-Q69-S69),2)</x:f>
        <x:v>0</x:v>
      </x:c>
      <x:c r="U69" s="6" t="n">
        <x:f>Z68</x:f>
        <x:v>0</x:v>
      </x:c>
      <x:c r="V69" s="6" t="n">
        <x:f>ROUND(U69*'Debt strategy'!$D$12/12,2)</x:f>
        <x:v>0</x:v>
      </x:c>
      <x:c r="W69" s="6" t="n">
        <x:f>MIN(U69+V69,'Debt strategy'!$E$12)</x:f>
        <x:v>0</x:v>
      </x:c>
      <x:c r="X69" s="27" t="n">
        <x:f>IF(U69+V69-W69&lt;=0,99,1+SUM(IF(AND(C69+D69-E69&gt;0,OR('Debt strategy'!$D$9&gt;'Debt strategy'!$D$12,AND('Debt strategy'!$D$9='Debt strategy'!$D$12,0&lt;3))),1,0),IF(AND(I69+J69-K69&gt;0,OR('Debt strategy'!$D$10&gt;'Debt strategy'!$D$12,AND('Debt strategy'!$D$10='Debt strategy'!$D$12,1&lt;3))),1,0),IF(AND(O69+P69-Q69&gt;0,OR('Debt strategy'!$D$11&gt;'Debt strategy'!$D$12,AND('Debt strategy'!$D$11='Debt strategy'!$D$12,2&lt;3))),1,0),IF(AND(AA69+AB69-AC69&gt;0,OR('Debt strategy'!$D$13&gt;'Debt strategy'!$D$12,AND('Debt strategy'!$D$13='Debt strategy'!$D$12,4&lt;3))),1,0)))</x:f>
        <x:v>99</x:v>
      </x:c>
      <x:c r="Y69" s="6" t="n">
        <x:f>IF('Debt strategy'!$C$16&gt;0,0,MIN(U69+V69-W69,MAX(0,'Debt strategy'!$C$5-SUM(E69,K69,Q69,W69,AC69)-SUM(IF(F69&lt;X69,C69+D69-E69,0),IF(L69&lt;X69,I69+J69-K69,0),IF(R69&lt;X69,O69+P69-Q69,0),IF(AD69&lt;X69,AA69+AB69-AC69,0)))))</x:f>
        <x:v>0</x:v>
      </x:c>
      <x:c r="Z69" s="6" t="n">
        <x:f>ROUND(MAX(0,U69+V69-W69-Y69),2)</x:f>
        <x:v>0</x:v>
      </x:c>
      <x:c r="AA69" s="6" t="n">
        <x:f>AF68</x:f>
        <x:v>0</x:v>
      </x:c>
      <x:c r="AB69" s="6" t="n">
        <x:f>ROUND(AA69*'Debt strategy'!$D$13/12,2)</x:f>
        <x:v>0</x:v>
      </x:c>
      <x:c r="AC69" s="6" t="n">
        <x:f>MIN(AA69+AB69,'Debt strategy'!$E$13)</x:f>
        <x:v>0</x:v>
      </x:c>
      <x:c r="AD69" s="27" t="n">
        <x:f>IF(AA69+AB69-AC69&lt;=0,99,1+SUM(IF(AND(C69+D69-E69&gt;0,OR('Debt strategy'!$D$9&gt;'Debt strategy'!$D$13,AND('Debt strategy'!$D$9='Debt strategy'!$D$13,0&lt;4))),1,0),IF(AND(I69+J69-K69&gt;0,OR('Debt strategy'!$D$10&gt;'Debt strategy'!$D$13,AND('Debt strategy'!$D$10='Debt strategy'!$D$13,1&lt;4))),1,0),IF(AND(O69+P69-Q69&gt;0,OR('Debt strategy'!$D$11&gt;'Debt strategy'!$D$13,AND('Debt strategy'!$D$11='Debt strategy'!$D$13,2&lt;4))),1,0),IF(AND(U69+V69-W69&gt;0,OR('Debt strategy'!$D$12&gt;'Debt strategy'!$D$13,AND('Debt strategy'!$D$12='Debt strategy'!$D$13,3&lt;4))),1,0)))</x:f>
        <x:v>99</x:v>
      </x:c>
      <x:c r="AE69" s="6" t="n">
        <x:f>IF('Debt strategy'!$C$16&gt;0,0,MIN(AA69+AB69-AC69,MAX(0,'Debt strategy'!$C$5-SUM(E69,K69,Q69,W69,AC69)-SUM(IF(F69&lt;AD69,C69+D69-E69,0),IF(L69&lt;AD69,I69+J69-K69,0),IF(R69&lt;AD69,O69+P69-Q69,0),IF(X69&lt;AD69,U69+V69-W69,0)))))</x:f>
        <x:v>0</x:v>
      </x:c>
      <x:c r="AF69" s="6" t="n">
        <x:f>ROUND(MAX(0,AA69+AB69-AC69-AE69),2)</x:f>
        <x:v>0</x:v>
      </x:c>
      <x:c r="AG69" s="6" t="n">
        <x:f>SUM(H69,N69,T69,Z69,AF69)</x:f>
        <x:v>0</x:v>
      </x:c>
      <x:c r="AH69" s="6" t="n">
        <x:f>SUM(D69,J69,P69,V69,AB69)+AH68</x:f>
        <x:v>1220.8400000000001</x:v>
      </x:c>
      <x:c r="AI69" s="2"/>
    </x:row>
    <x:row r="70" ht="23" customHeight="1">
      <x:c r="B70" s="2" t="n">
        <x:f>62</x:f>
        <x:v>62</x:v>
      </x:c>
      <x:c r="C70" s="6" t="n">
        <x:f>H69</x:f>
        <x:v>0</x:v>
      </x:c>
      <x:c r="D70" s="6" t="n">
        <x:f>ROUND(C70*'Debt strategy'!$D$9/12,2)</x:f>
        <x:v>0</x:v>
      </x:c>
      <x:c r="E70" s="6" t="n">
        <x:f>MIN(C70+D70,'Debt strategy'!$E$9)</x:f>
        <x:v>0</x:v>
      </x:c>
      <x:c r="F70" s="27" t="n">
        <x:f>IF(C70+D70-E70&lt;=0,99,1+SUM(IF(AND(I70+J70-K70&gt;0,OR('Debt strategy'!$D$10&gt;'Debt strategy'!$D$9,AND('Debt strategy'!$D$10='Debt strategy'!$D$9,1&lt;0))),1,0),IF(AND(O70+P70-Q70&gt;0,OR('Debt strategy'!$D$11&gt;'Debt strategy'!$D$9,AND('Debt strategy'!$D$11='Debt strategy'!$D$9,2&lt;0))),1,0),IF(AND(U70+V70-W70&gt;0,OR('Debt strategy'!$D$12&gt;'Debt strategy'!$D$9,AND('Debt strategy'!$D$12='Debt strategy'!$D$9,3&lt;0))),1,0),IF(AND(AA70+AB70-AC70&gt;0,OR('Debt strategy'!$D$13&gt;'Debt strategy'!$D$9,AND('Debt strategy'!$D$13='Debt strategy'!$D$9,4&lt;0))),1,0)))</x:f>
        <x:v>99</x:v>
      </x:c>
      <x:c r="G70" s="6" t="n">
        <x:f>IF('Debt strategy'!$C$16&gt;0,0,MIN(C70+D70-E70,MAX(0,'Debt strategy'!$C$5-SUM(E70,K70,Q70,W70,AC70)-SUM(IF(L70&lt;F70,I70+J70-K70,0),IF(R70&lt;F70,O70+P70-Q70,0),IF(X70&lt;F70,U70+V70-W70,0),IF(AD70&lt;F70,AA70+AB70-AC70,0)))))</x:f>
        <x:v>0</x:v>
      </x:c>
      <x:c r="H70" s="6" t="n">
        <x:f>ROUND(MAX(0,C70+D70-E70-G70),2)</x:f>
        <x:v>0</x:v>
      </x:c>
      <x:c r="I70" s="6" t="n">
        <x:f>N69</x:f>
        <x:v>0</x:v>
      </x:c>
      <x:c r="J70" s="6" t="n">
        <x:f>ROUND(I70*'Debt strategy'!$D$10/12,2)</x:f>
        <x:v>0</x:v>
      </x:c>
      <x:c r="K70" s="6" t="n">
        <x:f>MIN(I70+J70,'Debt strategy'!$E$10)</x:f>
        <x:v>0</x:v>
      </x:c>
      <x:c r="L70" s="27" t="n">
        <x:f>IF(I70+J70-K70&lt;=0,99,1+SUM(IF(AND(C70+D70-E70&gt;0,OR('Debt strategy'!$D$9&gt;'Debt strategy'!$D$10,AND('Debt strategy'!$D$9='Debt strategy'!$D$10,0&lt;1))),1,0),IF(AND(O70+P70-Q70&gt;0,OR('Debt strategy'!$D$11&gt;'Debt strategy'!$D$10,AND('Debt strategy'!$D$11='Debt strategy'!$D$10,2&lt;1))),1,0),IF(AND(U70+V70-W70&gt;0,OR('Debt strategy'!$D$12&gt;'Debt strategy'!$D$10,AND('Debt strategy'!$D$12='Debt strategy'!$D$10,3&lt;1))),1,0),IF(AND(AA70+AB70-AC70&gt;0,OR('Debt strategy'!$D$13&gt;'Debt strategy'!$D$10,AND('Debt strategy'!$D$13='Debt strategy'!$D$10,4&lt;1))),1,0)))</x:f>
        <x:v>99</x:v>
      </x:c>
      <x:c r="M70" s="6" t="n">
        <x:f>IF('Debt strategy'!$C$16&gt;0,0,MIN(I70+J70-K70,MAX(0,'Debt strategy'!$C$5-SUM(E70,K70,Q70,W70,AC70)-SUM(IF(F70&lt;L70,C70+D70-E70,0),IF(R70&lt;L70,O70+P70-Q70,0),IF(X70&lt;L70,U70+V70-W70,0),IF(AD70&lt;L70,AA70+AB70-AC70,0)))))</x:f>
        <x:v>0</x:v>
      </x:c>
      <x:c r="N70" s="6" t="n">
        <x:f>ROUND(MAX(0,I70+J70-K70-M70),2)</x:f>
        <x:v>0</x:v>
      </x:c>
      <x:c r="O70" s="6" t="n">
        <x:f>T69</x:f>
        <x:v>0</x:v>
      </x:c>
      <x:c r="P70" s="6" t="n">
        <x:f>ROUND(O70*'Debt strategy'!$D$11/12,2)</x:f>
        <x:v>0</x:v>
      </x:c>
      <x:c r="Q70" s="6" t="n">
        <x:f>MIN(O70+P70,'Debt strategy'!$E$11)</x:f>
        <x:v>0</x:v>
      </x:c>
      <x:c r="R70" s="27" t="n">
        <x:f>IF(O70+P70-Q70&lt;=0,99,1+SUM(IF(AND(C70+D70-E70&gt;0,OR('Debt strategy'!$D$9&gt;'Debt strategy'!$D$11,AND('Debt strategy'!$D$9='Debt strategy'!$D$11,0&lt;2))),1,0),IF(AND(I70+J70-K70&gt;0,OR('Debt strategy'!$D$10&gt;'Debt strategy'!$D$11,AND('Debt strategy'!$D$10='Debt strategy'!$D$11,1&lt;2))),1,0),IF(AND(U70+V70-W70&gt;0,OR('Debt strategy'!$D$12&gt;'Debt strategy'!$D$11,AND('Debt strategy'!$D$12='Debt strategy'!$D$11,3&lt;2))),1,0),IF(AND(AA70+AB70-AC70&gt;0,OR('Debt strategy'!$D$13&gt;'Debt strategy'!$D$11,AND('Debt strategy'!$D$13='Debt strategy'!$D$11,4&lt;2))),1,0)))</x:f>
        <x:v>99</x:v>
      </x:c>
      <x:c r="S70" s="6" t="n">
        <x:f>IF('Debt strategy'!$C$16&gt;0,0,MIN(O70+P70-Q70,MAX(0,'Debt strategy'!$C$5-SUM(E70,K70,Q70,W70,AC70)-SUM(IF(F70&lt;R70,C70+D70-E70,0),IF(L70&lt;R70,I70+J70-K70,0),IF(X70&lt;R70,U70+V70-W70,0),IF(AD70&lt;R70,AA70+AB70-AC70,0)))))</x:f>
        <x:v>0</x:v>
      </x:c>
      <x:c r="T70" s="6" t="n">
        <x:f>ROUND(MAX(0,O70+P70-Q70-S70),2)</x:f>
        <x:v>0</x:v>
      </x:c>
      <x:c r="U70" s="6" t="n">
        <x:f>Z69</x:f>
        <x:v>0</x:v>
      </x:c>
      <x:c r="V70" s="6" t="n">
        <x:f>ROUND(U70*'Debt strategy'!$D$12/12,2)</x:f>
        <x:v>0</x:v>
      </x:c>
      <x:c r="W70" s="6" t="n">
        <x:f>MIN(U70+V70,'Debt strategy'!$E$12)</x:f>
        <x:v>0</x:v>
      </x:c>
      <x:c r="X70" s="27" t="n">
        <x:f>IF(U70+V70-W70&lt;=0,99,1+SUM(IF(AND(C70+D70-E70&gt;0,OR('Debt strategy'!$D$9&gt;'Debt strategy'!$D$12,AND('Debt strategy'!$D$9='Debt strategy'!$D$12,0&lt;3))),1,0),IF(AND(I70+J70-K70&gt;0,OR('Debt strategy'!$D$10&gt;'Debt strategy'!$D$12,AND('Debt strategy'!$D$10='Debt strategy'!$D$12,1&lt;3))),1,0),IF(AND(O70+P70-Q70&gt;0,OR('Debt strategy'!$D$11&gt;'Debt strategy'!$D$12,AND('Debt strategy'!$D$11='Debt strategy'!$D$12,2&lt;3))),1,0),IF(AND(AA70+AB70-AC70&gt;0,OR('Debt strategy'!$D$13&gt;'Debt strategy'!$D$12,AND('Debt strategy'!$D$13='Debt strategy'!$D$12,4&lt;3))),1,0)))</x:f>
        <x:v>99</x:v>
      </x:c>
      <x:c r="Y70" s="6" t="n">
        <x:f>IF('Debt strategy'!$C$16&gt;0,0,MIN(U70+V70-W70,MAX(0,'Debt strategy'!$C$5-SUM(E70,K70,Q70,W70,AC70)-SUM(IF(F70&lt;X70,C70+D70-E70,0),IF(L70&lt;X70,I70+J70-K70,0),IF(R70&lt;X70,O70+P70-Q70,0),IF(AD70&lt;X70,AA70+AB70-AC70,0)))))</x:f>
        <x:v>0</x:v>
      </x:c>
      <x:c r="Z70" s="6" t="n">
        <x:f>ROUND(MAX(0,U70+V70-W70-Y70),2)</x:f>
        <x:v>0</x:v>
      </x:c>
      <x:c r="AA70" s="6" t="n">
        <x:f>AF69</x:f>
        <x:v>0</x:v>
      </x:c>
      <x:c r="AB70" s="6" t="n">
        <x:f>ROUND(AA70*'Debt strategy'!$D$13/12,2)</x:f>
        <x:v>0</x:v>
      </x:c>
      <x:c r="AC70" s="6" t="n">
        <x:f>MIN(AA70+AB70,'Debt strategy'!$E$13)</x:f>
        <x:v>0</x:v>
      </x:c>
      <x:c r="AD70" s="27" t="n">
        <x:f>IF(AA70+AB70-AC70&lt;=0,99,1+SUM(IF(AND(C70+D70-E70&gt;0,OR('Debt strategy'!$D$9&gt;'Debt strategy'!$D$13,AND('Debt strategy'!$D$9='Debt strategy'!$D$13,0&lt;4))),1,0),IF(AND(I70+J70-K70&gt;0,OR('Debt strategy'!$D$10&gt;'Debt strategy'!$D$13,AND('Debt strategy'!$D$10='Debt strategy'!$D$13,1&lt;4))),1,0),IF(AND(O70+P70-Q70&gt;0,OR('Debt strategy'!$D$11&gt;'Debt strategy'!$D$13,AND('Debt strategy'!$D$11='Debt strategy'!$D$13,2&lt;4))),1,0),IF(AND(U70+V70-W70&gt;0,OR('Debt strategy'!$D$12&gt;'Debt strategy'!$D$13,AND('Debt strategy'!$D$12='Debt strategy'!$D$13,3&lt;4))),1,0)))</x:f>
        <x:v>99</x:v>
      </x:c>
      <x:c r="AE70" s="6" t="n">
        <x:f>IF('Debt strategy'!$C$16&gt;0,0,MIN(AA70+AB70-AC70,MAX(0,'Debt strategy'!$C$5-SUM(E70,K70,Q70,W70,AC70)-SUM(IF(F70&lt;AD70,C70+D70-E70,0),IF(L70&lt;AD70,I70+J70-K70,0),IF(R70&lt;AD70,O70+P70-Q70,0),IF(X70&lt;AD70,U70+V70-W70,0)))))</x:f>
        <x:v>0</x:v>
      </x:c>
      <x:c r="AF70" s="6" t="n">
        <x:f>ROUND(MAX(0,AA70+AB70-AC70-AE70),2)</x:f>
        <x:v>0</x:v>
      </x:c>
      <x:c r="AG70" s="6" t="n">
        <x:f>SUM(H70,N70,T70,Z70,AF70)</x:f>
        <x:v>0</x:v>
      </x:c>
      <x:c r="AH70" s="6" t="n">
        <x:f>SUM(D70,J70,P70,V70,AB70)+AH69</x:f>
        <x:v>1220.8400000000001</x:v>
      </x:c>
      <x:c r="AI70" s="2"/>
    </x:row>
    <x:row r="71" ht="23" customHeight="1">
      <x:c r="B71" s="2" t="n">
        <x:f>63</x:f>
        <x:v>63</x:v>
      </x:c>
      <x:c r="C71" s="6" t="n">
        <x:f>H70</x:f>
        <x:v>0</x:v>
      </x:c>
      <x:c r="D71" s="6" t="n">
        <x:f>ROUND(C71*'Debt strategy'!$D$9/12,2)</x:f>
        <x:v>0</x:v>
      </x:c>
      <x:c r="E71" s="6" t="n">
        <x:f>MIN(C71+D71,'Debt strategy'!$E$9)</x:f>
        <x:v>0</x:v>
      </x:c>
      <x:c r="F71" s="27" t="n">
        <x:f>IF(C71+D71-E71&lt;=0,99,1+SUM(IF(AND(I71+J71-K71&gt;0,OR('Debt strategy'!$D$10&gt;'Debt strategy'!$D$9,AND('Debt strategy'!$D$10='Debt strategy'!$D$9,1&lt;0))),1,0),IF(AND(O71+P71-Q71&gt;0,OR('Debt strategy'!$D$11&gt;'Debt strategy'!$D$9,AND('Debt strategy'!$D$11='Debt strategy'!$D$9,2&lt;0))),1,0),IF(AND(U71+V71-W71&gt;0,OR('Debt strategy'!$D$12&gt;'Debt strategy'!$D$9,AND('Debt strategy'!$D$12='Debt strategy'!$D$9,3&lt;0))),1,0),IF(AND(AA71+AB71-AC71&gt;0,OR('Debt strategy'!$D$13&gt;'Debt strategy'!$D$9,AND('Debt strategy'!$D$13='Debt strategy'!$D$9,4&lt;0))),1,0)))</x:f>
        <x:v>99</x:v>
      </x:c>
      <x:c r="G71" s="6" t="n">
        <x:f>IF('Debt strategy'!$C$16&gt;0,0,MIN(C71+D71-E71,MAX(0,'Debt strategy'!$C$5-SUM(E71,K71,Q71,W71,AC71)-SUM(IF(L71&lt;F71,I71+J71-K71,0),IF(R71&lt;F71,O71+P71-Q71,0),IF(X71&lt;F71,U71+V71-W71,0),IF(AD71&lt;F71,AA71+AB71-AC71,0)))))</x:f>
        <x:v>0</x:v>
      </x:c>
      <x:c r="H71" s="6" t="n">
        <x:f>ROUND(MAX(0,C71+D71-E71-G71),2)</x:f>
        <x:v>0</x:v>
      </x:c>
      <x:c r="I71" s="6" t="n">
        <x:f>N70</x:f>
        <x:v>0</x:v>
      </x:c>
      <x:c r="J71" s="6" t="n">
        <x:f>ROUND(I71*'Debt strategy'!$D$10/12,2)</x:f>
        <x:v>0</x:v>
      </x:c>
      <x:c r="K71" s="6" t="n">
        <x:f>MIN(I71+J71,'Debt strategy'!$E$10)</x:f>
        <x:v>0</x:v>
      </x:c>
      <x:c r="L71" s="27" t="n">
        <x:f>IF(I71+J71-K71&lt;=0,99,1+SUM(IF(AND(C71+D71-E71&gt;0,OR('Debt strategy'!$D$9&gt;'Debt strategy'!$D$10,AND('Debt strategy'!$D$9='Debt strategy'!$D$10,0&lt;1))),1,0),IF(AND(O71+P71-Q71&gt;0,OR('Debt strategy'!$D$11&gt;'Debt strategy'!$D$10,AND('Debt strategy'!$D$11='Debt strategy'!$D$10,2&lt;1))),1,0),IF(AND(U71+V71-W71&gt;0,OR('Debt strategy'!$D$12&gt;'Debt strategy'!$D$10,AND('Debt strategy'!$D$12='Debt strategy'!$D$10,3&lt;1))),1,0),IF(AND(AA71+AB71-AC71&gt;0,OR('Debt strategy'!$D$13&gt;'Debt strategy'!$D$10,AND('Debt strategy'!$D$13='Debt strategy'!$D$10,4&lt;1))),1,0)))</x:f>
        <x:v>99</x:v>
      </x:c>
      <x:c r="M71" s="6" t="n">
        <x:f>IF('Debt strategy'!$C$16&gt;0,0,MIN(I71+J71-K71,MAX(0,'Debt strategy'!$C$5-SUM(E71,K71,Q71,W71,AC71)-SUM(IF(F71&lt;L71,C71+D71-E71,0),IF(R71&lt;L71,O71+P71-Q71,0),IF(X71&lt;L71,U71+V71-W71,0),IF(AD71&lt;L71,AA71+AB71-AC71,0)))))</x:f>
        <x:v>0</x:v>
      </x:c>
      <x:c r="N71" s="6" t="n">
        <x:f>ROUND(MAX(0,I71+J71-K71-M71),2)</x:f>
        <x:v>0</x:v>
      </x:c>
      <x:c r="O71" s="6" t="n">
        <x:f>T70</x:f>
        <x:v>0</x:v>
      </x:c>
      <x:c r="P71" s="6" t="n">
        <x:f>ROUND(O71*'Debt strategy'!$D$11/12,2)</x:f>
        <x:v>0</x:v>
      </x:c>
      <x:c r="Q71" s="6" t="n">
        <x:f>MIN(O71+P71,'Debt strategy'!$E$11)</x:f>
        <x:v>0</x:v>
      </x:c>
      <x:c r="R71" s="27" t="n">
        <x:f>IF(O71+P71-Q71&lt;=0,99,1+SUM(IF(AND(C71+D71-E71&gt;0,OR('Debt strategy'!$D$9&gt;'Debt strategy'!$D$11,AND('Debt strategy'!$D$9='Debt strategy'!$D$11,0&lt;2))),1,0),IF(AND(I71+J71-K71&gt;0,OR('Debt strategy'!$D$10&gt;'Debt strategy'!$D$11,AND('Debt strategy'!$D$10='Debt strategy'!$D$11,1&lt;2))),1,0),IF(AND(U71+V71-W71&gt;0,OR('Debt strategy'!$D$12&gt;'Debt strategy'!$D$11,AND('Debt strategy'!$D$12='Debt strategy'!$D$11,3&lt;2))),1,0),IF(AND(AA71+AB71-AC71&gt;0,OR('Debt strategy'!$D$13&gt;'Debt strategy'!$D$11,AND('Debt strategy'!$D$13='Debt strategy'!$D$11,4&lt;2))),1,0)))</x:f>
        <x:v>99</x:v>
      </x:c>
      <x:c r="S71" s="6" t="n">
        <x:f>IF('Debt strategy'!$C$16&gt;0,0,MIN(O71+P71-Q71,MAX(0,'Debt strategy'!$C$5-SUM(E71,K71,Q71,W71,AC71)-SUM(IF(F71&lt;R71,C71+D71-E71,0),IF(L71&lt;R71,I71+J71-K71,0),IF(X71&lt;R71,U71+V71-W71,0),IF(AD71&lt;R71,AA71+AB71-AC71,0)))))</x:f>
        <x:v>0</x:v>
      </x:c>
      <x:c r="T71" s="6" t="n">
        <x:f>ROUND(MAX(0,O71+P71-Q71-S71),2)</x:f>
        <x:v>0</x:v>
      </x:c>
      <x:c r="U71" s="6" t="n">
        <x:f>Z70</x:f>
        <x:v>0</x:v>
      </x:c>
      <x:c r="V71" s="6" t="n">
        <x:f>ROUND(U71*'Debt strategy'!$D$12/12,2)</x:f>
        <x:v>0</x:v>
      </x:c>
      <x:c r="W71" s="6" t="n">
        <x:f>MIN(U71+V71,'Debt strategy'!$E$12)</x:f>
        <x:v>0</x:v>
      </x:c>
      <x:c r="X71" s="27" t="n">
        <x:f>IF(U71+V71-W71&lt;=0,99,1+SUM(IF(AND(C71+D71-E71&gt;0,OR('Debt strategy'!$D$9&gt;'Debt strategy'!$D$12,AND('Debt strategy'!$D$9='Debt strategy'!$D$12,0&lt;3))),1,0),IF(AND(I71+J71-K71&gt;0,OR('Debt strategy'!$D$10&gt;'Debt strategy'!$D$12,AND('Debt strategy'!$D$10='Debt strategy'!$D$12,1&lt;3))),1,0),IF(AND(O71+P71-Q71&gt;0,OR('Debt strategy'!$D$11&gt;'Debt strategy'!$D$12,AND('Debt strategy'!$D$11='Debt strategy'!$D$12,2&lt;3))),1,0),IF(AND(AA71+AB71-AC71&gt;0,OR('Debt strategy'!$D$13&gt;'Debt strategy'!$D$12,AND('Debt strategy'!$D$13='Debt strategy'!$D$12,4&lt;3))),1,0)))</x:f>
        <x:v>99</x:v>
      </x:c>
      <x:c r="Y71" s="6" t="n">
        <x:f>IF('Debt strategy'!$C$16&gt;0,0,MIN(U71+V71-W71,MAX(0,'Debt strategy'!$C$5-SUM(E71,K71,Q71,W71,AC71)-SUM(IF(F71&lt;X71,C71+D71-E71,0),IF(L71&lt;X71,I71+J71-K71,0),IF(R71&lt;X71,O71+P71-Q71,0),IF(AD71&lt;X71,AA71+AB71-AC71,0)))))</x:f>
        <x:v>0</x:v>
      </x:c>
      <x:c r="Z71" s="6" t="n">
        <x:f>ROUND(MAX(0,U71+V71-W71-Y71),2)</x:f>
        <x:v>0</x:v>
      </x:c>
      <x:c r="AA71" s="6" t="n">
        <x:f>AF70</x:f>
        <x:v>0</x:v>
      </x:c>
      <x:c r="AB71" s="6" t="n">
        <x:f>ROUND(AA71*'Debt strategy'!$D$13/12,2)</x:f>
        <x:v>0</x:v>
      </x:c>
      <x:c r="AC71" s="6" t="n">
        <x:f>MIN(AA71+AB71,'Debt strategy'!$E$13)</x:f>
        <x:v>0</x:v>
      </x:c>
      <x:c r="AD71" s="27" t="n">
        <x:f>IF(AA71+AB71-AC71&lt;=0,99,1+SUM(IF(AND(C71+D71-E71&gt;0,OR('Debt strategy'!$D$9&gt;'Debt strategy'!$D$13,AND('Debt strategy'!$D$9='Debt strategy'!$D$13,0&lt;4))),1,0),IF(AND(I71+J71-K71&gt;0,OR('Debt strategy'!$D$10&gt;'Debt strategy'!$D$13,AND('Debt strategy'!$D$10='Debt strategy'!$D$13,1&lt;4))),1,0),IF(AND(O71+P71-Q71&gt;0,OR('Debt strategy'!$D$11&gt;'Debt strategy'!$D$13,AND('Debt strategy'!$D$11='Debt strategy'!$D$13,2&lt;4))),1,0),IF(AND(U71+V71-W71&gt;0,OR('Debt strategy'!$D$12&gt;'Debt strategy'!$D$13,AND('Debt strategy'!$D$12='Debt strategy'!$D$13,3&lt;4))),1,0)))</x:f>
        <x:v>99</x:v>
      </x:c>
      <x:c r="AE71" s="6" t="n">
        <x:f>IF('Debt strategy'!$C$16&gt;0,0,MIN(AA71+AB71-AC71,MAX(0,'Debt strategy'!$C$5-SUM(E71,K71,Q71,W71,AC71)-SUM(IF(F71&lt;AD71,C71+D71-E71,0),IF(L71&lt;AD71,I71+J71-K71,0),IF(R71&lt;AD71,O71+P71-Q71,0),IF(X71&lt;AD71,U71+V71-W71,0)))))</x:f>
        <x:v>0</x:v>
      </x:c>
      <x:c r="AF71" s="6" t="n">
        <x:f>ROUND(MAX(0,AA71+AB71-AC71-AE71),2)</x:f>
        <x:v>0</x:v>
      </x:c>
      <x:c r="AG71" s="6" t="n">
        <x:f>SUM(H71,N71,T71,Z71,AF71)</x:f>
        <x:v>0</x:v>
      </x:c>
      <x:c r="AH71" s="6" t="n">
        <x:f>SUM(D71,J71,P71,V71,AB71)+AH70</x:f>
        <x:v>1220.8400000000001</x:v>
      </x:c>
      <x:c r="AI71" s="2"/>
    </x:row>
    <x:row r="72" ht="23" customHeight="1">
      <x:c r="B72" s="2" t="n">
        <x:f>64</x:f>
        <x:v>64</x:v>
      </x:c>
      <x:c r="C72" s="6" t="n">
        <x:f>H71</x:f>
        <x:v>0</x:v>
      </x:c>
      <x:c r="D72" s="6" t="n">
        <x:f>ROUND(C72*'Debt strategy'!$D$9/12,2)</x:f>
        <x:v>0</x:v>
      </x:c>
      <x:c r="E72" s="6" t="n">
        <x:f>MIN(C72+D72,'Debt strategy'!$E$9)</x:f>
        <x:v>0</x:v>
      </x:c>
      <x:c r="F72" s="27" t="n">
        <x:f>IF(C72+D72-E72&lt;=0,99,1+SUM(IF(AND(I72+J72-K72&gt;0,OR('Debt strategy'!$D$10&gt;'Debt strategy'!$D$9,AND('Debt strategy'!$D$10='Debt strategy'!$D$9,1&lt;0))),1,0),IF(AND(O72+P72-Q72&gt;0,OR('Debt strategy'!$D$11&gt;'Debt strategy'!$D$9,AND('Debt strategy'!$D$11='Debt strategy'!$D$9,2&lt;0))),1,0),IF(AND(U72+V72-W72&gt;0,OR('Debt strategy'!$D$12&gt;'Debt strategy'!$D$9,AND('Debt strategy'!$D$12='Debt strategy'!$D$9,3&lt;0))),1,0),IF(AND(AA72+AB72-AC72&gt;0,OR('Debt strategy'!$D$13&gt;'Debt strategy'!$D$9,AND('Debt strategy'!$D$13='Debt strategy'!$D$9,4&lt;0))),1,0)))</x:f>
        <x:v>99</x:v>
      </x:c>
      <x:c r="G72" s="6" t="n">
        <x:f>IF('Debt strategy'!$C$16&gt;0,0,MIN(C72+D72-E72,MAX(0,'Debt strategy'!$C$5-SUM(E72,K72,Q72,W72,AC72)-SUM(IF(L72&lt;F72,I72+J72-K72,0),IF(R72&lt;F72,O72+P72-Q72,0),IF(X72&lt;F72,U72+V72-W72,0),IF(AD72&lt;F72,AA72+AB72-AC72,0)))))</x:f>
        <x:v>0</x:v>
      </x:c>
      <x:c r="H72" s="6" t="n">
        <x:f>ROUND(MAX(0,C72+D72-E72-G72),2)</x:f>
        <x:v>0</x:v>
      </x:c>
      <x:c r="I72" s="6" t="n">
        <x:f>N71</x:f>
        <x:v>0</x:v>
      </x:c>
      <x:c r="J72" s="6" t="n">
        <x:f>ROUND(I72*'Debt strategy'!$D$10/12,2)</x:f>
        <x:v>0</x:v>
      </x:c>
      <x:c r="K72" s="6" t="n">
        <x:f>MIN(I72+J72,'Debt strategy'!$E$10)</x:f>
        <x:v>0</x:v>
      </x:c>
      <x:c r="L72" s="27" t="n">
        <x:f>IF(I72+J72-K72&lt;=0,99,1+SUM(IF(AND(C72+D72-E72&gt;0,OR('Debt strategy'!$D$9&gt;'Debt strategy'!$D$10,AND('Debt strategy'!$D$9='Debt strategy'!$D$10,0&lt;1))),1,0),IF(AND(O72+P72-Q72&gt;0,OR('Debt strategy'!$D$11&gt;'Debt strategy'!$D$10,AND('Debt strategy'!$D$11='Debt strategy'!$D$10,2&lt;1))),1,0),IF(AND(U72+V72-W72&gt;0,OR('Debt strategy'!$D$12&gt;'Debt strategy'!$D$10,AND('Debt strategy'!$D$12='Debt strategy'!$D$10,3&lt;1))),1,0),IF(AND(AA72+AB72-AC72&gt;0,OR('Debt strategy'!$D$13&gt;'Debt strategy'!$D$10,AND('Debt strategy'!$D$13='Debt strategy'!$D$10,4&lt;1))),1,0)))</x:f>
        <x:v>99</x:v>
      </x:c>
      <x:c r="M72" s="6" t="n">
        <x:f>IF('Debt strategy'!$C$16&gt;0,0,MIN(I72+J72-K72,MAX(0,'Debt strategy'!$C$5-SUM(E72,K72,Q72,W72,AC72)-SUM(IF(F72&lt;L72,C72+D72-E72,0),IF(R72&lt;L72,O72+P72-Q72,0),IF(X72&lt;L72,U72+V72-W72,0),IF(AD72&lt;L72,AA72+AB72-AC72,0)))))</x:f>
        <x:v>0</x:v>
      </x:c>
      <x:c r="N72" s="6" t="n">
        <x:f>ROUND(MAX(0,I72+J72-K72-M72),2)</x:f>
        <x:v>0</x:v>
      </x:c>
      <x:c r="O72" s="6" t="n">
        <x:f>T71</x:f>
        <x:v>0</x:v>
      </x:c>
      <x:c r="P72" s="6" t="n">
        <x:f>ROUND(O72*'Debt strategy'!$D$11/12,2)</x:f>
        <x:v>0</x:v>
      </x:c>
      <x:c r="Q72" s="6" t="n">
        <x:f>MIN(O72+P72,'Debt strategy'!$E$11)</x:f>
        <x:v>0</x:v>
      </x:c>
      <x:c r="R72" s="27" t="n">
        <x:f>IF(O72+P72-Q72&lt;=0,99,1+SUM(IF(AND(C72+D72-E72&gt;0,OR('Debt strategy'!$D$9&gt;'Debt strategy'!$D$11,AND('Debt strategy'!$D$9='Debt strategy'!$D$11,0&lt;2))),1,0),IF(AND(I72+J72-K72&gt;0,OR('Debt strategy'!$D$10&gt;'Debt strategy'!$D$11,AND('Debt strategy'!$D$10='Debt strategy'!$D$11,1&lt;2))),1,0),IF(AND(U72+V72-W72&gt;0,OR('Debt strategy'!$D$12&gt;'Debt strategy'!$D$11,AND('Debt strategy'!$D$12='Debt strategy'!$D$11,3&lt;2))),1,0),IF(AND(AA72+AB72-AC72&gt;0,OR('Debt strategy'!$D$13&gt;'Debt strategy'!$D$11,AND('Debt strategy'!$D$13='Debt strategy'!$D$11,4&lt;2))),1,0)))</x:f>
        <x:v>99</x:v>
      </x:c>
      <x:c r="S72" s="6" t="n">
        <x:f>IF('Debt strategy'!$C$16&gt;0,0,MIN(O72+P72-Q72,MAX(0,'Debt strategy'!$C$5-SUM(E72,K72,Q72,W72,AC72)-SUM(IF(F72&lt;R72,C72+D72-E72,0),IF(L72&lt;R72,I72+J72-K72,0),IF(X72&lt;R72,U72+V72-W72,0),IF(AD72&lt;R72,AA72+AB72-AC72,0)))))</x:f>
        <x:v>0</x:v>
      </x:c>
      <x:c r="T72" s="6" t="n">
        <x:f>ROUND(MAX(0,O72+P72-Q72-S72),2)</x:f>
        <x:v>0</x:v>
      </x:c>
      <x:c r="U72" s="6" t="n">
        <x:f>Z71</x:f>
        <x:v>0</x:v>
      </x:c>
      <x:c r="V72" s="6" t="n">
        <x:f>ROUND(U72*'Debt strategy'!$D$12/12,2)</x:f>
        <x:v>0</x:v>
      </x:c>
      <x:c r="W72" s="6" t="n">
        <x:f>MIN(U72+V72,'Debt strategy'!$E$12)</x:f>
        <x:v>0</x:v>
      </x:c>
      <x:c r="X72" s="27" t="n">
        <x:f>IF(U72+V72-W72&lt;=0,99,1+SUM(IF(AND(C72+D72-E72&gt;0,OR('Debt strategy'!$D$9&gt;'Debt strategy'!$D$12,AND('Debt strategy'!$D$9='Debt strategy'!$D$12,0&lt;3))),1,0),IF(AND(I72+J72-K72&gt;0,OR('Debt strategy'!$D$10&gt;'Debt strategy'!$D$12,AND('Debt strategy'!$D$10='Debt strategy'!$D$12,1&lt;3))),1,0),IF(AND(O72+P72-Q72&gt;0,OR('Debt strategy'!$D$11&gt;'Debt strategy'!$D$12,AND('Debt strategy'!$D$11='Debt strategy'!$D$12,2&lt;3))),1,0),IF(AND(AA72+AB72-AC72&gt;0,OR('Debt strategy'!$D$13&gt;'Debt strategy'!$D$12,AND('Debt strategy'!$D$13='Debt strategy'!$D$12,4&lt;3))),1,0)))</x:f>
        <x:v>99</x:v>
      </x:c>
      <x:c r="Y72" s="6" t="n">
        <x:f>IF('Debt strategy'!$C$16&gt;0,0,MIN(U72+V72-W72,MAX(0,'Debt strategy'!$C$5-SUM(E72,K72,Q72,W72,AC72)-SUM(IF(F72&lt;X72,C72+D72-E72,0),IF(L72&lt;X72,I72+J72-K72,0),IF(R72&lt;X72,O72+P72-Q72,0),IF(AD72&lt;X72,AA72+AB72-AC72,0)))))</x:f>
        <x:v>0</x:v>
      </x:c>
      <x:c r="Z72" s="6" t="n">
        <x:f>ROUND(MAX(0,U72+V72-W72-Y72),2)</x:f>
        <x:v>0</x:v>
      </x:c>
      <x:c r="AA72" s="6" t="n">
        <x:f>AF71</x:f>
        <x:v>0</x:v>
      </x:c>
      <x:c r="AB72" s="6" t="n">
        <x:f>ROUND(AA72*'Debt strategy'!$D$13/12,2)</x:f>
        <x:v>0</x:v>
      </x:c>
      <x:c r="AC72" s="6" t="n">
        <x:f>MIN(AA72+AB72,'Debt strategy'!$E$13)</x:f>
        <x:v>0</x:v>
      </x:c>
      <x:c r="AD72" s="27" t="n">
        <x:f>IF(AA72+AB72-AC72&lt;=0,99,1+SUM(IF(AND(C72+D72-E72&gt;0,OR('Debt strategy'!$D$9&gt;'Debt strategy'!$D$13,AND('Debt strategy'!$D$9='Debt strategy'!$D$13,0&lt;4))),1,0),IF(AND(I72+J72-K72&gt;0,OR('Debt strategy'!$D$10&gt;'Debt strategy'!$D$13,AND('Debt strategy'!$D$10='Debt strategy'!$D$13,1&lt;4))),1,0),IF(AND(O72+P72-Q72&gt;0,OR('Debt strategy'!$D$11&gt;'Debt strategy'!$D$13,AND('Debt strategy'!$D$11='Debt strategy'!$D$13,2&lt;4))),1,0),IF(AND(U72+V72-W72&gt;0,OR('Debt strategy'!$D$12&gt;'Debt strategy'!$D$13,AND('Debt strategy'!$D$12='Debt strategy'!$D$13,3&lt;4))),1,0)))</x:f>
        <x:v>99</x:v>
      </x:c>
      <x:c r="AE72" s="6" t="n">
        <x:f>IF('Debt strategy'!$C$16&gt;0,0,MIN(AA72+AB72-AC72,MAX(0,'Debt strategy'!$C$5-SUM(E72,K72,Q72,W72,AC72)-SUM(IF(F72&lt;AD72,C72+D72-E72,0),IF(L72&lt;AD72,I72+J72-K72,0),IF(R72&lt;AD72,O72+P72-Q72,0),IF(X72&lt;AD72,U72+V72-W72,0)))))</x:f>
        <x:v>0</x:v>
      </x:c>
      <x:c r="AF72" s="6" t="n">
        <x:f>ROUND(MAX(0,AA72+AB72-AC72-AE72),2)</x:f>
        <x:v>0</x:v>
      </x:c>
      <x:c r="AG72" s="6" t="n">
        <x:f>SUM(H72,N72,T72,Z72,AF72)</x:f>
        <x:v>0</x:v>
      </x:c>
      <x:c r="AH72" s="6" t="n">
        <x:f>SUM(D72,J72,P72,V72,AB72)+AH71</x:f>
        <x:v>1220.8400000000001</x:v>
      </x:c>
      <x:c r="AI72" s="2"/>
    </x:row>
    <x:row r="73" ht="23" customHeight="1">
      <x:c r="B73" s="2" t="n">
        <x:f>65</x:f>
        <x:v>65</x:v>
      </x:c>
      <x:c r="C73" s="6" t="n">
        <x:f>H72</x:f>
        <x:v>0</x:v>
      </x:c>
      <x:c r="D73" s="6" t="n">
        <x:f>ROUND(C73*'Debt strategy'!$D$9/12,2)</x:f>
        <x:v>0</x:v>
      </x:c>
      <x:c r="E73" s="6" t="n">
        <x:f>MIN(C73+D73,'Debt strategy'!$E$9)</x:f>
        <x:v>0</x:v>
      </x:c>
      <x:c r="F73" s="27" t="n">
        <x:f>IF(C73+D73-E73&lt;=0,99,1+SUM(IF(AND(I73+J73-K73&gt;0,OR('Debt strategy'!$D$10&gt;'Debt strategy'!$D$9,AND('Debt strategy'!$D$10='Debt strategy'!$D$9,1&lt;0))),1,0),IF(AND(O73+P73-Q73&gt;0,OR('Debt strategy'!$D$11&gt;'Debt strategy'!$D$9,AND('Debt strategy'!$D$11='Debt strategy'!$D$9,2&lt;0))),1,0),IF(AND(U73+V73-W73&gt;0,OR('Debt strategy'!$D$12&gt;'Debt strategy'!$D$9,AND('Debt strategy'!$D$12='Debt strategy'!$D$9,3&lt;0))),1,0),IF(AND(AA73+AB73-AC73&gt;0,OR('Debt strategy'!$D$13&gt;'Debt strategy'!$D$9,AND('Debt strategy'!$D$13='Debt strategy'!$D$9,4&lt;0))),1,0)))</x:f>
        <x:v>99</x:v>
      </x:c>
      <x:c r="G73" s="6" t="n">
        <x:f>IF('Debt strategy'!$C$16&gt;0,0,MIN(C73+D73-E73,MAX(0,'Debt strategy'!$C$5-SUM(E73,K73,Q73,W73,AC73)-SUM(IF(L73&lt;F73,I73+J73-K73,0),IF(R73&lt;F73,O73+P73-Q73,0),IF(X73&lt;F73,U73+V73-W73,0),IF(AD73&lt;F73,AA73+AB73-AC73,0)))))</x:f>
        <x:v>0</x:v>
      </x:c>
      <x:c r="H73" s="6" t="n">
        <x:f>ROUND(MAX(0,C73+D73-E73-G73),2)</x:f>
        <x:v>0</x:v>
      </x:c>
      <x:c r="I73" s="6" t="n">
        <x:f>N72</x:f>
        <x:v>0</x:v>
      </x:c>
      <x:c r="J73" s="6" t="n">
        <x:f>ROUND(I73*'Debt strategy'!$D$10/12,2)</x:f>
        <x:v>0</x:v>
      </x:c>
      <x:c r="K73" s="6" t="n">
        <x:f>MIN(I73+J73,'Debt strategy'!$E$10)</x:f>
        <x:v>0</x:v>
      </x:c>
      <x:c r="L73" s="27" t="n">
        <x:f>IF(I73+J73-K73&lt;=0,99,1+SUM(IF(AND(C73+D73-E73&gt;0,OR('Debt strategy'!$D$9&gt;'Debt strategy'!$D$10,AND('Debt strategy'!$D$9='Debt strategy'!$D$10,0&lt;1))),1,0),IF(AND(O73+P73-Q73&gt;0,OR('Debt strategy'!$D$11&gt;'Debt strategy'!$D$10,AND('Debt strategy'!$D$11='Debt strategy'!$D$10,2&lt;1))),1,0),IF(AND(U73+V73-W73&gt;0,OR('Debt strategy'!$D$12&gt;'Debt strategy'!$D$10,AND('Debt strategy'!$D$12='Debt strategy'!$D$10,3&lt;1))),1,0),IF(AND(AA73+AB73-AC73&gt;0,OR('Debt strategy'!$D$13&gt;'Debt strategy'!$D$10,AND('Debt strategy'!$D$13='Debt strategy'!$D$10,4&lt;1))),1,0)))</x:f>
        <x:v>99</x:v>
      </x:c>
      <x:c r="M73" s="6" t="n">
        <x:f>IF('Debt strategy'!$C$16&gt;0,0,MIN(I73+J73-K73,MAX(0,'Debt strategy'!$C$5-SUM(E73,K73,Q73,W73,AC73)-SUM(IF(F73&lt;L73,C73+D73-E73,0),IF(R73&lt;L73,O73+P73-Q73,0),IF(X73&lt;L73,U73+V73-W73,0),IF(AD73&lt;L73,AA73+AB73-AC73,0)))))</x:f>
        <x:v>0</x:v>
      </x:c>
      <x:c r="N73" s="6" t="n">
        <x:f>ROUND(MAX(0,I73+J73-K73-M73),2)</x:f>
        <x:v>0</x:v>
      </x:c>
      <x:c r="O73" s="6" t="n">
        <x:f>T72</x:f>
        <x:v>0</x:v>
      </x:c>
      <x:c r="P73" s="6" t="n">
        <x:f>ROUND(O73*'Debt strategy'!$D$11/12,2)</x:f>
        <x:v>0</x:v>
      </x:c>
      <x:c r="Q73" s="6" t="n">
        <x:f>MIN(O73+P73,'Debt strategy'!$E$11)</x:f>
        <x:v>0</x:v>
      </x:c>
      <x:c r="R73" s="27" t="n">
        <x:f>IF(O73+P73-Q73&lt;=0,99,1+SUM(IF(AND(C73+D73-E73&gt;0,OR('Debt strategy'!$D$9&gt;'Debt strategy'!$D$11,AND('Debt strategy'!$D$9='Debt strategy'!$D$11,0&lt;2))),1,0),IF(AND(I73+J73-K73&gt;0,OR('Debt strategy'!$D$10&gt;'Debt strategy'!$D$11,AND('Debt strategy'!$D$10='Debt strategy'!$D$11,1&lt;2))),1,0),IF(AND(U73+V73-W73&gt;0,OR('Debt strategy'!$D$12&gt;'Debt strategy'!$D$11,AND('Debt strategy'!$D$12='Debt strategy'!$D$11,3&lt;2))),1,0),IF(AND(AA73+AB73-AC73&gt;0,OR('Debt strategy'!$D$13&gt;'Debt strategy'!$D$11,AND('Debt strategy'!$D$13='Debt strategy'!$D$11,4&lt;2))),1,0)))</x:f>
        <x:v>99</x:v>
      </x:c>
      <x:c r="S73" s="6" t="n">
        <x:f>IF('Debt strategy'!$C$16&gt;0,0,MIN(O73+P73-Q73,MAX(0,'Debt strategy'!$C$5-SUM(E73,K73,Q73,W73,AC73)-SUM(IF(F73&lt;R73,C73+D73-E73,0),IF(L73&lt;R73,I73+J73-K73,0),IF(X73&lt;R73,U73+V73-W73,0),IF(AD73&lt;R73,AA73+AB73-AC73,0)))))</x:f>
        <x:v>0</x:v>
      </x:c>
      <x:c r="T73" s="6" t="n">
        <x:f>ROUND(MAX(0,O73+P73-Q73-S73),2)</x:f>
        <x:v>0</x:v>
      </x:c>
      <x:c r="U73" s="6" t="n">
        <x:f>Z72</x:f>
        <x:v>0</x:v>
      </x:c>
      <x:c r="V73" s="6" t="n">
        <x:f>ROUND(U73*'Debt strategy'!$D$12/12,2)</x:f>
        <x:v>0</x:v>
      </x:c>
      <x:c r="W73" s="6" t="n">
        <x:f>MIN(U73+V73,'Debt strategy'!$E$12)</x:f>
        <x:v>0</x:v>
      </x:c>
      <x:c r="X73" s="27" t="n">
        <x:f>IF(U73+V73-W73&lt;=0,99,1+SUM(IF(AND(C73+D73-E73&gt;0,OR('Debt strategy'!$D$9&gt;'Debt strategy'!$D$12,AND('Debt strategy'!$D$9='Debt strategy'!$D$12,0&lt;3))),1,0),IF(AND(I73+J73-K73&gt;0,OR('Debt strategy'!$D$10&gt;'Debt strategy'!$D$12,AND('Debt strategy'!$D$10='Debt strategy'!$D$12,1&lt;3))),1,0),IF(AND(O73+P73-Q73&gt;0,OR('Debt strategy'!$D$11&gt;'Debt strategy'!$D$12,AND('Debt strategy'!$D$11='Debt strategy'!$D$12,2&lt;3))),1,0),IF(AND(AA73+AB73-AC73&gt;0,OR('Debt strategy'!$D$13&gt;'Debt strategy'!$D$12,AND('Debt strategy'!$D$13='Debt strategy'!$D$12,4&lt;3))),1,0)))</x:f>
        <x:v>99</x:v>
      </x:c>
      <x:c r="Y73" s="6" t="n">
        <x:f>IF('Debt strategy'!$C$16&gt;0,0,MIN(U73+V73-W73,MAX(0,'Debt strategy'!$C$5-SUM(E73,K73,Q73,W73,AC73)-SUM(IF(F73&lt;X73,C73+D73-E73,0),IF(L73&lt;X73,I73+J73-K73,0),IF(R73&lt;X73,O73+P73-Q73,0),IF(AD73&lt;X73,AA73+AB73-AC73,0)))))</x:f>
        <x:v>0</x:v>
      </x:c>
      <x:c r="Z73" s="6" t="n">
        <x:f>ROUND(MAX(0,U73+V73-W73-Y73),2)</x:f>
        <x:v>0</x:v>
      </x:c>
      <x:c r="AA73" s="6" t="n">
        <x:f>AF72</x:f>
        <x:v>0</x:v>
      </x:c>
      <x:c r="AB73" s="6" t="n">
        <x:f>ROUND(AA73*'Debt strategy'!$D$13/12,2)</x:f>
        <x:v>0</x:v>
      </x:c>
      <x:c r="AC73" s="6" t="n">
        <x:f>MIN(AA73+AB73,'Debt strategy'!$E$13)</x:f>
        <x:v>0</x:v>
      </x:c>
      <x:c r="AD73" s="27" t="n">
        <x:f>IF(AA73+AB73-AC73&lt;=0,99,1+SUM(IF(AND(C73+D73-E73&gt;0,OR('Debt strategy'!$D$9&gt;'Debt strategy'!$D$13,AND('Debt strategy'!$D$9='Debt strategy'!$D$13,0&lt;4))),1,0),IF(AND(I73+J73-K73&gt;0,OR('Debt strategy'!$D$10&gt;'Debt strategy'!$D$13,AND('Debt strategy'!$D$10='Debt strategy'!$D$13,1&lt;4))),1,0),IF(AND(O73+P73-Q73&gt;0,OR('Debt strategy'!$D$11&gt;'Debt strategy'!$D$13,AND('Debt strategy'!$D$11='Debt strategy'!$D$13,2&lt;4))),1,0),IF(AND(U73+V73-W73&gt;0,OR('Debt strategy'!$D$12&gt;'Debt strategy'!$D$13,AND('Debt strategy'!$D$12='Debt strategy'!$D$13,3&lt;4))),1,0)))</x:f>
        <x:v>99</x:v>
      </x:c>
      <x:c r="AE73" s="6" t="n">
        <x:f>IF('Debt strategy'!$C$16&gt;0,0,MIN(AA73+AB73-AC73,MAX(0,'Debt strategy'!$C$5-SUM(E73,K73,Q73,W73,AC73)-SUM(IF(F73&lt;AD73,C73+D73-E73,0),IF(L73&lt;AD73,I73+J73-K73,0),IF(R73&lt;AD73,O73+P73-Q73,0),IF(X73&lt;AD73,U73+V73-W73,0)))))</x:f>
        <x:v>0</x:v>
      </x:c>
      <x:c r="AF73" s="6" t="n">
        <x:f>ROUND(MAX(0,AA73+AB73-AC73-AE73),2)</x:f>
        <x:v>0</x:v>
      </x:c>
      <x:c r="AG73" s="6" t="n">
        <x:f>SUM(H73,N73,T73,Z73,AF73)</x:f>
        <x:v>0</x:v>
      </x:c>
      <x:c r="AH73" s="6" t="n">
        <x:f>SUM(D73,J73,P73,V73,AB73)+AH72</x:f>
        <x:v>1220.8400000000001</x:v>
      </x:c>
      <x:c r="AI73" s="2"/>
    </x:row>
    <x:row r="74" ht="23" customHeight="1">
      <x:c r="B74" s="2" t="n">
        <x:f>66</x:f>
        <x:v>66</x:v>
      </x:c>
      <x:c r="C74" s="6" t="n">
        <x:f>H73</x:f>
        <x:v>0</x:v>
      </x:c>
      <x:c r="D74" s="6" t="n">
        <x:f>ROUND(C74*'Debt strategy'!$D$9/12,2)</x:f>
        <x:v>0</x:v>
      </x:c>
      <x:c r="E74" s="6" t="n">
        <x:f>MIN(C74+D74,'Debt strategy'!$E$9)</x:f>
        <x:v>0</x:v>
      </x:c>
      <x:c r="F74" s="27" t="n">
        <x:f>IF(C74+D74-E74&lt;=0,99,1+SUM(IF(AND(I74+J74-K74&gt;0,OR('Debt strategy'!$D$10&gt;'Debt strategy'!$D$9,AND('Debt strategy'!$D$10='Debt strategy'!$D$9,1&lt;0))),1,0),IF(AND(O74+P74-Q74&gt;0,OR('Debt strategy'!$D$11&gt;'Debt strategy'!$D$9,AND('Debt strategy'!$D$11='Debt strategy'!$D$9,2&lt;0))),1,0),IF(AND(U74+V74-W74&gt;0,OR('Debt strategy'!$D$12&gt;'Debt strategy'!$D$9,AND('Debt strategy'!$D$12='Debt strategy'!$D$9,3&lt;0))),1,0),IF(AND(AA74+AB74-AC74&gt;0,OR('Debt strategy'!$D$13&gt;'Debt strategy'!$D$9,AND('Debt strategy'!$D$13='Debt strategy'!$D$9,4&lt;0))),1,0)))</x:f>
        <x:v>99</x:v>
      </x:c>
      <x:c r="G74" s="6" t="n">
        <x:f>IF('Debt strategy'!$C$16&gt;0,0,MIN(C74+D74-E74,MAX(0,'Debt strategy'!$C$5-SUM(E74,K74,Q74,W74,AC74)-SUM(IF(L74&lt;F74,I74+J74-K74,0),IF(R74&lt;F74,O74+P74-Q74,0),IF(X74&lt;F74,U74+V74-W74,0),IF(AD74&lt;F74,AA74+AB74-AC74,0)))))</x:f>
        <x:v>0</x:v>
      </x:c>
      <x:c r="H74" s="6" t="n">
        <x:f>ROUND(MAX(0,C74+D74-E74-G74),2)</x:f>
        <x:v>0</x:v>
      </x:c>
      <x:c r="I74" s="6" t="n">
        <x:f>N73</x:f>
        <x:v>0</x:v>
      </x:c>
      <x:c r="J74" s="6" t="n">
        <x:f>ROUND(I74*'Debt strategy'!$D$10/12,2)</x:f>
        <x:v>0</x:v>
      </x:c>
      <x:c r="K74" s="6" t="n">
        <x:f>MIN(I74+J74,'Debt strategy'!$E$10)</x:f>
        <x:v>0</x:v>
      </x:c>
      <x:c r="L74" s="27" t="n">
        <x:f>IF(I74+J74-K74&lt;=0,99,1+SUM(IF(AND(C74+D74-E74&gt;0,OR('Debt strategy'!$D$9&gt;'Debt strategy'!$D$10,AND('Debt strategy'!$D$9='Debt strategy'!$D$10,0&lt;1))),1,0),IF(AND(O74+P74-Q74&gt;0,OR('Debt strategy'!$D$11&gt;'Debt strategy'!$D$10,AND('Debt strategy'!$D$11='Debt strategy'!$D$10,2&lt;1))),1,0),IF(AND(U74+V74-W74&gt;0,OR('Debt strategy'!$D$12&gt;'Debt strategy'!$D$10,AND('Debt strategy'!$D$12='Debt strategy'!$D$10,3&lt;1))),1,0),IF(AND(AA74+AB74-AC74&gt;0,OR('Debt strategy'!$D$13&gt;'Debt strategy'!$D$10,AND('Debt strategy'!$D$13='Debt strategy'!$D$10,4&lt;1))),1,0)))</x:f>
        <x:v>99</x:v>
      </x:c>
      <x:c r="M74" s="6" t="n">
        <x:f>IF('Debt strategy'!$C$16&gt;0,0,MIN(I74+J74-K74,MAX(0,'Debt strategy'!$C$5-SUM(E74,K74,Q74,W74,AC74)-SUM(IF(F74&lt;L74,C74+D74-E74,0),IF(R74&lt;L74,O74+P74-Q74,0),IF(X74&lt;L74,U74+V74-W74,0),IF(AD74&lt;L74,AA74+AB74-AC74,0)))))</x:f>
        <x:v>0</x:v>
      </x:c>
      <x:c r="N74" s="6" t="n">
        <x:f>ROUND(MAX(0,I74+J74-K74-M74),2)</x:f>
        <x:v>0</x:v>
      </x:c>
      <x:c r="O74" s="6" t="n">
        <x:f>T73</x:f>
        <x:v>0</x:v>
      </x:c>
      <x:c r="P74" s="6" t="n">
        <x:f>ROUND(O74*'Debt strategy'!$D$11/12,2)</x:f>
        <x:v>0</x:v>
      </x:c>
      <x:c r="Q74" s="6" t="n">
        <x:f>MIN(O74+P74,'Debt strategy'!$E$11)</x:f>
        <x:v>0</x:v>
      </x:c>
      <x:c r="R74" s="27" t="n">
        <x:f>IF(O74+P74-Q74&lt;=0,99,1+SUM(IF(AND(C74+D74-E74&gt;0,OR('Debt strategy'!$D$9&gt;'Debt strategy'!$D$11,AND('Debt strategy'!$D$9='Debt strategy'!$D$11,0&lt;2))),1,0),IF(AND(I74+J74-K74&gt;0,OR('Debt strategy'!$D$10&gt;'Debt strategy'!$D$11,AND('Debt strategy'!$D$10='Debt strategy'!$D$11,1&lt;2))),1,0),IF(AND(U74+V74-W74&gt;0,OR('Debt strategy'!$D$12&gt;'Debt strategy'!$D$11,AND('Debt strategy'!$D$12='Debt strategy'!$D$11,3&lt;2))),1,0),IF(AND(AA74+AB74-AC74&gt;0,OR('Debt strategy'!$D$13&gt;'Debt strategy'!$D$11,AND('Debt strategy'!$D$13='Debt strategy'!$D$11,4&lt;2))),1,0)))</x:f>
        <x:v>99</x:v>
      </x:c>
      <x:c r="S74" s="6" t="n">
        <x:f>IF('Debt strategy'!$C$16&gt;0,0,MIN(O74+P74-Q74,MAX(0,'Debt strategy'!$C$5-SUM(E74,K74,Q74,W74,AC74)-SUM(IF(F74&lt;R74,C74+D74-E74,0),IF(L74&lt;R74,I74+J74-K74,0),IF(X74&lt;R74,U74+V74-W74,0),IF(AD74&lt;R74,AA74+AB74-AC74,0)))))</x:f>
        <x:v>0</x:v>
      </x:c>
      <x:c r="T74" s="6" t="n">
        <x:f>ROUND(MAX(0,O74+P74-Q74-S74),2)</x:f>
        <x:v>0</x:v>
      </x:c>
      <x:c r="U74" s="6" t="n">
        <x:f>Z73</x:f>
        <x:v>0</x:v>
      </x:c>
      <x:c r="V74" s="6" t="n">
        <x:f>ROUND(U74*'Debt strategy'!$D$12/12,2)</x:f>
        <x:v>0</x:v>
      </x:c>
      <x:c r="W74" s="6" t="n">
        <x:f>MIN(U74+V74,'Debt strategy'!$E$12)</x:f>
        <x:v>0</x:v>
      </x:c>
      <x:c r="X74" s="27" t="n">
        <x:f>IF(U74+V74-W74&lt;=0,99,1+SUM(IF(AND(C74+D74-E74&gt;0,OR('Debt strategy'!$D$9&gt;'Debt strategy'!$D$12,AND('Debt strategy'!$D$9='Debt strategy'!$D$12,0&lt;3))),1,0),IF(AND(I74+J74-K74&gt;0,OR('Debt strategy'!$D$10&gt;'Debt strategy'!$D$12,AND('Debt strategy'!$D$10='Debt strategy'!$D$12,1&lt;3))),1,0),IF(AND(O74+P74-Q74&gt;0,OR('Debt strategy'!$D$11&gt;'Debt strategy'!$D$12,AND('Debt strategy'!$D$11='Debt strategy'!$D$12,2&lt;3))),1,0),IF(AND(AA74+AB74-AC74&gt;0,OR('Debt strategy'!$D$13&gt;'Debt strategy'!$D$12,AND('Debt strategy'!$D$13='Debt strategy'!$D$12,4&lt;3))),1,0)))</x:f>
        <x:v>99</x:v>
      </x:c>
      <x:c r="Y74" s="6" t="n">
        <x:f>IF('Debt strategy'!$C$16&gt;0,0,MIN(U74+V74-W74,MAX(0,'Debt strategy'!$C$5-SUM(E74,K74,Q74,W74,AC74)-SUM(IF(F74&lt;X74,C74+D74-E74,0),IF(L74&lt;X74,I74+J74-K74,0),IF(R74&lt;X74,O74+P74-Q74,0),IF(AD74&lt;X74,AA74+AB74-AC74,0)))))</x:f>
        <x:v>0</x:v>
      </x:c>
      <x:c r="Z74" s="6" t="n">
        <x:f>ROUND(MAX(0,U74+V74-W74-Y74),2)</x:f>
        <x:v>0</x:v>
      </x:c>
      <x:c r="AA74" s="6" t="n">
        <x:f>AF73</x:f>
        <x:v>0</x:v>
      </x:c>
      <x:c r="AB74" s="6" t="n">
        <x:f>ROUND(AA74*'Debt strategy'!$D$13/12,2)</x:f>
        <x:v>0</x:v>
      </x:c>
      <x:c r="AC74" s="6" t="n">
        <x:f>MIN(AA74+AB74,'Debt strategy'!$E$13)</x:f>
        <x:v>0</x:v>
      </x:c>
      <x:c r="AD74" s="27" t="n">
        <x:f>IF(AA74+AB74-AC74&lt;=0,99,1+SUM(IF(AND(C74+D74-E74&gt;0,OR('Debt strategy'!$D$9&gt;'Debt strategy'!$D$13,AND('Debt strategy'!$D$9='Debt strategy'!$D$13,0&lt;4))),1,0),IF(AND(I74+J74-K74&gt;0,OR('Debt strategy'!$D$10&gt;'Debt strategy'!$D$13,AND('Debt strategy'!$D$10='Debt strategy'!$D$13,1&lt;4))),1,0),IF(AND(O74+P74-Q74&gt;0,OR('Debt strategy'!$D$11&gt;'Debt strategy'!$D$13,AND('Debt strategy'!$D$11='Debt strategy'!$D$13,2&lt;4))),1,0),IF(AND(U74+V74-W74&gt;0,OR('Debt strategy'!$D$12&gt;'Debt strategy'!$D$13,AND('Debt strategy'!$D$12='Debt strategy'!$D$13,3&lt;4))),1,0)))</x:f>
        <x:v>99</x:v>
      </x:c>
      <x:c r="AE74" s="6" t="n">
        <x:f>IF('Debt strategy'!$C$16&gt;0,0,MIN(AA74+AB74-AC74,MAX(0,'Debt strategy'!$C$5-SUM(E74,K74,Q74,W74,AC74)-SUM(IF(F74&lt;AD74,C74+D74-E74,0),IF(L74&lt;AD74,I74+J74-K74,0),IF(R74&lt;AD74,O74+P74-Q74,0),IF(X74&lt;AD74,U74+V74-W74,0)))))</x:f>
        <x:v>0</x:v>
      </x:c>
      <x:c r="AF74" s="6" t="n">
        <x:f>ROUND(MAX(0,AA74+AB74-AC74-AE74),2)</x:f>
        <x:v>0</x:v>
      </x:c>
      <x:c r="AG74" s="6" t="n">
        <x:f>SUM(H74,N74,T74,Z74,AF74)</x:f>
        <x:v>0</x:v>
      </x:c>
      <x:c r="AH74" s="6" t="n">
        <x:f>SUM(D74,J74,P74,V74,AB74)+AH73</x:f>
        <x:v>1220.8400000000001</x:v>
      </x:c>
      <x:c r="AI74" s="2"/>
    </x:row>
    <x:row r="75" ht="23" customHeight="1">
      <x:c r="B75" s="2" t="n">
        <x:f>67</x:f>
        <x:v>67</x:v>
      </x:c>
      <x:c r="C75" s="6" t="n">
        <x:f>H74</x:f>
        <x:v>0</x:v>
      </x:c>
      <x:c r="D75" s="6" t="n">
        <x:f>ROUND(C75*'Debt strategy'!$D$9/12,2)</x:f>
        <x:v>0</x:v>
      </x:c>
      <x:c r="E75" s="6" t="n">
        <x:f>MIN(C75+D75,'Debt strategy'!$E$9)</x:f>
        <x:v>0</x:v>
      </x:c>
      <x:c r="F75" s="27" t="n">
        <x:f>IF(C75+D75-E75&lt;=0,99,1+SUM(IF(AND(I75+J75-K75&gt;0,OR('Debt strategy'!$D$10&gt;'Debt strategy'!$D$9,AND('Debt strategy'!$D$10='Debt strategy'!$D$9,1&lt;0))),1,0),IF(AND(O75+P75-Q75&gt;0,OR('Debt strategy'!$D$11&gt;'Debt strategy'!$D$9,AND('Debt strategy'!$D$11='Debt strategy'!$D$9,2&lt;0))),1,0),IF(AND(U75+V75-W75&gt;0,OR('Debt strategy'!$D$12&gt;'Debt strategy'!$D$9,AND('Debt strategy'!$D$12='Debt strategy'!$D$9,3&lt;0))),1,0),IF(AND(AA75+AB75-AC75&gt;0,OR('Debt strategy'!$D$13&gt;'Debt strategy'!$D$9,AND('Debt strategy'!$D$13='Debt strategy'!$D$9,4&lt;0))),1,0)))</x:f>
        <x:v>99</x:v>
      </x:c>
      <x:c r="G75" s="6" t="n">
        <x:f>IF('Debt strategy'!$C$16&gt;0,0,MIN(C75+D75-E75,MAX(0,'Debt strategy'!$C$5-SUM(E75,K75,Q75,W75,AC75)-SUM(IF(L75&lt;F75,I75+J75-K75,0),IF(R75&lt;F75,O75+P75-Q75,0),IF(X75&lt;F75,U75+V75-W75,0),IF(AD75&lt;F75,AA75+AB75-AC75,0)))))</x:f>
        <x:v>0</x:v>
      </x:c>
      <x:c r="H75" s="6" t="n">
        <x:f>ROUND(MAX(0,C75+D75-E75-G75),2)</x:f>
        <x:v>0</x:v>
      </x:c>
      <x:c r="I75" s="6" t="n">
        <x:f>N74</x:f>
        <x:v>0</x:v>
      </x:c>
      <x:c r="J75" s="6" t="n">
        <x:f>ROUND(I75*'Debt strategy'!$D$10/12,2)</x:f>
        <x:v>0</x:v>
      </x:c>
      <x:c r="K75" s="6" t="n">
        <x:f>MIN(I75+J75,'Debt strategy'!$E$10)</x:f>
        <x:v>0</x:v>
      </x:c>
      <x:c r="L75" s="27" t="n">
        <x:f>IF(I75+J75-K75&lt;=0,99,1+SUM(IF(AND(C75+D75-E75&gt;0,OR('Debt strategy'!$D$9&gt;'Debt strategy'!$D$10,AND('Debt strategy'!$D$9='Debt strategy'!$D$10,0&lt;1))),1,0),IF(AND(O75+P75-Q75&gt;0,OR('Debt strategy'!$D$11&gt;'Debt strategy'!$D$10,AND('Debt strategy'!$D$11='Debt strategy'!$D$10,2&lt;1))),1,0),IF(AND(U75+V75-W75&gt;0,OR('Debt strategy'!$D$12&gt;'Debt strategy'!$D$10,AND('Debt strategy'!$D$12='Debt strategy'!$D$10,3&lt;1))),1,0),IF(AND(AA75+AB75-AC75&gt;0,OR('Debt strategy'!$D$13&gt;'Debt strategy'!$D$10,AND('Debt strategy'!$D$13='Debt strategy'!$D$10,4&lt;1))),1,0)))</x:f>
        <x:v>99</x:v>
      </x:c>
      <x:c r="M75" s="6" t="n">
        <x:f>IF('Debt strategy'!$C$16&gt;0,0,MIN(I75+J75-K75,MAX(0,'Debt strategy'!$C$5-SUM(E75,K75,Q75,W75,AC75)-SUM(IF(F75&lt;L75,C75+D75-E75,0),IF(R75&lt;L75,O75+P75-Q75,0),IF(X75&lt;L75,U75+V75-W75,0),IF(AD75&lt;L75,AA75+AB75-AC75,0)))))</x:f>
        <x:v>0</x:v>
      </x:c>
      <x:c r="N75" s="6" t="n">
        <x:f>ROUND(MAX(0,I75+J75-K75-M75),2)</x:f>
        <x:v>0</x:v>
      </x:c>
      <x:c r="O75" s="6" t="n">
        <x:f>T74</x:f>
        <x:v>0</x:v>
      </x:c>
      <x:c r="P75" s="6" t="n">
        <x:f>ROUND(O75*'Debt strategy'!$D$11/12,2)</x:f>
        <x:v>0</x:v>
      </x:c>
      <x:c r="Q75" s="6" t="n">
        <x:f>MIN(O75+P75,'Debt strategy'!$E$11)</x:f>
        <x:v>0</x:v>
      </x:c>
      <x:c r="R75" s="27" t="n">
        <x:f>IF(O75+P75-Q75&lt;=0,99,1+SUM(IF(AND(C75+D75-E75&gt;0,OR('Debt strategy'!$D$9&gt;'Debt strategy'!$D$11,AND('Debt strategy'!$D$9='Debt strategy'!$D$11,0&lt;2))),1,0),IF(AND(I75+J75-K75&gt;0,OR('Debt strategy'!$D$10&gt;'Debt strategy'!$D$11,AND('Debt strategy'!$D$10='Debt strategy'!$D$11,1&lt;2))),1,0),IF(AND(U75+V75-W75&gt;0,OR('Debt strategy'!$D$12&gt;'Debt strategy'!$D$11,AND('Debt strategy'!$D$12='Debt strategy'!$D$11,3&lt;2))),1,0),IF(AND(AA75+AB75-AC75&gt;0,OR('Debt strategy'!$D$13&gt;'Debt strategy'!$D$11,AND('Debt strategy'!$D$13='Debt strategy'!$D$11,4&lt;2))),1,0)))</x:f>
        <x:v>99</x:v>
      </x:c>
      <x:c r="S75" s="6" t="n">
        <x:f>IF('Debt strategy'!$C$16&gt;0,0,MIN(O75+P75-Q75,MAX(0,'Debt strategy'!$C$5-SUM(E75,K75,Q75,W75,AC75)-SUM(IF(F75&lt;R75,C75+D75-E75,0),IF(L75&lt;R75,I75+J75-K75,0),IF(X75&lt;R75,U75+V75-W75,0),IF(AD75&lt;R75,AA75+AB75-AC75,0)))))</x:f>
        <x:v>0</x:v>
      </x:c>
      <x:c r="T75" s="6" t="n">
        <x:f>ROUND(MAX(0,O75+P75-Q75-S75),2)</x:f>
        <x:v>0</x:v>
      </x:c>
      <x:c r="U75" s="6" t="n">
        <x:f>Z74</x:f>
        <x:v>0</x:v>
      </x:c>
      <x:c r="V75" s="6" t="n">
        <x:f>ROUND(U75*'Debt strategy'!$D$12/12,2)</x:f>
        <x:v>0</x:v>
      </x:c>
      <x:c r="W75" s="6" t="n">
        <x:f>MIN(U75+V75,'Debt strategy'!$E$12)</x:f>
        <x:v>0</x:v>
      </x:c>
      <x:c r="X75" s="27" t="n">
        <x:f>IF(U75+V75-W75&lt;=0,99,1+SUM(IF(AND(C75+D75-E75&gt;0,OR('Debt strategy'!$D$9&gt;'Debt strategy'!$D$12,AND('Debt strategy'!$D$9='Debt strategy'!$D$12,0&lt;3))),1,0),IF(AND(I75+J75-K75&gt;0,OR('Debt strategy'!$D$10&gt;'Debt strategy'!$D$12,AND('Debt strategy'!$D$10='Debt strategy'!$D$12,1&lt;3))),1,0),IF(AND(O75+P75-Q75&gt;0,OR('Debt strategy'!$D$11&gt;'Debt strategy'!$D$12,AND('Debt strategy'!$D$11='Debt strategy'!$D$12,2&lt;3))),1,0),IF(AND(AA75+AB75-AC75&gt;0,OR('Debt strategy'!$D$13&gt;'Debt strategy'!$D$12,AND('Debt strategy'!$D$13='Debt strategy'!$D$12,4&lt;3))),1,0)))</x:f>
        <x:v>99</x:v>
      </x:c>
      <x:c r="Y75" s="6" t="n">
        <x:f>IF('Debt strategy'!$C$16&gt;0,0,MIN(U75+V75-W75,MAX(0,'Debt strategy'!$C$5-SUM(E75,K75,Q75,W75,AC75)-SUM(IF(F75&lt;X75,C75+D75-E75,0),IF(L75&lt;X75,I75+J75-K75,0),IF(R75&lt;X75,O75+P75-Q75,0),IF(AD75&lt;X75,AA75+AB75-AC75,0)))))</x:f>
        <x:v>0</x:v>
      </x:c>
      <x:c r="Z75" s="6" t="n">
        <x:f>ROUND(MAX(0,U75+V75-W75-Y75),2)</x:f>
        <x:v>0</x:v>
      </x:c>
      <x:c r="AA75" s="6" t="n">
        <x:f>AF74</x:f>
        <x:v>0</x:v>
      </x:c>
      <x:c r="AB75" s="6" t="n">
        <x:f>ROUND(AA75*'Debt strategy'!$D$13/12,2)</x:f>
        <x:v>0</x:v>
      </x:c>
      <x:c r="AC75" s="6" t="n">
        <x:f>MIN(AA75+AB75,'Debt strategy'!$E$13)</x:f>
        <x:v>0</x:v>
      </x:c>
      <x:c r="AD75" s="27" t="n">
        <x:f>IF(AA75+AB75-AC75&lt;=0,99,1+SUM(IF(AND(C75+D75-E75&gt;0,OR('Debt strategy'!$D$9&gt;'Debt strategy'!$D$13,AND('Debt strategy'!$D$9='Debt strategy'!$D$13,0&lt;4))),1,0),IF(AND(I75+J75-K75&gt;0,OR('Debt strategy'!$D$10&gt;'Debt strategy'!$D$13,AND('Debt strategy'!$D$10='Debt strategy'!$D$13,1&lt;4))),1,0),IF(AND(O75+P75-Q75&gt;0,OR('Debt strategy'!$D$11&gt;'Debt strategy'!$D$13,AND('Debt strategy'!$D$11='Debt strategy'!$D$13,2&lt;4))),1,0),IF(AND(U75+V75-W75&gt;0,OR('Debt strategy'!$D$12&gt;'Debt strategy'!$D$13,AND('Debt strategy'!$D$12='Debt strategy'!$D$13,3&lt;4))),1,0)))</x:f>
        <x:v>99</x:v>
      </x:c>
      <x:c r="AE75" s="6" t="n">
        <x:f>IF('Debt strategy'!$C$16&gt;0,0,MIN(AA75+AB75-AC75,MAX(0,'Debt strategy'!$C$5-SUM(E75,K75,Q75,W75,AC75)-SUM(IF(F75&lt;AD75,C75+D75-E75,0),IF(L75&lt;AD75,I75+J75-K75,0),IF(R75&lt;AD75,O75+P75-Q75,0),IF(X75&lt;AD75,U75+V75-W75,0)))))</x:f>
        <x:v>0</x:v>
      </x:c>
      <x:c r="AF75" s="6" t="n">
        <x:f>ROUND(MAX(0,AA75+AB75-AC75-AE75),2)</x:f>
        <x:v>0</x:v>
      </x:c>
      <x:c r="AG75" s="6" t="n">
        <x:f>SUM(H75,N75,T75,Z75,AF75)</x:f>
        <x:v>0</x:v>
      </x:c>
      <x:c r="AH75" s="6" t="n">
        <x:f>SUM(D75,J75,P75,V75,AB75)+AH74</x:f>
        <x:v>1220.8400000000001</x:v>
      </x:c>
      <x:c r="AI75" s="2"/>
    </x:row>
    <x:row r="76" ht="23" customHeight="1">
      <x:c r="B76" s="2" t="n">
        <x:f>68</x:f>
        <x:v>68</x:v>
      </x:c>
      <x:c r="C76" s="6" t="n">
        <x:f>H75</x:f>
        <x:v>0</x:v>
      </x:c>
      <x:c r="D76" s="6" t="n">
        <x:f>ROUND(C76*'Debt strategy'!$D$9/12,2)</x:f>
        <x:v>0</x:v>
      </x:c>
      <x:c r="E76" s="6" t="n">
        <x:f>MIN(C76+D76,'Debt strategy'!$E$9)</x:f>
        <x:v>0</x:v>
      </x:c>
      <x:c r="F76" s="27" t="n">
        <x:f>IF(C76+D76-E76&lt;=0,99,1+SUM(IF(AND(I76+J76-K76&gt;0,OR('Debt strategy'!$D$10&gt;'Debt strategy'!$D$9,AND('Debt strategy'!$D$10='Debt strategy'!$D$9,1&lt;0))),1,0),IF(AND(O76+P76-Q76&gt;0,OR('Debt strategy'!$D$11&gt;'Debt strategy'!$D$9,AND('Debt strategy'!$D$11='Debt strategy'!$D$9,2&lt;0))),1,0),IF(AND(U76+V76-W76&gt;0,OR('Debt strategy'!$D$12&gt;'Debt strategy'!$D$9,AND('Debt strategy'!$D$12='Debt strategy'!$D$9,3&lt;0))),1,0),IF(AND(AA76+AB76-AC76&gt;0,OR('Debt strategy'!$D$13&gt;'Debt strategy'!$D$9,AND('Debt strategy'!$D$13='Debt strategy'!$D$9,4&lt;0))),1,0)))</x:f>
        <x:v>99</x:v>
      </x:c>
      <x:c r="G76" s="6" t="n">
        <x:f>IF('Debt strategy'!$C$16&gt;0,0,MIN(C76+D76-E76,MAX(0,'Debt strategy'!$C$5-SUM(E76,K76,Q76,W76,AC76)-SUM(IF(L76&lt;F76,I76+J76-K76,0),IF(R76&lt;F76,O76+P76-Q76,0),IF(X76&lt;F76,U76+V76-W76,0),IF(AD76&lt;F76,AA76+AB76-AC76,0)))))</x:f>
        <x:v>0</x:v>
      </x:c>
      <x:c r="H76" s="6" t="n">
        <x:f>ROUND(MAX(0,C76+D76-E76-G76),2)</x:f>
        <x:v>0</x:v>
      </x:c>
      <x:c r="I76" s="6" t="n">
        <x:f>N75</x:f>
        <x:v>0</x:v>
      </x:c>
      <x:c r="J76" s="6" t="n">
        <x:f>ROUND(I76*'Debt strategy'!$D$10/12,2)</x:f>
        <x:v>0</x:v>
      </x:c>
      <x:c r="K76" s="6" t="n">
        <x:f>MIN(I76+J76,'Debt strategy'!$E$10)</x:f>
        <x:v>0</x:v>
      </x:c>
      <x:c r="L76" s="27" t="n">
        <x:f>IF(I76+J76-K76&lt;=0,99,1+SUM(IF(AND(C76+D76-E76&gt;0,OR('Debt strategy'!$D$9&gt;'Debt strategy'!$D$10,AND('Debt strategy'!$D$9='Debt strategy'!$D$10,0&lt;1))),1,0),IF(AND(O76+P76-Q76&gt;0,OR('Debt strategy'!$D$11&gt;'Debt strategy'!$D$10,AND('Debt strategy'!$D$11='Debt strategy'!$D$10,2&lt;1))),1,0),IF(AND(U76+V76-W76&gt;0,OR('Debt strategy'!$D$12&gt;'Debt strategy'!$D$10,AND('Debt strategy'!$D$12='Debt strategy'!$D$10,3&lt;1))),1,0),IF(AND(AA76+AB76-AC76&gt;0,OR('Debt strategy'!$D$13&gt;'Debt strategy'!$D$10,AND('Debt strategy'!$D$13='Debt strategy'!$D$10,4&lt;1))),1,0)))</x:f>
        <x:v>99</x:v>
      </x:c>
      <x:c r="M76" s="6" t="n">
        <x:f>IF('Debt strategy'!$C$16&gt;0,0,MIN(I76+J76-K76,MAX(0,'Debt strategy'!$C$5-SUM(E76,K76,Q76,W76,AC76)-SUM(IF(F76&lt;L76,C76+D76-E76,0),IF(R76&lt;L76,O76+P76-Q76,0),IF(X76&lt;L76,U76+V76-W76,0),IF(AD76&lt;L76,AA76+AB76-AC76,0)))))</x:f>
        <x:v>0</x:v>
      </x:c>
      <x:c r="N76" s="6" t="n">
        <x:f>ROUND(MAX(0,I76+J76-K76-M76),2)</x:f>
        <x:v>0</x:v>
      </x:c>
      <x:c r="O76" s="6" t="n">
        <x:f>T75</x:f>
        <x:v>0</x:v>
      </x:c>
      <x:c r="P76" s="6" t="n">
        <x:f>ROUND(O76*'Debt strategy'!$D$11/12,2)</x:f>
        <x:v>0</x:v>
      </x:c>
      <x:c r="Q76" s="6" t="n">
        <x:f>MIN(O76+P76,'Debt strategy'!$E$11)</x:f>
        <x:v>0</x:v>
      </x:c>
      <x:c r="R76" s="27" t="n">
        <x:f>IF(O76+P76-Q76&lt;=0,99,1+SUM(IF(AND(C76+D76-E76&gt;0,OR('Debt strategy'!$D$9&gt;'Debt strategy'!$D$11,AND('Debt strategy'!$D$9='Debt strategy'!$D$11,0&lt;2))),1,0),IF(AND(I76+J76-K76&gt;0,OR('Debt strategy'!$D$10&gt;'Debt strategy'!$D$11,AND('Debt strategy'!$D$10='Debt strategy'!$D$11,1&lt;2))),1,0),IF(AND(U76+V76-W76&gt;0,OR('Debt strategy'!$D$12&gt;'Debt strategy'!$D$11,AND('Debt strategy'!$D$12='Debt strategy'!$D$11,3&lt;2))),1,0),IF(AND(AA76+AB76-AC76&gt;0,OR('Debt strategy'!$D$13&gt;'Debt strategy'!$D$11,AND('Debt strategy'!$D$13='Debt strategy'!$D$11,4&lt;2))),1,0)))</x:f>
        <x:v>99</x:v>
      </x:c>
      <x:c r="S76" s="6" t="n">
        <x:f>IF('Debt strategy'!$C$16&gt;0,0,MIN(O76+P76-Q76,MAX(0,'Debt strategy'!$C$5-SUM(E76,K76,Q76,W76,AC76)-SUM(IF(F76&lt;R76,C76+D76-E76,0),IF(L76&lt;R76,I76+J76-K76,0),IF(X76&lt;R76,U76+V76-W76,0),IF(AD76&lt;R76,AA76+AB76-AC76,0)))))</x:f>
        <x:v>0</x:v>
      </x:c>
      <x:c r="T76" s="6" t="n">
        <x:f>ROUND(MAX(0,O76+P76-Q76-S76),2)</x:f>
        <x:v>0</x:v>
      </x:c>
      <x:c r="U76" s="6" t="n">
        <x:f>Z75</x:f>
        <x:v>0</x:v>
      </x:c>
      <x:c r="V76" s="6" t="n">
        <x:f>ROUND(U76*'Debt strategy'!$D$12/12,2)</x:f>
        <x:v>0</x:v>
      </x:c>
      <x:c r="W76" s="6" t="n">
        <x:f>MIN(U76+V76,'Debt strategy'!$E$12)</x:f>
        <x:v>0</x:v>
      </x:c>
      <x:c r="X76" s="27" t="n">
        <x:f>IF(U76+V76-W76&lt;=0,99,1+SUM(IF(AND(C76+D76-E76&gt;0,OR('Debt strategy'!$D$9&gt;'Debt strategy'!$D$12,AND('Debt strategy'!$D$9='Debt strategy'!$D$12,0&lt;3))),1,0),IF(AND(I76+J76-K76&gt;0,OR('Debt strategy'!$D$10&gt;'Debt strategy'!$D$12,AND('Debt strategy'!$D$10='Debt strategy'!$D$12,1&lt;3))),1,0),IF(AND(O76+P76-Q76&gt;0,OR('Debt strategy'!$D$11&gt;'Debt strategy'!$D$12,AND('Debt strategy'!$D$11='Debt strategy'!$D$12,2&lt;3))),1,0),IF(AND(AA76+AB76-AC76&gt;0,OR('Debt strategy'!$D$13&gt;'Debt strategy'!$D$12,AND('Debt strategy'!$D$13='Debt strategy'!$D$12,4&lt;3))),1,0)))</x:f>
        <x:v>99</x:v>
      </x:c>
      <x:c r="Y76" s="6" t="n">
        <x:f>IF('Debt strategy'!$C$16&gt;0,0,MIN(U76+V76-W76,MAX(0,'Debt strategy'!$C$5-SUM(E76,K76,Q76,W76,AC76)-SUM(IF(F76&lt;X76,C76+D76-E76,0),IF(L76&lt;X76,I76+J76-K76,0),IF(R76&lt;X76,O76+P76-Q76,0),IF(AD76&lt;X76,AA76+AB76-AC76,0)))))</x:f>
        <x:v>0</x:v>
      </x:c>
      <x:c r="Z76" s="6" t="n">
        <x:f>ROUND(MAX(0,U76+V76-W76-Y76),2)</x:f>
        <x:v>0</x:v>
      </x:c>
      <x:c r="AA76" s="6" t="n">
        <x:f>AF75</x:f>
        <x:v>0</x:v>
      </x:c>
      <x:c r="AB76" s="6" t="n">
        <x:f>ROUND(AA76*'Debt strategy'!$D$13/12,2)</x:f>
        <x:v>0</x:v>
      </x:c>
      <x:c r="AC76" s="6" t="n">
        <x:f>MIN(AA76+AB76,'Debt strategy'!$E$13)</x:f>
        <x:v>0</x:v>
      </x:c>
      <x:c r="AD76" s="27" t="n">
        <x:f>IF(AA76+AB76-AC76&lt;=0,99,1+SUM(IF(AND(C76+D76-E76&gt;0,OR('Debt strategy'!$D$9&gt;'Debt strategy'!$D$13,AND('Debt strategy'!$D$9='Debt strategy'!$D$13,0&lt;4))),1,0),IF(AND(I76+J76-K76&gt;0,OR('Debt strategy'!$D$10&gt;'Debt strategy'!$D$13,AND('Debt strategy'!$D$10='Debt strategy'!$D$13,1&lt;4))),1,0),IF(AND(O76+P76-Q76&gt;0,OR('Debt strategy'!$D$11&gt;'Debt strategy'!$D$13,AND('Debt strategy'!$D$11='Debt strategy'!$D$13,2&lt;4))),1,0),IF(AND(U76+V76-W76&gt;0,OR('Debt strategy'!$D$12&gt;'Debt strategy'!$D$13,AND('Debt strategy'!$D$12='Debt strategy'!$D$13,3&lt;4))),1,0)))</x:f>
        <x:v>99</x:v>
      </x:c>
      <x:c r="AE76" s="6" t="n">
        <x:f>IF('Debt strategy'!$C$16&gt;0,0,MIN(AA76+AB76-AC76,MAX(0,'Debt strategy'!$C$5-SUM(E76,K76,Q76,W76,AC76)-SUM(IF(F76&lt;AD76,C76+D76-E76,0),IF(L76&lt;AD76,I76+J76-K76,0),IF(R76&lt;AD76,O76+P76-Q76,0),IF(X76&lt;AD76,U76+V76-W76,0)))))</x:f>
        <x:v>0</x:v>
      </x:c>
      <x:c r="AF76" s="6" t="n">
        <x:f>ROUND(MAX(0,AA76+AB76-AC76-AE76),2)</x:f>
        <x:v>0</x:v>
      </x:c>
      <x:c r="AG76" s="6" t="n">
        <x:f>SUM(H76,N76,T76,Z76,AF76)</x:f>
        <x:v>0</x:v>
      </x:c>
      <x:c r="AH76" s="6" t="n">
        <x:f>SUM(D76,J76,P76,V76,AB76)+AH75</x:f>
        <x:v>1220.8400000000001</x:v>
      </x:c>
      <x:c r="AI76" s="2"/>
    </x:row>
    <x:row r="77" ht="23" customHeight="1">
      <x:c r="B77" s="2" t="n">
        <x:f>69</x:f>
        <x:v>69</x:v>
      </x:c>
      <x:c r="C77" s="6" t="n">
        <x:f>H76</x:f>
        <x:v>0</x:v>
      </x:c>
      <x:c r="D77" s="6" t="n">
        <x:f>ROUND(C77*'Debt strategy'!$D$9/12,2)</x:f>
        <x:v>0</x:v>
      </x:c>
      <x:c r="E77" s="6" t="n">
        <x:f>MIN(C77+D77,'Debt strategy'!$E$9)</x:f>
        <x:v>0</x:v>
      </x:c>
      <x:c r="F77" s="27" t="n">
        <x:f>IF(C77+D77-E77&lt;=0,99,1+SUM(IF(AND(I77+J77-K77&gt;0,OR('Debt strategy'!$D$10&gt;'Debt strategy'!$D$9,AND('Debt strategy'!$D$10='Debt strategy'!$D$9,1&lt;0))),1,0),IF(AND(O77+P77-Q77&gt;0,OR('Debt strategy'!$D$11&gt;'Debt strategy'!$D$9,AND('Debt strategy'!$D$11='Debt strategy'!$D$9,2&lt;0))),1,0),IF(AND(U77+V77-W77&gt;0,OR('Debt strategy'!$D$12&gt;'Debt strategy'!$D$9,AND('Debt strategy'!$D$12='Debt strategy'!$D$9,3&lt;0))),1,0),IF(AND(AA77+AB77-AC77&gt;0,OR('Debt strategy'!$D$13&gt;'Debt strategy'!$D$9,AND('Debt strategy'!$D$13='Debt strategy'!$D$9,4&lt;0))),1,0)))</x:f>
        <x:v>99</x:v>
      </x:c>
      <x:c r="G77" s="6" t="n">
        <x:f>IF('Debt strategy'!$C$16&gt;0,0,MIN(C77+D77-E77,MAX(0,'Debt strategy'!$C$5-SUM(E77,K77,Q77,W77,AC77)-SUM(IF(L77&lt;F77,I77+J77-K77,0),IF(R77&lt;F77,O77+P77-Q77,0),IF(X77&lt;F77,U77+V77-W77,0),IF(AD77&lt;F77,AA77+AB77-AC77,0)))))</x:f>
        <x:v>0</x:v>
      </x:c>
      <x:c r="H77" s="6" t="n">
        <x:f>ROUND(MAX(0,C77+D77-E77-G77),2)</x:f>
        <x:v>0</x:v>
      </x:c>
      <x:c r="I77" s="6" t="n">
        <x:f>N76</x:f>
        <x:v>0</x:v>
      </x:c>
      <x:c r="J77" s="6" t="n">
        <x:f>ROUND(I77*'Debt strategy'!$D$10/12,2)</x:f>
        <x:v>0</x:v>
      </x:c>
      <x:c r="K77" s="6" t="n">
        <x:f>MIN(I77+J77,'Debt strategy'!$E$10)</x:f>
        <x:v>0</x:v>
      </x:c>
      <x:c r="L77" s="27" t="n">
        <x:f>IF(I77+J77-K77&lt;=0,99,1+SUM(IF(AND(C77+D77-E77&gt;0,OR('Debt strategy'!$D$9&gt;'Debt strategy'!$D$10,AND('Debt strategy'!$D$9='Debt strategy'!$D$10,0&lt;1))),1,0),IF(AND(O77+P77-Q77&gt;0,OR('Debt strategy'!$D$11&gt;'Debt strategy'!$D$10,AND('Debt strategy'!$D$11='Debt strategy'!$D$10,2&lt;1))),1,0),IF(AND(U77+V77-W77&gt;0,OR('Debt strategy'!$D$12&gt;'Debt strategy'!$D$10,AND('Debt strategy'!$D$12='Debt strategy'!$D$10,3&lt;1))),1,0),IF(AND(AA77+AB77-AC77&gt;0,OR('Debt strategy'!$D$13&gt;'Debt strategy'!$D$10,AND('Debt strategy'!$D$13='Debt strategy'!$D$10,4&lt;1))),1,0)))</x:f>
        <x:v>99</x:v>
      </x:c>
      <x:c r="M77" s="6" t="n">
        <x:f>IF('Debt strategy'!$C$16&gt;0,0,MIN(I77+J77-K77,MAX(0,'Debt strategy'!$C$5-SUM(E77,K77,Q77,W77,AC77)-SUM(IF(F77&lt;L77,C77+D77-E77,0),IF(R77&lt;L77,O77+P77-Q77,0),IF(X77&lt;L77,U77+V77-W77,0),IF(AD77&lt;L77,AA77+AB77-AC77,0)))))</x:f>
        <x:v>0</x:v>
      </x:c>
      <x:c r="N77" s="6" t="n">
        <x:f>ROUND(MAX(0,I77+J77-K77-M77),2)</x:f>
        <x:v>0</x:v>
      </x:c>
      <x:c r="O77" s="6" t="n">
        <x:f>T76</x:f>
        <x:v>0</x:v>
      </x:c>
      <x:c r="P77" s="6" t="n">
        <x:f>ROUND(O77*'Debt strategy'!$D$11/12,2)</x:f>
        <x:v>0</x:v>
      </x:c>
      <x:c r="Q77" s="6" t="n">
        <x:f>MIN(O77+P77,'Debt strategy'!$E$11)</x:f>
        <x:v>0</x:v>
      </x:c>
      <x:c r="R77" s="27" t="n">
        <x:f>IF(O77+P77-Q77&lt;=0,99,1+SUM(IF(AND(C77+D77-E77&gt;0,OR('Debt strategy'!$D$9&gt;'Debt strategy'!$D$11,AND('Debt strategy'!$D$9='Debt strategy'!$D$11,0&lt;2))),1,0),IF(AND(I77+J77-K77&gt;0,OR('Debt strategy'!$D$10&gt;'Debt strategy'!$D$11,AND('Debt strategy'!$D$10='Debt strategy'!$D$11,1&lt;2))),1,0),IF(AND(U77+V77-W77&gt;0,OR('Debt strategy'!$D$12&gt;'Debt strategy'!$D$11,AND('Debt strategy'!$D$12='Debt strategy'!$D$11,3&lt;2))),1,0),IF(AND(AA77+AB77-AC77&gt;0,OR('Debt strategy'!$D$13&gt;'Debt strategy'!$D$11,AND('Debt strategy'!$D$13='Debt strategy'!$D$11,4&lt;2))),1,0)))</x:f>
        <x:v>99</x:v>
      </x:c>
      <x:c r="S77" s="6" t="n">
        <x:f>IF('Debt strategy'!$C$16&gt;0,0,MIN(O77+P77-Q77,MAX(0,'Debt strategy'!$C$5-SUM(E77,K77,Q77,W77,AC77)-SUM(IF(F77&lt;R77,C77+D77-E77,0),IF(L77&lt;R77,I77+J77-K77,0),IF(X77&lt;R77,U77+V77-W77,0),IF(AD77&lt;R77,AA77+AB77-AC77,0)))))</x:f>
        <x:v>0</x:v>
      </x:c>
      <x:c r="T77" s="6" t="n">
        <x:f>ROUND(MAX(0,O77+P77-Q77-S77),2)</x:f>
        <x:v>0</x:v>
      </x:c>
      <x:c r="U77" s="6" t="n">
        <x:f>Z76</x:f>
        <x:v>0</x:v>
      </x:c>
      <x:c r="V77" s="6" t="n">
        <x:f>ROUND(U77*'Debt strategy'!$D$12/12,2)</x:f>
        <x:v>0</x:v>
      </x:c>
      <x:c r="W77" s="6" t="n">
        <x:f>MIN(U77+V77,'Debt strategy'!$E$12)</x:f>
        <x:v>0</x:v>
      </x:c>
      <x:c r="X77" s="27" t="n">
        <x:f>IF(U77+V77-W77&lt;=0,99,1+SUM(IF(AND(C77+D77-E77&gt;0,OR('Debt strategy'!$D$9&gt;'Debt strategy'!$D$12,AND('Debt strategy'!$D$9='Debt strategy'!$D$12,0&lt;3))),1,0),IF(AND(I77+J77-K77&gt;0,OR('Debt strategy'!$D$10&gt;'Debt strategy'!$D$12,AND('Debt strategy'!$D$10='Debt strategy'!$D$12,1&lt;3))),1,0),IF(AND(O77+P77-Q77&gt;0,OR('Debt strategy'!$D$11&gt;'Debt strategy'!$D$12,AND('Debt strategy'!$D$11='Debt strategy'!$D$12,2&lt;3))),1,0),IF(AND(AA77+AB77-AC77&gt;0,OR('Debt strategy'!$D$13&gt;'Debt strategy'!$D$12,AND('Debt strategy'!$D$13='Debt strategy'!$D$12,4&lt;3))),1,0)))</x:f>
        <x:v>99</x:v>
      </x:c>
      <x:c r="Y77" s="6" t="n">
        <x:f>IF('Debt strategy'!$C$16&gt;0,0,MIN(U77+V77-W77,MAX(0,'Debt strategy'!$C$5-SUM(E77,K77,Q77,W77,AC77)-SUM(IF(F77&lt;X77,C77+D77-E77,0),IF(L77&lt;X77,I77+J77-K77,0),IF(R77&lt;X77,O77+P77-Q77,0),IF(AD77&lt;X77,AA77+AB77-AC77,0)))))</x:f>
        <x:v>0</x:v>
      </x:c>
      <x:c r="Z77" s="6" t="n">
        <x:f>ROUND(MAX(0,U77+V77-W77-Y77),2)</x:f>
        <x:v>0</x:v>
      </x:c>
      <x:c r="AA77" s="6" t="n">
        <x:f>AF76</x:f>
        <x:v>0</x:v>
      </x:c>
      <x:c r="AB77" s="6" t="n">
        <x:f>ROUND(AA77*'Debt strategy'!$D$13/12,2)</x:f>
        <x:v>0</x:v>
      </x:c>
      <x:c r="AC77" s="6" t="n">
        <x:f>MIN(AA77+AB77,'Debt strategy'!$E$13)</x:f>
        <x:v>0</x:v>
      </x:c>
      <x:c r="AD77" s="27" t="n">
        <x:f>IF(AA77+AB77-AC77&lt;=0,99,1+SUM(IF(AND(C77+D77-E77&gt;0,OR('Debt strategy'!$D$9&gt;'Debt strategy'!$D$13,AND('Debt strategy'!$D$9='Debt strategy'!$D$13,0&lt;4))),1,0),IF(AND(I77+J77-K77&gt;0,OR('Debt strategy'!$D$10&gt;'Debt strategy'!$D$13,AND('Debt strategy'!$D$10='Debt strategy'!$D$13,1&lt;4))),1,0),IF(AND(O77+P77-Q77&gt;0,OR('Debt strategy'!$D$11&gt;'Debt strategy'!$D$13,AND('Debt strategy'!$D$11='Debt strategy'!$D$13,2&lt;4))),1,0),IF(AND(U77+V77-W77&gt;0,OR('Debt strategy'!$D$12&gt;'Debt strategy'!$D$13,AND('Debt strategy'!$D$12='Debt strategy'!$D$13,3&lt;4))),1,0)))</x:f>
        <x:v>99</x:v>
      </x:c>
      <x:c r="AE77" s="6" t="n">
        <x:f>IF('Debt strategy'!$C$16&gt;0,0,MIN(AA77+AB77-AC77,MAX(0,'Debt strategy'!$C$5-SUM(E77,K77,Q77,W77,AC77)-SUM(IF(F77&lt;AD77,C77+D77-E77,0),IF(L77&lt;AD77,I77+J77-K77,0),IF(R77&lt;AD77,O77+P77-Q77,0),IF(X77&lt;AD77,U77+V77-W77,0)))))</x:f>
        <x:v>0</x:v>
      </x:c>
      <x:c r="AF77" s="6" t="n">
        <x:f>ROUND(MAX(0,AA77+AB77-AC77-AE77),2)</x:f>
        <x:v>0</x:v>
      </x:c>
      <x:c r="AG77" s="6" t="n">
        <x:f>SUM(H77,N77,T77,Z77,AF77)</x:f>
        <x:v>0</x:v>
      </x:c>
      <x:c r="AH77" s="6" t="n">
        <x:f>SUM(D77,J77,P77,V77,AB77)+AH76</x:f>
        <x:v>1220.8400000000001</x:v>
      </x:c>
      <x:c r="AI77" s="2"/>
    </x:row>
    <x:row r="78" ht="23" customHeight="1">
      <x:c r="B78" s="2" t="n">
        <x:f>70</x:f>
        <x:v>70</x:v>
      </x:c>
      <x:c r="C78" s="6" t="n">
        <x:f>H77</x:f>
        <x:v>0</x:v>
      </x:c>
      <x:c r="D78" s="6" t="n">
        <x:f>ROUND(C78*'Debt strategy'!$D$9/12,2)</x:f>
        <x:v>0</x:v>
      </x:c>
      <x:c r="E78" s="6" t="n">
        <x:f>MIN(C78+D78,'Debt strategy'!$E$9)</x:f>
        <x:v>0</x:v>
      </x:c>
      <x:c r="F78" s="27" t="n">
        <x:f>IF(C78+D78-E78&lt;=0,99,1+SUM(IF(AND(I78+J78-K78&gt;0,OR('Debt strategy'!$D$10&gt;'Debt strategy'!$D$9,AND('Debt strategy'!$D$10='Debt strategy'!$D$9,1&lt;0))),1,0),IF(AND(O78+P78-Q78&gt;0,OR('Debt strategy'!$D$11&gt;'Debt strategy'!$D$9,AND('Debt strategy'!$D$11='Debt strategy'!$D$9,2&lt;0))),1,0),IF(AND(U78+V78-W78&gt;0,OR('Debt strategy'!$D$12&gt;'Debt strategy'!$D$9,AND('Debt strategy'!$D$12='Debt strategy'!$D$9,3&lt;0))),1,0),IF(AND(AA78+AB78-AC78&gt;0,OR('Debt strategy'!$D$13&gt;'Debt strategy'!$D$9,AND('Debt strategy'!$D$13='Debt strategy'!$D$9,4&lt;0))),1,0)))</x:f>
        <x:v>99</x:v>
      </x:c>
      <x:c r="G78" s="6" t="n">
        <x:f>IF('Debt strategy'!$C$16&gt;0,0,MIN(C78+D78-E78,MAX(0,'Debt strategy'!$C$5-SUM(E78,K78,Q78,W78,AC78)-SUM(IF(L78&lt;F78,I78+J78-K78,0),IF(R78&lt;F78,O78+P78-Q78,0),IF(X78&lt;F78,U78+V78-W78,0),IF(AD78&lt;F78,AA78+AB78-AC78,0)))))</x:f>
        <x:v>0</x:v>
      </x:c>
      <x:c r="H78" s="6" t="n">
        <x:f>ROUND(MAX(0,C78+D78-E78-G78),2)</x:f>
        <x:v>0</x:v>
      </x:c>
      <x:c r="I78" s="6" t="n">
        <x:f>N77</x:f>
        <x:v>0</x:v>
      </x:c>
      <x:c r="J78" s="6" t="n">
        <x:f>ROUND(I78*'Debt strategy'!$D$10/12,2)</x:f>
        <x:v>0</x:v>
      </x:c>
      <x:c r="K78" s="6" t="n">
        <x:f>MIN(I78+J78,'Debt strategy'!$E$10)</x:f>
        <x:v>0</x:v>
      </x:c>
      <x:c r="L78" s="27" t="n">
        <x:f>IF(I78+J78-K78&lt;=0,99,1+SUM(IF(AND(C78+D78-E78&gt;0,OR('Debt strategy'!$D$9&gt;'Debt strategy'!$D$10,AND('Debt strategy'!$D$9='Debt strategy'!$D$10,0&lt;1))),1,0),IF(AND(O78+P78-Q78&gt;0,OR('Debt strategy'!$D$11&gt;'Debt strategy'!$D$10,AND('Debt strategy'!$D$11='Debt strategy'!$D$10,2&lt;1))),1,0),IF(AND(U78+V78-W78&gt;0,OR('Debt strategy'!$D$12&gt;'Debt strategy'!$D$10,AND('Debt strategy'!$D$12='Debt strategy'!$D$10,3&lt;1))),1,0),IF(AND(AA78+AB78-AC78&gt;0,OR('Debt strategy'!$D$13&gt;'Debt strategy'!$D$10,AND('Debt strategy'!$D$13='Debt strategy'!$D$10,4&lt;1))),1,0)))</x:f>
        <x:v>99</x:v>
      </x:c>
      <x:c r="M78" s="6" t="n">
        <x:f>IF('Debt strategy'!$C$16&gt;0,0,MIN(I78+J78-K78,MAX(0,'Debt strategy'!$C$5-SUM(E78,K78,Q78,W78,AC78)-SUM(IF(F78&lt;L78,C78+D78-E78,0),IF(R78&lt;L78,O78+P78-Q78,0),IF(X78&lt;L78,U78+V78-W78,0),IF(AD78&lt;L78,AA78+AB78-AC78,0)))))</x:f>
        <x:v>0</x:v>
      </x:c>
      <x:c r="N78" s="6" t="n">
        <x:f>ROUND(MAX(0,I78+J78-K78-M78),2)</x:f>
        <x:v>0</x:v>
      </x:c>
      <x:c r="O78" s="6" t="n">
        <x:f>T77</x:f>
        <x:v>0</x:v>
      </x:c>
      <x:c r="P78" s="6" t="n">
        <x:f>ROUND(O78*'Debt strategy'!$D$11/12,2)</x:f>
        <x:v>0</x:v>
      </x:c>
      <x:c r="Q78" s="6" t="n">
        <x:f>MIN(O78+P78,'Debt strategy'!$E$11)</x:f>
        <x:v>0</x:v>
      </x:c>
      <x:c r="R78" s="27" t="n">
        <x:f>IF(O78+P78-Q78&lt;=0,99,1+SUM(IF(AND(C78+D78-E78&gt;0,OR('Debt strategy'!$D$9&gt;'Debt strategy'!$D$11,AND('Debt strategy'!$D$9='Debt strategy'!$D$11,0&lt;2))),1,0),IF(AND(I78+J78-K78&gt;0,OR('Debt strategy'!$D$10&gt;'Debt strategy'!$D$11,AND('Debt strategy'!$D$10='Debt strategy'!$D$11,1&lt;2))),1,0),IF(AND(U78+V78-W78&gt;0,OR('Debt strategy'!$D$12&gt;'Debt strategy'!$D$11,AND('Debt strategy'!$D$12='Debt strategy'!$D$11,3&lt;2))),1,0),IF(AND(AA78+AB78-AC78&gt;0,OR('Debt strategy'!$D$13&gt;'Debt strategy'!$D$11,AND('Debt strategy'!$D$13='Debt strategy'!$D$11,4&lt;2))),1,0)))</x:f>
        <x:v>99</x:v>
      </x:c>
      <x:c r="S78" s="6" t="n">
        <x:f>IF('Debt strategy'!$C$16&gt;0,0,MIN(O78+P78-Q78,MAX(0,'Debt strategy'!$C$5-SUM(E78,K78,Q78,W78,AC78)-SUM(IF(F78&lt;R78,C78+D78-E78,0),IF(L78&lt;R78,I78+J78-K78,0),IF(X78&lt;R78,U78+V78-W78,0),IF(AD78&lt;R78,AA78+AB78-AC78,0)))))</x:f>
        <x:v>0</x:v>
      </x:c>
      <x:c r="T78" s="6" t="n">
        <x:f>ROUND(MAX(0,O78+P78-Q78-S78),2)</x:f>
        <x:v>0</x:v>
      </x:c>
      <x:c r="U78" s="6" t="n">
        <x:f>Z77</x:f>
        <x:v>0</x:v>
      </x:c>
      <x:c r="V78" s="6" t="n">
        <x:f>ROUND(U78*'Debt strategy'!$D$12/12,2)</x:f>
        <x:v>0</x:v>
      </x:c>
      <x:c r="W78" s="6" t="n">
        <x:f>MIN(U78+V78,'Debt strategy'!$E$12)</x:f>
        <x:v>0</x:v>
      </x:c>
      <x:c r="X78" s="27" t="n">
        <x:f>IF(U78+V78-W78&lt;=0,99,1+SUM(IF(AND(C78+D78-E78&gt;0,OR('Debt strategy'!$D$9&gt;'Debt strategy'!$D$12,AND('Debt strategy'!$D$9='Debt strategy'!$D$12,0&lt;3))),1,0),IF(AND(I78+J78-K78&gt;0,OR('Debt strategy'!$D$10&gt;'Debt strategy'!$D$12,AND('Debt strategy'!$D$10='Debt strategy'!$D$12,1&lt;3))),1,0),IF(AND(O78+P78-Q78&gt;0,OR('Debt strategy'!$D$11&gt;'Debt strategy'!$D$12,AND('Debt strategy'!$D$11='Debt strategy'!$D$12,2&lt;3))),1,0),IF(AND(AA78+AB78-AC78&gt;0,OR('Debt strategy'!$D$13&gt;'Debt strategy'!$D$12,AND('Debt strategy'!$D$13='Debt strategy'!$D$12,4&lt;3))),1,0)))</x:f>
        <x:v>99</x:v>
      </x:c>
      <x:c r="Y78" s="6" t="n">
        <x:f>IF('Debt strategy'!$C$16&gt;0,0,MIN(U78+V78-W78,MAX(0,'Debt strategy'!$C$5-SUM(E78,K78,Q78,W78,AC78)-SUM(IF(F78&lt;X78,C78+D78-E78,0),IF(L78&lt;X78,I78+J78-K78,0),IF(R78&lt;X78,O78+P78-Q78,0),IF(AD78&lt;X78,AA78+AB78-AC78,0)))))</x:f>
        <x:v>0</x:v>
      </x:c>
      <x:c r="Z78" s="6" t="n">
        <x:f>ROUND(MAX(0,U78+V78-W78-Y78),2)</x:f>
        <x:v>0</x:v>
      </x:c>
      <x:c r="AA78" s="6" t="n">
        <x:f>AF77</x:f>
        <x:v>0</x:v>
      </x:c>
      <x:c r="AB78" s="6" t="n">
        <x:f>ROUND(AA78*'Debt strategy'!$D$13/12,2)</x:f>
        <x:v>0</x:v>
      </x:c>
      <x:c r="AC78" s="6" t="n">
        <x:f>MIN(AA78+AB78,'Debt strategy'!$E$13)</x:f>
        <x:v>0</x:v>
      </x:c>
      <x:c r="AD78" s="27" t="n">
        <x:f>IF(AA78+AB78-AC78&lt;=0,99,1+SUM(IF(AND(C78+D78-E78&gt;0,OR('Debt strategy'!$D$9&gt;'Debt strategy'!$D$13,AND('Debt strategy'!$D$9='Debt strategy'!$D$13,0&lt;4))),1,0),IF(AND(I78+J78-K78&gt;0,OR('Debt strategy'!$D$10&gt;'Debt strategy'!$D$13,AND('Debt strategy'!$D$10='Debt strategy'!$D$13,1&lt;4))),1,0),IF(AND(O78+P78-Q78&gt;0,OR('Debt strategy'!$D$11&gt;'Debt strategy'!$D$13,AND('Debt strategy'!$D$11='Debt strategy'!$D$13,2&lt;4))),1,0),IF(AND(U78+V78-W78&gt;0,OR('Debt strategy'!$D$12&gt;'Debt strategy'!$D$13,AND('Debt strategy'!$D$12='Debt strategy'!$D$13,3&lt;4))),1,0)))</x:f>
        <x:v>99</x:v>
      </x:c>
      <x:c r="AE78" s="6" t="n">
        <x:f>IF('Debt strategy'!$C$16&gt;0,0,MIN(AA78+AB78-AC78,MAX(0,'Debt strategy'!$C$5-SUM(E78,K78,Q78,W78,AC78)-SUM(IF(F78&lt;AD78,C78+D78-E78,0),IF(L78&lt;AD78,I78+J78-K78,0),IF(R78&lt;AD78,O78+P78-Q78,0),IF(X78&lt;AD78,U78+V78-W78,0)))))</x:f>
        <x:v>0</x:v>
      </x:c>
      <x:c r="AF78" s="6" t="n">
        <x:f>ROUND(MAX(0,AA78+AB78-AC78-AE78),2)</x:f>
        <x:v>0</x:v>
      </x:c>
      <x:c r="AG78" s="6" t="n">
        <x:f>SUM(H78,N78,T78,Z78,AF78)</x:f>
        <x:v>0</x:v>
      </x:c>
      <x:c r="AH78" s="6" t="n">
        <x:f>SUM(D78,J78,P78,V78,AB78)+AH77</x:f>
        <x:v>1220.8400000000001</x:v>
      </x:c>
      <x:c r="AI78" s="2"/>
    </x:row>
    <x:row r="79" ht="23" customHeight="1">
      <x:c r="B79" s="2" t="n">
        <x:f>71</x:f>
        <x:v>71</x:v>
      </x:c>
      <x:c r="C79" s="6" t="n">
        <x:f>H78</x:f>
        <x:v>0</x:v>
      </x:c>
      <x:c r="D79" s="6" t="n">
        <x:f>ROUND(C79*'Debt strategy'!$D$9/12,2)</x:f>
        <x:v>0</x:v>
      </x:c>
      <x:c r="E79" s="6" t="n">
        <x:f>MIN(C79+D79,'Debt strategy'!$E$9)</x:f>
        <x:v>0</x:v>
      </x:c>
      <x:c r="F79" s="27" t="n">
        <x:f>IF(C79+D79-E79&lt;=0,99,1+SUM(IF(AND(I79+J79-K79&gt;0,OR('Debt strategy'!$D$10&gt;'Debt strategy'!$D$9,AND('Debt strategy'!$D$10='Debt strategy'!$D$9,1&lt;0))),1,0),IF(AND(O79+P79-Q79&gt;0,OR('Debt strategy'!$D$11&gt;'Debt strategy'!$D$9,AND('Debt strategy'!$D$11='Debt strategy'!$D$9,2&lt;0))),1,0),IF(AND(U79+V79-W79&gt;0,OR('Debt strategy'!$D$12&gt;'Debt strategy'!$D$9,AND('Debt strategy'!$D$12='Debt strategy'!$D$9,3&lt;0))),1,0),IF(AND(AA79+AB79-AC79&gt;0,OR('Debt strategy'!$D$13&gt;'Debt strategy'!$D$9,AND('Debt strategy'!$D$13='Debt strategy'!$D$9,4&lt;0))),1,0)))</x:f>
        <x:v>99</x:v>
      </x:c>
      <x:c r="G79" s="6" t="n">
        <x:f>IF('Debt strategy'!$C$16&gt;0,0,MIN(C79+D79-E79,MAX(0,'Debt strategy'!$C$5-SUM(E79,K79,Q79,W79,AC79)-SUM(IF(L79&lt;F79,I79+J79-K79,0),IF(R79&lt;F79,O79+P79-Q79,0),IF(X79&lt;F79,U79+V79-W79,0),IF(AD79&lt;F79,AA79+AB79-AC79,0)))))</x:f>
        <x:v>0</x:v>
      </x:c>
      <x:c r="H79" s="6" t="n">
        <x:f>ROUND(MAX(0,C79+D79-E79-G79),2)</x:f>
        <x:v>0</x:v>
      </x:c>
      <x:c r="I79" s="6" t="n">
        <x:f>N78</x:f>
        <x:v>0</x:v>
      </x:c>
      <x:c r="J79" s="6" t="n">
        <x:f>ROUND(I79*'Debt strategy'!$D$10/12,2)</x:f>
        <x:v>0</x:v>
      </x:c>
      <x:c r="K79" s="6" t="n">
        <x:f>MIN(I79+J79,'Debt strategy'!$E$10)</x:f>
        <x:v>0</x:v>
      </x:c>
      <x:c r="L79" s="27" t="n">
        <x:f>IF(I79+J79-K79&lt;=0,99,1+SUM(IF(AND(C79+D79-E79&gt;0,OR('Debt strategy'!$D$9&gt;'Debt strategy'!$D$10,AND('Debt strategy'!$D$9='Debt strategy'!$D$10,0&lt;1))),1,0),IF(AND(O79+P79-Q79&gt;0,OR('Debt strategy'!$D$11&gt;'Debt strategy'!$D$10,AND('Debt strategy'!$D$11='Debt strategy'!$D$10,2&lt;1))),1,0),IF(AND(U79+V79-W79&gt;0,OR('Debt strategy'!$D$12&gt;'Debt strategy'!$D$10,AND('Debt strategy'!$D$12='Debt strategy'!$D$10,3&lt;1))),1,0),IF(AND(AA79+AB79-AC79&gt;0,OR('Debt strategy'!$D$13&gt;'Debt strategy'!$D$10,AND('Debt strategy'!$D$13='Debt strategy'!$D$10,4&lt;1))),1,0)))</x:f>
        <x:v>99</x:v>
      </x:c>
      <x:c r="M79" s="6" t="n">
        <x:f>IF('Debt strategy'!$C$16&gt;0,0,MIN(I79+J79-K79,MAX(0,'Debt strategy'!$C$5-SUM(E79,K79,Q79,W79,AC79)-SUM(IF(F79&lt;L79,C79+D79-E79,0),IF(R79&lt;L79,O79+P79-Q79,0),IF(X79&lt;L79,U79+V79-W79,0),IF(AD79&lt;L79,AA79+AB79-AC79,0)))))</x:f>
        <x:v>0</x:v>
      </x:c>
      <x:c r="N79" s="6" t="n">
        <x:f>ROUND(MAX(0,I79+J79-K79-M79),2)</x:f>
        <x:v>0</x:v>
      </x:c>
      <x:c r="O79" s="6" t="n">
        <x:f>T78</x:f>
        <x:v>0</x:v>
      </x:c>
      <x:c r="P79" s="6" t="n">
        <x:f>ROUND(O79*'Debt strategy'!$D$11/12,2)</x:f>
        <x:v>0</x:v>
      </x:c>
      <x:c r="Q79" s="6" t="n">
        <x:f>MIN(O79+P79,'Debt strategy'!$E$11)</x:f>
        <x:v>0</x:v>
      </x:c>
      <x:c r="R79" s="27" t="n">
        <x:f>IF(O79+P79-Q79&lt;=0,99,1+SUM(IF(AND(C79+D79-E79&gt;0,OR('Debt strategy'!$D$9&gt;'Debt strategy'!$D$11,AND('Debt strategy'!$D$9='Debt strategy'!$D$11,0&lt;2))),1,0),IF(AND(I79+J79-K79&gt;0,OR('Debt strategy'!$D$10&gt;'Debt strategy'!$D$11,AND('Debt strategy'!$D$10='Debt strategy'!$D$11,1&lt;2))),1,0),IF(AND(U79+V79-W79&gt;0,OR('Debt strategy'!$D$12&gt;'Debt strategy'!$D$11,AND('Debt strategy'!$D$12='Debt strategy'!$D$11,3&lt;2))),1,0),IF(AND(AA79+AB79-AC79&gt;0,OR('Debt strategy'!$D$13&gt;'Debt strategy'!$D$11,AND('Debt strategy'!$D$13='Debt strategy'!$D$11,4&lt;2))),1,0)))</x:f>
        <x:v>99</x:v>
      </x:c>
      <x:c r="S79" s="6" t="n">
        <x:f>IF('Debt strategy'!$C$16&gt;0,0,MIN(O79+P79-Q79,MAX(0,'Debt strategy'!$C$5-SUM(E79,K79,Q79,W79,AC79)-SUM(IF(F79&lt;R79,C79+D79-E79,0),IF(L79&lt;R79,I79+J79-K79,0),IF(X79&lt;R79,U79+V79-W79,0),IF(AD79&lt;R79,AA79+AB79-AC79,0)))))</x:f>
        <x:v>0</x:v>
      </x:c>
      <x:c r="T79" s="6" t="n">
        <x:f>ROUND(MAX(0,O79+P79-Q79-S79),2)</x:f>
        <x:v>0</x:v>
      </x:c>
      <x:c r="U79" s="6" t="n">
        <x:f>Z78</x:f>
        <x:v>0</x:v>
      </x:c>
      <x:c r="V79" s="6" t="n">
        <x:f>ROUND(U79*'Debt strategy'!$D$12/12,2)</x:f>
        <x:v>0</x:v>
      </x:c>
      <x:c r="W79" s="6" t="n">
        <x:f>MIN(U79+V79,'Debt strategy'!$E$12)</x:f>
        <x:v>0</x:v>
      </x:c>
      <x:c r="X79" s="27" t="n">
        <x:f>IF(U79+V79-W79&lt;=0,99,1+SUM(IF(AND(C79+D79-E79&gt;0,OR('Debt strategy'!$D$9&gt;'Debt strategy'!$D$12,AND('Debt strategy'!$D$9='Debt strategy'!$D$12,0&lt;3))),1,0),IF(AND(I79+J79-K79&gt;0,OR('Debt strategy'!$D$10&gt;'Debt strategy'!$D$12,AND('Debt strategy'!$D$10='Debt strategy'!$D$12,1&lt;3))),1,0),IF(AND(O79+P79-Q79&gt;0,OR('Debt strategy'!$D$11&gt;'Debt strategy'!$D$12,AND('Debt strategy'!$D$11='Debt strategy'!$D$12,2&lt;3))),1,0),IF(AND(AA79+AB79-AC79&gt;0,OR('Debt strategy'!$D$13&gt;'Debt strategy'!$D$12,AND('Debt strategy'!$D$13='Debt strategy'!$D$12,4&lt;3))),1,0)))</x:f>
        <x:v>99</x:v>
      </x:c>
      <x:c r="Y79" s="6" t="n">
        <x:f>IF('Debt strategy'!$C$16&gt;0,0,MIN(U79+V79-W79,MAX(0,'Debt strategy'!$C$5-SUM(E79,K79,Q79,W79,AC79)-SUM(IF(F79&lt;X79,C79+D79-E79,0),IF(L79&lt;X79,I79+J79-K79,0),IF(R79&lt;X79,O79+P79-Q79,0),IF(AD79&lt;X79,AA79+AB79-AC79,0)))))</x:f>
        <x:v>0</x:v>
      </x:c>
      <x:c r="Z79" s="6" t="n">
        <x:f>ROUND(MAX(0,U79+V79-W79-Y79),2)</x:f>
        <x:v>0</x:v>
      </x:c>
      <x:c r="AA79" s="6" t="n">
        <x:f>AF78</x:f>
        <x:v>0</x:v>
      </x:c>
      <x:c r="AB79" s="6" t="n">
        <x:f>ROUND(AA79*'Debt strategy'!$D$13/12,2)</x:f>
        <x:v>0</x:v>
      </x:c>
      <x:c r="AC79" s="6" t="n">
        <x:f>MIN(AA79+AB79,'Debt strategy'!$E$13)</x:f>
        <x:v>0</x:v>
      </x:c>
      <x:c r="AD79" s="27" t="n">
        <x:f>IF(AA79+AB79-AC79&lt;=0,99,1+SUM(IF(AND(C79+D79-E79&gt;0,OR('Debt strategy'!$D$9&gt;'Debt strategy'!$D$13,AND('Debt strategy'!$D$9='Debt strategy'!$D$13,0&lt;4))),1,0),IF(AND(I79+J79-K79&gt;0,OR('Debt strategy'!$D$10&gt;'Debt strategy'!$D$13,AND('Debt strategy'!$D$10='Debt strategy'!$D$13,1&lt;4))),1,0),IF(AND(O79+P79-Q79&gt;0,OR('Debt strategy'!$D$11&gt;'Debt strategy'!$D$13,AND('Debt strategy'!$D$11='Debt strategy'!$D$13,2&lt;4))),1,0),IF(AND(U79+V79-W79&gt;0,OR('Debt strategy'!$D$12&gt;'Debt strategy'!$D$13,AND('Debt strategy'!$D$12='Debt strategy'!$D$13,3&lt;4))),1,0)))</x:f>
        <x:v>99</x:v>
      </x:c>
      <x:c r="AE79" s="6" t="n">
        <x:f>IF('Debt strategy'!$C$16&gt;0,0,MIN(AA79+AB79-AC79,MAX(0,'Debt strategy'!$C$5-SUM(E79,K79,Q79,W79,AC79)-SUM(IF(F79&lt;AD79,C79+D79-E79,0),IF(L79&lt;AD79,I79+J79-K79,0),IF(R79&lt;AD79,O79+P79-Q79,0),IF(X79&lt;AD79,U79+V79-W79,0)))))</x:f>
        <x:v>0</x:v>
      </x:c>
      <x:c r="AF79" s="6" t="n">
        <x:f>ROUND(MAX(0,AA79+AB79-AC79-AE79),2)</x:f>
        <x:v>0</x:v>
      </x:c>
      <x:c r="AG79" s="6" t="n">
        <x:f>SUM(H79,N79,T79,Z79,AF79)</x:f>
        <x:v>0</x:v>
      </x:c>
      <x:c r="AH79" s="6" t="n">
        <x:f>SUM(D79,J79,P79,V79,AB79)+AH78</x:f>
        <x:v>1220.8400000000001</x:v>
      </x:c>
      <x:c r="AI79" s="2"/>
    </x:row>
    <x:row r="80" ht="23" customHeight="1">
      <x:c r="B80" s="2" t="n">
        <x:f>72</x:f>
        <x:v>72</x:v>
      </x:c>
      <x:c r="C80" s="6" t="n">
        <x:f>H79</x:f>
        <x:v>0</x:v>
      </x:c>
      <x:c r="D80" s="6" t="n">
        <x:f>ROUND(C80*'Debt strategy'!$D$9/12,2)</x:f>
        <x:v>0</x:v>
      </x:c>
      <x:c r="E80" s="6" t="n">
        <x:f>MIN(C80+D80,'Debt strategy'!$E$9)</x:f>
        <x:v>0</x:v>
      </x:c>
      <x:c r="F80" s="27" t="n">
        <x:f>IF(C80+D80-E80&lt;=0,99,1+SUM(IF(AND(I80+J80-K80&gt;0,OR('Debt strategy'!$D$10&gt;'Debt strategy'!$D$9,AND('Debt strategy'!$D$10='Debt strategy'!$D$9,1&lt;0))),1,0),IF(AND(O80+P80-Q80&gt;0,OR('Debt strategy'!$D$11&gt;'Debt strategy'!$D$9,AND('Debt strategy'!$D$11='Debt strategy'!$D$9,2&lt;0))),1,0),IF(AND(U80+V80-W80&gt;0,OR('Debt strategy'!$D$12&gt;'Debt strategy'!$D$9,AND('Debt strategy'!$D$12='Debt strategy'!$D$9,3&lt;0))),1,0),IF(AND(AA80+AB80-AC80&gt;0,OR('Debt strategy'!$D$13&gt;'Debt strategy'!$D$9,AND('Debt strategy'!$D$13='Debt strategy'!$D$9,4&lt;0))),1,0)))</x:f>
        <x:v>99</x:v>
      </x:c>
      <x:c r="G80" s="6" t="n">
        <x:f>IF('Debt strategy'!$C$16&gt;0,0,MIN(C80+D80-E80,MAX(0,'Debt strategy'!$C$5-SUM(E80,K80,Q80,W80,AC80)-SUM(IF(L80&lt;F80,I80+J80-K80,0),IF(R80&lt;F80,O80+P80-Q80,0),IF(X80&lt;F80,U80+V80-W80,0),IF(AD80&lt;F80,AA80+AB80-AC80,0)))))</x:f>
        <x:v>0</x:v>
      </x:c>
      <x:c r="H80" s="6" t="n">
        <x:f>ROUND(MAX(0,C80+D80-E80-G80),2)</x:f>
        <x:v>0</x:v>
      </x:c>
      <x:c r="I80" s="6" t="n">
        <x:f>N79</x:f>
        <x:v>0</x:v>
      </x:c>
      <x:c r="J80" s="6" t="n">
        <x:f>ROUND(I80*'Debt strategy'!$D$10/12,2)</x:f>
        <x:v>0</x:v>
      </x:c>
      <x:c r="K80" s="6" t="n">
        <x:f>MIN(I80+J80,'Debt strategy'!$E$10)</x:f>
        <x:v>0</x:v>
      </x:c>
      <x:c r="L80" s="27" t="n">
        <x:f>IF(I80+J80-K80&lt;=0,99,1+SUM(IF(AND(C80+D80-E80&gt;0,OR('Debt strategy'!$D$9&gt;'Debt strategy'!$D$10,AND('Debt strategy'!$D$9='Debt strategy'!$D$10,0&lt;1))),1,0),IF(AND(O80+P80-Q80&gt;0,OR('Debt strategy'!$D$11&gt;'Debt strategy'!$D$10,AND('Debt strategy'!$D$11='Debt strategy'!$D$10,2&lt;1))),1,0),IF(AND(U80+V80-W80&gt;0,OR('Debt strategy'!$D$12&gt;'Debt strategy'!$D$10,AND('Debt strategy'!$D$12='Debt strategy'!$D$10,3&lt;1))),1,0),IF(AND(AA80+AB80-AC80&gt;0,OR('Debt strategy'!$D$13&gt;'Debt strategy'!$D$10,AND('Debt strategy'!$D$13='Debt strategy'!$D$10,4&lt;1))),1,0)))</x:f>
        <x:v>99</x:v>
      </x:c>
      <x:c r="M80" s="6" t="n">
        <x:f>IF('Debt strategy'!$C$16&gt;0,0,MIN(I80+J80-K80,MAX(0,'Debt strategy'!$C$5-SUM(E80,K80,Q80,W80,AC80)-SUM(IF(F80&lt;L80,C80+D80-E80,0),IF(R80&lt;L80,O80+P80-Q80,0),IF(X80&lt;L80,U80+V80-W80,0),IF(AD80&lt;L80,AA80+AB80-AC80,0)))))</x:f>
        <x:v>0</x:v>
      </x:c>
      <x:c r="N80" s="6" t="n">
        <x:f>ROUND(MAX(0,I80+J80-K80-M80),2)</x:f>
        <x:v>0</x:v>
      </x:c>
      <x:c r="O80" s="6" t="n">
        <x:f>T79</x:f>
        <x:v>0</x:v>
      </x:c>
      <x:c r="P80" s="6" t="n">
        <x:f>ROUND(O80*'Debt strategy'!$D$11/12,2)</x:f>
        <x:v>0</x:v>
      </x:c>
      <x:c r="Q80" s="6" t="n">
        <x:f>MIN(O80+P80,'Debt strategy'!$E$11)</x:f>
        <x:v>0</x:v>
      </x:c>
      <x:c r="R80" s="27" t="n">
        <x:f>IF(O80+P80-Q80&lt;=0,99,1+SUM(IF(AND(C80+D80-E80&gt;0,OR('Debt strategy'!$D$9&gt;'Debt strategy'!$D$11,AND('Debt strategy'!$D$9='Debt strategy'!$D$11,0&lt;2))),1,0),IF(AND(I80+J80-K80&gt;0,OR('Debt strategy'!$D$10&gt;'Debt strategy'!$D$11,AND('Debt strategy'!$D$10='Debt strategy'!$D$11,1&lt;2))),1,0),IF(AND(U80+V80-W80&gt;0,OR('Debt strategy'!$D$12&gt;'Debt strategy'!$D$11,AND('Debt strategy'!$D$12='Debt strategy'!$D$11,3&lt;2))),1,0),IF(AND(AA80+AB80-AC80&gt;0,OR('Debt strategy'!$D$13&gt;'Debt strategy'!$D$11,AND('Debt strategy'!$D$13='Debt strategy'!$D$11,4&lt;2))),1,0)))</x:f>
        <x:v>99</x:v>
      </x:c>
      <x:c r="S80" s="6" t="n">
        <x:f>IF('Debt strategy'!$C$16&gt;0,0,MIN(O80+P80-Q80,MAX(0,'Debt strategy'!$C$5-SUM(E80,K80,Q80,W80,AC80)-SUM(IF(F80&lt;R80,C80+D80-E80,0),IF(L80&lt;R80,I80+J80-K80,0),IF(X80&lt;R80,U80+V80-W80,0),IF(AD80&lt;R80,AA80+AB80-AC80,0)))))</x:f>
        <x:v>0</x:v>
      </x:c>
      <x:c r="T80" s="6" t="n">
        <x:f>ROUND(MAX(0,O80+P80-Q80-S80),2)</x:f>
        <x:v>0</x:v>
      </x:c>
      <x:c r="U80" s="6" t="n">
        <x:f>Z79</x:f>
        <x:v>0</x:v>
      </x:c>
      <x:c r="V80" s="6" t="n">
        <x:f>ROUND(U80*'Debt strategy'!$D$12/12,2)</x:f>
        <x:v>0</x:v>
      </x:c>
      <x:c r="W80" s="6" t="n">
        <x:f>MIN(U80+V80,'Debt strategy'!$E$12)</x:f>
        <x:v>0</x:v>
      </x:c>
      <x:c r="X80" s="27" t="n">
        <x:f>IF(U80+V80-W80&lt;=0,99,1+SUM(IF(AND(C80+D80-E80&gt;0,OR('Debt strategy'!$D$9&gt;'Debt strategy'!$D$12,AND('Debt strategy'!$D$9='Debt strategy'!$D$12,0&lt;3))),1,0),IF(AND(I80+J80-K80&gt;0,OR('Debt strategy'!$D$10&gt;'Debt strategy'!$D$12,AND('Debt strategy'!$D$10='Debt strategy'!$D$12,1&lt;3))),1,0),IF(AND(O80+P80-Q80&gt;0,OR('Debt strategy'!$D$11&gt;'Debt strategy'!$D$12,AND('Debt strategy'!$D$11='Debt strategy'!$D$12,2&lt;3))),1,0),IF(AND(AA80+AB80-AC80&gt;0,OR('Debt strategy'!$D$13&gt;'Debt strategy'!$D$12,AND('Debt strategy'!$D$13='Debt strategy'!$D$12,4&lt;3))),1,0)))</x:f>
        <x:v>99</x:v>
      </x:c>
      <x:c r="Y80" s="6" t="n">
        <x:f>IF('Debt strategy'!$C$16&gt;0,0,MIN(U80+V80-W80,MAX(0,'Debt strategy'!$C$5-SUM(E80,K80,Q80,W80,AC80)-SUM(IF(F80&lt;X80,C80+D80-E80,0),IF(L80&lt;X80,I80+J80-K80,0),IF(R80&lt;X80,O80+P80-Q80,0),IF(AD80&lt;X80,AA80+AB80-AC80,0)))))</x:f>
        <x:v>0</x:v>
      </x:c>
      <x:c r="Z80" s="6" t="n">
        <x:f>ROUND(MAX(0,U80+V80-W80-Y80),2)</x:f>
        <x:v>0</x:v>
      </x:c>
      <x:c r="AA80" s="6" t="n">
        <x:f>AF79</x:f>
        <x:v>0</x:v>
      </x:c>
      <x:c r="AB80" s="6" t="n">
        <x:f>ROUND(AA80*'Debt strategy'!$D$13/12,2)</x:f>
        <x:v>0</x:v>
      </x:c>
      <x:c r="AC80" s="6" t="n">
        <x:f>MIN(AA80+AB80,'Debt strategy'!$E$13)</x:f>
        <x:v>0</x:v>
      </x:c>
      <x:c r="AD80" s="27" t="n">
        <x:f>IF(AA80+AB80-AC80&lt;=0,99,1+SUM(IF(AND(C80+D80-E80&gt;0,OR('Debt strategy'!$D$9&gt;'Debt strategy'!$D$13,AND('Debt strategy'!$D$9='Debt strategy'!$D$13,0&lt;4))),1,0),IF(AND(I80+J80-K80&gt;0,OR('Debt strategy'!$D$10&gt;'Debt strategy'!$D$13,AND('Debt strategy'!$D$10='Debt strategy'!$D$13,1&lt;4))),1,0),IF(AND(O80+P80-Q80&gt;0,OR('Debt strategy'!$D$11&gt;'Debt strategy'!$D$13,AND('Debt strategy'!$D$11='Debt strategy'!$D$13,2&lt;4))),1,0),IF(AND(U80+V80-W80&gt;0,OR('Debt strategy'!$D$12&gt;'Debt strategy'!$D$13,AND('Debt strategy'!$D$12='Debt strategy'!$D$13,3&lt;4))),1,0)))</x:f>
        <x:v>99</x:v>
      </x:c>
      <x:c r="AE80" s="6" t="n">
        <x:f>IF('Debt strategy'!$C$16&gt;0,0,MIN(AA80+AB80-AC80,MAX(0,'Debt strategy'!$C$5-SUM(E80,K80,Q80,W80,AC80)-SUM(IF(F80&lt;AD80,C80+D80-E80,0),IF(L80&lt;AD80,I80+J80-K80,0),IF(R80&lt;AD80,O80+P80-Q80,0),IF(X80&lt;AD80,U80+V80-W80,0)))))</x:f>
        <x:v>0</x:v>
      </x:c>
      <x:c r="AF80" s="6" t="n">
        <x:f>ROUND(MAX(0,AA80+AB80-AC80-AE80),2)</x:f>
        <x:v>0</x:v>
      </x:c>
      <x:c r="AG80" s="6" t="n">
        <x:f>SUM(H80,N80,T80,Z80,AF80)</x:f>
        <x:v>0</x:v>
      </x:c>
      <x:c r="AH80" s="6" t="n">
        <x:f>SUM(D80,J80,P80,V80,AB80)+AH79</x:f>
        <x:v>1220.8400000000001</x:v>
      </x:c>
      <x:c r="AI80" s="2"/>
    </x:row>
    <x:row r="81" ht="23" customHeight="1">
      <x:c r="B81" s="2" t="n">
        <x:f>73</x:f>
        <x:v>73</x:v>
      </x:c>
      <x:c r="C81" s="6" t="n">
        <x:f>H80</x:f>
        <x:v>0</x:v>
      </x:c>
      <x:c r="D81" s="6" t="n">
        <x:f>ROUND(C81*'Debt strategy'!$D$9/12,2)</x:f>
        <x:v>0</x:v>
      </x:c>
      <x:c r="E81" s="6" t="n">
        <x:f>MIN(C81+D81,'Debt strategy'!$E$9)</x:f>
        <x:v>0</x:v>
      </x:c>
      <x:c r="F81" s="27" t="n">
        <x:f>IF(C81+D81-E81&lt;=0,99,1+SUM(IF(AND(I81+J81-K81&gt;0,OR('Debt strategy'!$D$10&gt;'Debt strategy'!$D$9,AND('Debt strategy'!$D$10='Debt strategy'!$D$9,1&lt;0))),1,0),IF(AND(O81+P81-Q81&gt;0,OR('Debt strategy'!$D$11&gt;'Debt strategy'!$D$9,AND('Debt strategy'!$D$11='Debt strategy'!$D$9,2&lt;0))),1,0),IF(AND(U81+V81-W81&gt;0,OR('Debt strategy'!$D$12&gt;'Debt strategy'!$D$9,AND('Debt strategy'!$D$12='Debt strategy'!$D$9,3&lt;0))),1,0),IF(AND(AA81+AB81-AC81&gt;0,OR('Debt strategy'!$D$13&gt;'Debt strategy'!$D$9,AND('Debt strategy'!$D$13='Debt strategy'!$D$9,4&lt;0))),1,0)))</x:f>
        <x:v>99</x:v>
      </x:c>
      <x:c r="G81" s="6" t="n">
        <x:f>IF('Debt strategy'!$C$16&gt;0,0,MIN(C81+D81-E81,MAX(0,'Debt strategy'!$C$5-SUM(E81,K81,Q81,W81,AC81)-SUM(IF(L81&lt;F81,I81+J81-K81,0),IF(R81&lt;F81,O81+P81-Q81,0),IF(X81&lt;F81,U81+V81-W81,0),IF(AD81&lt;F81,AA81+AB81-AC81,0)))))</x:f>
        <x:v>0</x:v>
      </x:c>
      <x:c r="H81" s="6" t="n">
        <x:f>ROUND(MAX(0,C81+D81-E81-G81),2)</x:f>
        <x:v>0</x:v>
      </x:c>
      <x:c r="I81" s="6" t="n">
        <x:f>N80</x:f>
        <x:v>0</x:v>
      </x:c>
      <x:c r="J81" s="6" t="n">
        <x:f>ROUND(I81*'Debt strategy'!$D$10/12,2)</x:f>
        <x:v>0</x:v>
      </x:c>
      <x:c r="K81" s="6" t="n">
        <x:f>MIN(I81+J81,'Debt strategy'!$E$10)</x:f>
        <x:v>0</x:v>
      </x:c>
      <x:c r="L81" s="27" t="n">
        <x:f>IF(I81+J81-K81&lt;=0,99,1+SUM(IF(AND(C81+D81-E81&gt;0,OR('Debt strategy'!$D$9&gt;'Debt strategy'!$D$10,AND('Debt strategy'!$D$9='Debt strategy'!$D$10,0&lt;1))),1,0),IF(AND(O81+P81-Q81&gt;0,OR('Debt strategy'!$D$11&gt;'Debt strategy'!$D$10,AND('Debt strategy'!$D$11='Debt strategy'!$D$10,2&lt;1))),1,0),IF(AND(U81+V81-W81&gt;0,OR('Debt strategy'!$D$12&gt;'Debt strategy'!$D$10,AND('Debt strategy'!$D$12='Debt strategy'!$D$10,3&lt;1))),1,0),IF(AND(AA81+AB81-AC81&gt;0,OR('Debt strategy'!$D$13&gt;'Debt strategy'!$D$10,AND('Debt strategy'!$D$13='Debt strategy'!$D$10,4&lt;1))),1,0)))</x:f>
        <x:v>99</x:v>
      </x:c>
      <x:c r="M81" s="6" t="n">
        <x:f>IF('Debt strategy'!$C$16&gt;0,0,MIN(I81+J81-K81,MAX(0,'Debt strategy'!$C$5-SUM(E81,K81,Q81,W81,AC81)-SUM(IF(F81&lt;L81,C81+D81-E81,0),IF(R81&lt;L81,O81+P81-Q81,0),IF(X81&lt;L81,U81+V81-W81,0),IF(AD81&lt;L81,AA81+AB81-AC81,0)))))</x:f>
        <x:v>0</x:v>
      </x:c>
      <x:c r="N81" s="6" t="n">
        <x:f>ROUND(MAX(0,I81+J81-K81-M81),2)</x:f>
        <x:v>0</x:v>
      </x:c>
      <x:c r="O81" s="6" t="n">
        <x:f>T80</x:f>
        <x:v>0</x:v>
      </x:c>
      <x:c r="P81" s="6" t="n">
        <x:f>ROUND(O81*'Debt strategy'!$D$11/12,2)</x:f>
        <x:v>0</x:v>
      </x:c>
      <x:c r="Q81" s="6" t="n">
        <x:f>MIN(O81+P81,'Debt strategy'!$E$11)</x:f>
        <x:v>0</x:v>
      </x:c>
      <x:c r="R81" s="27" t="n">
        <x:f>IF(O81+P81-Q81&lt;=0,99,1+SUM(IF(AND(C81+D81-E81&gt;0,OR('Debt strategy'!$D$9&gt;'Debt strategy'!$D$11,AND('Debt strategy'!$D$9='Debt strategy'!$D$11,0&lt;2))),1,0),IF(AND(I81+J81-K81&gt;0,OR('Debt strategy'!$D$10&gt;'Debt strategy'!$D$11,AND('Debt strategy'!$D$10='Debt strategy'!$D$11,1&lt;2))),1,0),IF(AND(U81+V81-W81&gt;0,OR('Debt strategy'!$D$12&gt;'Debt strategy'!$D$11,AND('Debt strategy'!$D$12='Debt strategy'!$D$11,3&lt;2))),1,0),IF(AND(AA81+AB81-AC81&gt;0,OR('Debt strategy'!$D$13&gt;'Debt strategy'!$D$11,AND('Debt strategy'!$D$13='Debt strategy'!$D$11,4&lt;2))),1,0)))</x:f>
        <x:v>99</x:v>
      </x:c>
      <x:c r="S81" s="6" t="n">
        <x:f>IF('Debt strategy'!$C$16&gt;0,0,MIN(O81+P81-Q81,MAX(0,'Debt strategy'!$C$5-SUM(E81,K81,Q81,W81,AC81)-SUM(IF(F81&lt;R81,C81+D81-E81,0),IF(L81&lt;R81,I81+J81-K81,0),IF(X81&lt;R81,U81+V81-W81,0),IF(AD81&lt;R81,AA81+AB81-AC81,0)))))</x:f>
        <x:v>0</x:v>
      </x:c>
      <x:c r="T81" s="6" t="n">
        <x:f>ROUND(MAX(0,O81+P81-Q81-S81),2)</x:f>
        <x:v>0</x:v>
      </x:c>
      <x:c r="U81" s="6" t="n">
        <x:f>Z80</x:f>
        <x:v>0</x:v>
      </x:c>
      <x:c r="V81" s="6" t="n">
        <x:f>ROUND(U81*'Debt strategy'!$D$12/12,2)</x:f>
        <x:v>0</x:v>
      </x:c>
      <x:c r="W81" s="6" t="n">
        <x:f>MIN(U81+V81,'Debt strategy'!$E$12)</x:f>
        <x:v>0</x:v>
      </x:c>
      <x:c r="X81" s="27" t="n">
        <x:f>IF(U81+V81-W81&lt;=0,99,1+SUM(IF(AND(C81+D81-E81&gt;0,OR('Debt strategy'!$D$9&gt;'Debt strategy'!$D$12,AND('Debt strategy'!$D$9='Debt strategy'!$D$12,0&lt;3))),1,0),IF(AND(I81+J81-K81&gt;0,OR('Debt strategy'!$D$10&gt;'Debt strategy'!$D$12,AND('Debt strategy'!$D$10='Debt strategy'!$D$12,1&lt;3))),1,0),IF(AND(O81+P81-Q81&gt;0,OR('Debt strategy'!$D$11&gt;'Debt strategy'!$D$12,AND('Debt strategy'!$D$11='Debt strategy'!$D$12,2&lt;3))),1,0),IF(AND(AA81+AB81-AC81&gt;0,OR('Debt strategy'!$D$13&gt;'Debt strategy'!$D$12,AND('Debt strategy'!$D$13='Debt strategy'!$D$12,4&lt;3))),1,0)))</x:f>
        <x:v>99</x:v>
      </x:c>
      <x:c r="Y81" s="6" t="n">
        <x:f>IF('Debt strategy'!$C$16&gt;0,0,MIN(U81+V81-W81,MAX(0,'Debt strategy'!$C$5-SUM(E81,K81,Q81,W81,AC81)-SUM(IF(F81&lt;X81,C81+D81-E81,0),IF(L81&lt;X81,I81+J81-K81,0),IF(R81&lt;X81,O81+P81-Q81,0),IF(AD81&lt;X81,AA81+AB81-AC81,0)))))</x:f>
        <x:v>0</x:v>
      </x:c>
      <x:c r="Z81" s="6" t="n">
        <x:f>ROUND(MAX(0,U81+V81-W81-Y81),2)</x:f>
        <x:v>0</x:v>
      </x:c>
      <x:c r="AA81" s="6" t="n">
        <x:f>AF80</x:f>
        <x:v>0</x:v>
      </x:c>
      <x:c r="AB81" s="6" t="n">
        <x:f>ROUND(AA81*'Debt strategy'!$D$13/12,2)</x:f>
        <x:v>0</x:v>
      </x:c>
      <x:c r="AC81" s="6" t="n">
        <x:f>MIN(AA81+AB81,'Debt strategy'!$E$13)</x:f>
        <x:v>0</x:v>
      </x:c>
      <x:c r="AD81" s="27" t="n">
        <x:f>IF(AA81+AB81-AC81&lt;=0,99,1+SUM(IF(AND(C81+D81-E81&gt;0,OR('Debt strategy'!$D$9&gt;'Debt strategy'!$D$13,AND('Debt strategy'!$D$9='Debt strategy'!$D$13,0&lt;4))),1,0),IF(AND(I81+J81-K81&gt;0,OR('Debt strategy'!$D$10&gt;'Debt strategy'!$D$13,AND('Debt strategy'!$D$10='Debt strategy'!$D$13,1&lt;4))),1,0),IF(AND(O81+P81-Q81&gt;0,OR('Debt strategy'!$D$11&gt;'Debt strategy'!$D$13,AND('Debt strategy'!$D$11='Debt strategy'!$D$13,2&lt;4))),1,0),IF(AND(U81+V81-W81&gt;0,OR('Debt strategy'!$D$12&gt;'Debt strategy'!$D$13,AND('Debt strategy'!$D$12='Debt strategy'!$D$13,3&lt;4))),1,0)))</x:f>
        <x:v>99</x:v>
      </x:c>
      <x:c r="AE81" s="6" t="n">
        <x:f>IF('Debt strategy'!$C$16&gt;0,0,MIN(AA81+AB81-AC81,MAX(0,'Debt strategy'!$C$5-SUM(E81,K81,Q81,W81,AC81)-SUM(IF(F81&lt;AD81,C81+D81-E81,0),IF(L81&lt;AD81,I81+J81-K81,0),IF(R81&lt;AD81,O81+P81-Q81,0),IF(X81&lt;AD81,U81+V81-W81,0)))))</x:f>
        <x:v>0</x:v>
      </x:c>
      <x:c r="AF81" s="6" t="n">
        <x:f>ROUND(MAX(0,AA81+AB81-AC81-AE81),2)</x:f>
        <x:v>0</x:v>
      </x:c>
      <x:c r="AG81" s="6" t="n">
        <x:f>SUM(H81,N81,T81,Z81,AF81)</x:f>
        <x:v>0</x:v>
      </x:c>
      <x:c r="AH81" s="6" t="n">
        <x:f>SUM(D81,J81,P81,V81,AB81)+AH80</x:f>
        <x:v>1220.8400000000001</x:v>
      </x:c>
      <x:c r="AI81" s="2"/>
    </x:row>
    <x:row r="82" ht="23" customHeight="1">
      <x:c r="B82" s="2" t="n">
        <x:f>74</x:f>
        <x:v>74</x:v>
      </x:c>
      <x:c r="C82" s="6" t="n">
        <x:f>H81</x:f>
        <x:v>0</x:v>
      </x:c>
      <x:c r="D82" s="6" t="n">
        <x:f>ROUND(C82*'Debt strategy'!$D$9/12,2)</x:f>
        <x:v>0</x:v>
      </x:c>
      <x:c r="E82" s="6" t="n">
        <x:f>MIN(C82+D82,'Debt strategy'!$E$9)</x:f>
        <x:v>0</x:v>
      </x:c>
      <x:c r="F82" s="27" t="n">
        <x:f>IF(C82+D82-E82&lt;=0,99,1+SUM(IF(AND(I82+J82-K82&gt;0,OR('Debt strategy'!$D$10&gt;'Debt strategy'!$D$9,AND('Debt strategy'!$D$10='Debt strategy'!$D$9,1&lt;0))),1,0),IF(AND(O82+P82-Q82&gt;0,OR('Debt strategy'!$D$11&gt;'Debt strategy'!$D$9,AND('Debt strategy'!$D$11='Debt strategy'!$D$9,2&lt;0))),1,0),IF(AND(U82+V82-W82&gt;0,OR('Debt strategy'!$D$12&gt;'Debt strategy'!$D$9,AND('Debt strategy'!$D$12='Debt strategy'!$D$9,3&lt;0))),1,0),IF(AND(AA82+AB82-AC82&gt;0,OR('Debt strategy'!$D$13&gt;'Debt strategy'!$D$9,AND('Debt strategy'!$D$13='Debt strategy'!$D$9,4&lt;0))),1,0)))</x:f>
        <x:v>99</x:v>
      </x:c>
      <x:c r="G82" s="6" t="n">
        <x:f>IF('Debt strategy'!$C$16&gt;0,0,MIN(C82+D82-E82,MAX(0,'Debt strategy'!$C$5-SUM(E82,K82,Q82,W82,AC82)-SUM(IF(L82&lt;F82,I82+J82-K82,0),IF(R82&lt;F82,O82+P82-Q82,0),IF(X82&lt;F82,U82+V82-W82,0),IF(AD82&lt;F82,AA82+AB82-AC82,0)))))</x:f>
        <x:v>0</x:v>
      </x:c>
      <x:c r="H82" s="6" t="n">
        <x:f>ROUND(MAX(0,C82+D82-E82-G82),2)</x:f>
        <x:v>0</x:v>
      </x:c>
      <x:c r="I82" s="6" t="n">
        <x:f>N81</x:f>
        <x:v>0</x:v>
      </x:c>
      <x:c r="J82" s="6" t="n">
        <x:f>ROUND(I82*'Debt strategy'!$D$10/12,2)</x:f>
        <x:v>0</x:v>
      </x:c>
      <x:c r="K82" s="6" t="n">
        <x:f>MIN(I82+J82,'Debt strategy'!$E$10)</x:f>
        <x:v>0</x:v>
      </x:c>
      <x:c r="L82" s="27" t="n">
        <x:f>IF(I82+J82-K82&lt;=0,99,1+SUM(IF(AND(C82+D82-E82&gt;0,OR('Debt strategy'!$D$9&gt;'Debt strategy'!$D$10,AND('Debt strategy'!$D$9='Debt strategy'!$D$10,0&lt;1))),1,0),IF(AND(O82+P82-Q82&gt;0,OR('Debt strategy'!$D$11&gt;'Debt strategy'!$D$10,AND('Debt strategy'!$D$11='Debt strategy'!$D$10,2&lt;1))),1,0),IF(AND(U82+V82-W82&gt;0,OR('Debt strategy'!$D$12&gt;'Debt strategy'!$D$10,AND('Debt strategy'!$D$12='Debt strategy'!$D$10,3&lt;1))),1,0),IF(AND(AA82+AB82-AC82&gt;0,OR('Debt strategy'!$D$13&gt;'Debt strategy'!$D$10,AND('Debt strategy'!$D$13='Debt strategy'!$D$10,4&lt;1))),1,0)))</x:f>
        <x:v>99</x:v>
      </x:c>
      <x:c r="M82" s="6" t="n">
        <x:f>IF('Debt strategy'!$C$16&gt;0,0,MIN(I82+J82-K82,MAX(0,'Debt strategy'!$C$5-SUM(E82,K82,Q82,W82,AC82)-SUM(IF(F82&lt;L82,C82+D82-E82,0),IF(R82&lt;L82,O82+P82-Q82,0),IF(X82&lt;L82,U82+V82-W82,0),IF(AD82&lt;L82,AA82+AB82-AC82,0)))))</x:f>
        <x:v>0</x:v>
      </x:c>
      <x:c r="N82" s="6" t="n">
        <x:f>ROUND(MAX(0,I82+J82-K82-M82),2)</x:f>
        <x:v>0</x:v>
      </x:c>
      <x:c r="O82" s="6" t="n">
        <x:f>T81</x:f>
        <x:v>0</x:v>
      </x:c>
      <x:c r="P82" s="6" t="n">
        <x:f>ROUND(O82*'Debt strategy'!$D$11/12,2)</x:f>
        <x:v>0</x:v>
      </x:c>
      <x:c r="Q82" s="6" t="n">
        <x:f>MIN(O82+P82,'Debt strategy'!$E$11)</x:f>
        <x:v>0</x:v>
      </x:c>
      <x:c r="R82" s="27" t="n">
        <x:f>IF(O82+P82-Q82&lt;=0,99,1+SUM(IF(AND(C82+D82-E82&gt;0,OR('Debt strategy'!$D$9&gt;'Debt strategy'!$D$11,AND('Debt strategy'!$D$9='Debt strategy'!$D$11,0&lt;2))),1,0),IF(AND(I82+J82-K82&gt;0,OR('Debt strategy'!$D$10&gt;'Debt strategy'!$D$11,AND('Debt strategy'!$D$10='Debt strategy'!$D$11,1&lt;2))),1,0),IF(AND(U82+V82-W82&gt;0,OR('Debt strategy'!$D$12&gt;'Debt strategy'!$D$11,AND('Debt strategy'!$D$12='Debt strategy'!$D$11,3&lt;2))),1,0),IF(AND(AA82+AB82-AC82&gt;0,OR('Debt strategy'!$D$13&gt;'Debt strategy'!$D$11,AND('Debt strategy'!$D$13='Debt strategy'!$D$11,4&lt;2))),1,0)))</x:f>
        <x:v>99</x:v>
      </x:c>
      <x:c r="S82" s="6" t="n">
        <x:f>IF('Debt strategy'!$C$16&gt;0,0,MIN(O82+P82-Q82,MAX(0,'Debt strategy'!$C$5-SUM(E82,K82,Q82,W82,AC82)-SUM(IF(F82&lt;R82,C82+D82-E82,0),IF(L82&lt;R82,I82+J82-K82,0),IF(X82&lt;R82,U82+V82-W82,0),IF(AD82&lt;R82,AA82+AB82-AC82,0)))))</x:f>
        <x:v>0</x:v>
      </x:c>
      <x:c r="T82" s="6" t="n">
        <x:f>ROUND(MAX(0,O82+P82-Q82-S82),2)</x:f>
        <x:v>0</x:v>
      </x:c>
      <x:c r="U82" s="6" t="n">
        <x:f>Z81</x:f>
        <x:v>0</x:v>
      </x:c>
      <x:c r="V82" s="6" t="n">
        <x:f>ROUND(U82*'Debt strategy'!$D$12/12,2)</x:f>
        <x:v>0</x:v>
      </x:c>
      <x:c r="W82" s="6" t="n">
        <x:f>MIN(U82+V82,'Debt strategy'!$E$12)</x:f>
        <x:v>0</x:v>
      </x:c>
      <x:c r="X82" s="27" t="n">
        <x:f>IF(U82+V82-W82&lt;=0,99,1+SUM(IF(AND(C82+D82-E82&gt;0,OR('Debt strategy'!$D$9&gt;'Debt strategy'!$D$12,AND('Debt strategy'!$D$9='Debt strategy'!$D$12,0&lt;3))),1,0),IF(AND(I82+J82-K82&gt;0,OR('Debt strategy'!$D$10&gt;'Debt strategy'!$D$12,AND('Debt strategy'!$D$10='Debt strategy'!$D$12,1&lt;3))),1,0),IF(AND(O82+P82-Q82&gt;0,OR('Debt strategy'!$D$11&gt;'Debt strategy'!$D$12,AND('Debt strategy'!$D$11='Debt strategy'!$D$12,2&lt;3))),1,0),IF(AND(AA82+AB82-AC82&gt;0,OR('Debt strategy'!$D$13&gt;'Debt strategy'!$D$12,AND('Debt strategy'!$D$13='Debt strategy'!$D$12,4&lt;3))),1,0)))</x:f>
        <x:v>99</x:v>
      </x:c>
      <x:c r="Y82" s="6" t="n">
        <x:f>IF('Debt strategy'!$C$16&gt;0,0,MIN(U82+V82-W82,MAX(0,'Debt strategy'!$C$5-SUM(E82,K82,Q82,W82,AC82)-SUM(IF(F82&lt;X82,C82+D82-E82,0),IF(L82&lt;X82,I82+J82-K82,0),IF(R82&lt;X82,O82+P82-Q82,0),IF(AD82&lt;X82,AA82+AB82-AC82,0)))))</x:f>
        <x:v>0</x:v>
      </x:c>
      <x:c r="Z82" s="6" t="n">
        <x:f>ROUND(MAX(0,U82+V82-W82-Y82),2)</x:f>
        <x:v>0</x:v>
      </x:c>
      <x:c r="AA82" s="6" t="n">
        <x:f>AF81</x:f>
        <x:v>0</x:v>
      </x:c>
      <x:c r="AB82" s="6" t="n">
        <x:f>ROUND(AA82*'Debt strategy'!$D$13/12,2)</x:f>
        <x:v>0</x:v>
      </x:c>
      <x:c r="AC82" s="6" t="n">
        <x:f>MIN(AA82+AB82,'Debt strategy'!$E$13)</x:f>
        <x:v>0</x:v>
      </x:c>
      <x:c r="AD82" s="27" t="n">
        <x:f>IF(AA82+AB82-AC82&lt;=0,99,1+SUM(IF(AND(C82+D82-E82&gt;0,OR('Debt strategy'!$D$9&gt;'Debt strategy'!$D$13,AND('Debt strategy'!$D$9='Debt strategy'!$D$13,0&lt;4))),1,0),IF(AND(I82+J82-K82&gt;0,OR('Debt strategy'!$D$10&gt;'Debt strategy'!$D$13,AND('Debt strategy'!$D$10='Debt strategy'!$D$13,1&lt;4))),1,0),IF(AND(O82+P82-Q82&gt;0,OR('Debt strategy'!$D$11&gt;'Debt strategy'!$D$13,AND('Debt strategy'!$D$11='Debt strategy'!$D$13,2&lt;4))),1,0),IF(AND(U82+V82-W82&gt;0,OR('Debt strategy'!$D$12&gt;'Debt strategy'!$D$13,AND('Debt strategy'!$D$12='Debt strategy'!$D$13,3&lt;4))),1,0)))</x:f>
        <x:v>99</x:v>
      </x:c>
      <x:c r="AE82" s="6" t="n">
        <x:f>IF('Debt strategy'!$C$16&gt;0,0,MIN(AA82+AB82-AC82,MAX(0,'Debt strategy'!$C$5-SUM(E82,K82,Q82,W82,AC82)-SUM(IF(F82&lt;AD82,C82+D82-E82,0),IF(L82&lt;AD82,I82+J82-K82,0),IF(R82&lt;AD82,O82+P82-Q82,0),IF(X82&lt;AD82,U82+V82-W82,0)))))</x:f>
        <x:v>0</x:v>
      </x:c>
      <x:c r="AF82" s="6" t="n">
        <x:f>ROUND(MAX(0,AA82+AB82-AC82-AE82),2)</x:f>
        <x:v>0</x:v>
      </x:c>
      <x:c r="AG82" s="6" t="n">
        <x:f>SUM(H82,N82,T82,Z82,AF82)</x:f>
        <x:v>0</x:v>
      </x:c>
      <x:c r="AH82" s="6" t="n">
        <x:f>SUM(D82,J82,P82,V82,AB82)+AH81</x:f>
        <x:v>1220.8400000000001</x:v>
      </x:c>
      <x:c r="AI82" s="2"/>
    </x:row>
    <x:row r="83" ht="23" customHeight="1">
      <x:c r="B83" s="2" t="n">
        <x:f>75</x:f>
        <x:v>75</x:v>
      </x:c>
      <x:c r="C83" s="6" t="n">
        <x:f>H82</x:f>
        <x:v>0</x:v>
      </x:c>
      <x:c r="D83" s="6" t="n">
        <x:f>ROUND(C83*'Debt strategy'!$D$9/12,2)</x:f>
        <x:v>0</x:v>
      </x:c>
      <x:c r="E83" s="6" t="n">
        <x:f>MIN(C83+D83,'Debt strategy'!$E$9)</x:f>
        <x:v>0</x:v>
      </x:c>
      <x:c r="F83" s="27" t="n">
        <x:f>IF(C83+D83-E83&lt;=0,99,1+SUM(IF(AND(I83+J83-K83&gt;0,OR('Debt strategy'!$D$10&gt;'Debt strategy'!$D$9,AND('Debt strategy'!$D$10='Debt strategy'!$D$9,1&lt;0))),1,0),IF(AND(O83+P83-Q83&gt;0,OR('Debt strategy'!$D$11&gt;'Debt strategy'!$D$9,AND('Debt strategy'!$D$11='Debt strategy'!$D$9,2&lt;0))),1,0),IF(AND(U83+V83-W83&gt;0,OR('Debt strategy'!$D$12&gt;'Debt strategy'!$D$9,AND('Debt strategy'!$D$12='Debt strategy'!$D$9,3&lt;0))),1,0),IF(AND(AA83+AB83-AC83&gt;0,OR('Debt strategy'!$D$13&gt;'Debt strategy'!$D$9,AND('Debt strategy'!$D$13='Debt strategy'!$D$9,4&lt;0))),1,0)))</x:f>
        <x:v>99</x:v>
      </x:c>
      <x:c r="G83" s="6" t="n">
        <x:f>IF('Debt strategy'!$C$16&gt;0,0,MIN(C83+D83-E83,MAX(0,'Debt strategy'!$C$5-SUM(E83,K83,Q83,W83,AC83)-SUM(IF(L83&lt;F83,I83+J83-K83,0),IF(R83&lt;F83,O83+P83-Q83,0),IF(X83&lt;F83,U83+V83-W83,0),IF(AD83&lt;F83,AA83+AB83-AC83,0)))))</x:f>
        <x:v>0</x:v>
      </x:c>
      <x:c r="H83" s="6" t="n">
        <x:f>ROUND(MAX(0,C83+D83-E83-G83),2)</x:f>
        <x:v>0</x:v>
      </x:c>
      <x:c r="I83" s="6" t="n">
        <x:f>N82</x:f>
        <x:v>0</x:v>
      </x:c>
      <x:c r="J83" s="6" t="n">
        <x:f>ROUND(I83*'Debt strategy'!$D$10/12,2)</x:f>
        <x:v>0</x:v>
      </x:c>
      <x:c r="K83" s="6" t="n">
        <x:f>MIN(I83+J83,'Debt strategy'!$E$10)</x:f>
        <x:v>0</x:v>
      </x:c>
      <x:c r="L83" s="27" t="n">
        <x:f>IF(I83+J83-K83&lt;=0,99,1+SUM(IF(AND(C83+D83-E83&gt;0,OR('Debt strategy'!$D$9&gt;'Debt strategy'!$D$10,AND('Debt strategy'!$D$9='Debt strategy'!$D$10,0&lt;1))),1,0),IF(AND(O83+P83-Q83&gt;0,OR('Debt strategy'!$D$11&gt;'Debt strategy'!$D$10,AND('Debt strategy'!$D$11='Debt strategy'!$D$10,2&lt;1))),1,0),IF(AND(U83+V83-W83&gt;0,OR('Debt strategy'!$D$12&gt;'Debt strategy'!$D$10,AND('Debt strategy'!$D$12='Debt strategy'!$D$10,3&lt;1))),1,0),IF(AND(AA83+AB83-AC83&gt;0,OR('Debt strategy'!$D$13&gt;'Debt strategy'!$D$10,AND('Debt strategy'!$D$13='Debt strategy'!$D$10,4&lt;1))),1,0)))</x:f>
        <x:v>99</x:v>
      </x:c>
      <x:c r="M83" s="6" t="n">
        <x:f>IF('Debt strategy'!$C$16&gt;0,0,MIN(I83+J83-K83,MAX(0,'Debt strategy'!$C$5-SUM(E83,K83,Q83,W83,AC83)-SUM(IF(F83&lt;L83,C83+D83-E83,0),IF(R83&lt;L83,O83+P83-Q83,0),IF(X83&lt;L83,U83+V83-W83,0),IF(AD83&lt;L83,AA83+AB83-AC83,0)))))</x:f>
        <x:v>0</x:v>
      </x:c>
      <x:c r="N83" s="6" t="n">
        <x:f>ROUND(MAX(0,I83+J83-K83-M83),2)</x:f>
        <x:v>0</x:v>
      </x:c>
      <x:c r="O83" s="6" t="n">
        <x:f>T82</x:f>
        <x:v>0</x:v>
      </x:c>
      <x:c r="P83" s="6" t="n">
        <x:f>ROUND(O83*'Debt strategy'!$D$11/12,2)</x:f>
        <x:v>0</x:v>
      </x:c>
      <x:c r="Q83" s="6" t="n">
        <x:f>MIN(O83+P83,'Debt strategy'!$E$11)</x:f>
        <x:v>0</x:v>
      </x:c>
      <x:c r="R83" s="27" t="n">
        <x:f>IF(O83+P83-Q83&lt;=0,99,1+SUM(IF(AND(C83+D83-E83&gt;0,OR('Debt strategy'!$D$9&gt;'Debt strategy'!$D$11,AND('Debt strategy'!$D$9='Debt strategy'!$D$11,0&lt;2))),1,0),IF(AND(I83+J83-K83&gt;0,OR('Debt strategy'!$D$10&gt;'Debt strategy'!$D$11,AND('Debt strategy'!$D$10='Debt strategy'!$D$11,1&lt;2))),1,0),IF(AND(U83+V83-W83&gt;0,OR('Debt strategy'!$D$12&gt;'Debt strategy'!$D$11,AND('Debt strategy'!$D$12='Debt strategy'!$D$11,3&lt;2))),1,0),IF(AND(AA83+AB83-AC83&gt;0,OR('Debt strategy'!$D$13&gt;'Debt strategy'!$D$11,AND('Debt strategy'!$D$13='Debt strategy'!$D$11,4&lt;2))),1,0)))</x:f>
        <x:v>99</x:v>
      </x:c>
      <x:c r="S83" s="6" t="n">
        <x:f>IF('Debt strategy'!$C$16&gt;0,0,MIN(O83+P83-Q83,MAX(0,'Debt strategy'!$C$5-SUM(E83,K83,Q83,W83,AC83)-SUM(IF(F83&lt;R83,C83+D83-E83,0),IF(L83&lt;R83,I83+J83-K83,0),IF(X83&lt;R83,U83+V83-W83,0),IF(AD83&lt;R83,AA83+AB83-AC83,0)))))</x:f>
        <x:v>0</x:v>
      </x:c>
      <x:c r="T83" s="6" t="n">
        <x:f>ROUND(MAX(0,O83+P83-Q83-S83),2)</x:f>
        <x:v>0</x:v>
      </x:c>
      <x:c r="U83" s="6" t="n">
        <x:f>Z82</x:f>
        <x:v>0</x:v>
      </x:c>
      <x:c r="V83" s="6" t="n">
        <x:f>ROUND(U83*'Debt strategy'!$D$12/12,2)</x:f>
        <x:v>0</x:v>
      </x:c>
      <x:c r="W83" s="6" t="n">
        <x:f>MIN(U83+V83,'Debt strategy'!$E$12)</x:f>
        <x:v>0</x:v>
      </x:c>
      <x:c r="X83" s="27" t="n">
        <x:f>IF(U83+V83-W83&lt;=0,99,1+SUM(IF(AND(C83+D83-E83&gt;0,OR('Debt strategy'!$D$9&gt;'Debt strategy'!$D$12,AND('Debt strategy'!$D$9='Debt strategy'!$D$12,0&lt;3))),1,0),IF(AND(I83+J83-K83&gt;0,OR('Debt strategy'!$D$10&gt;'Debt strategy'!$D$12,AND('Debt strategy'!$D$10='Debt strategy'!$D$12,1&lt;3))),1,0),IF(AND(O83+P83-Q83&gt;0,OR('Debt strategy'!$D$11&gt;'Debt strategy'!$D$12,AND('Debt strategy'!$D$11='Debt strategy'!$D$12,2&lt;3))),1,0),IF(AND(AA83+AB83-AC83&gt;0,OR('Debt strategy'!$D$13&gt;'Debt strategy'!$D$12,AND('Debt strategy'!$D$13='Debt strategy'!$D$12,4&lt;3))),1,0)))</x:f>
        <x:v>99</x:v>
      </x:c>
      <x:c r="Y83" s="6" t="n">
        <x:f>IF('Debt strategy'!$C$16&gt;0,0,MIN(U83+V83-W83,MAX(0,'Debt strategy'!$C$5-SUM(E83,K83,Q83,W83,AC83)-SUM(IF(F83&lt;X83,C83+D83-E83,0),IF(L83&lt;X83,I83+J83-K83,0),IF(R83&lt;X83,O83+P83-Q83,0),IF(AD83&lt;X83,AA83+AB83-AC83,0)))))</x:f>
        <x:v>0</x:v>
      </x:c>
      <x:c r="Z83" s="6" t="n">
        <x:f>ROUND(MAX(0,U83+V83-W83-Y83),2)</x:f>
        <x:v>0</x:v>
      </x:c>
      <x:c r="AA83" s="6" t="n">
        <x:f>AF82</x:f>
        <x:v>0</x:v>
      </x:c>
      <x:c r="AB83" s="6" t="n">
        <x:f>ROUND(AA83*'Debt strategy'!$D$13/12,2)</x:f>
        <x:v>0</x:v>
      </x:c>
      <x:c r="AC83" s="6" t="n">
        <x:f>MIN(AA83+AB83,'Debt strategy'!$E$13)</x:f>
        <x:v>0</x:v>
      </x:c>
      <x:c r="AD83" s="27" t="n">
        <x:f>IF(AA83+AB83-AC83&lt;=0,99,1+SUM(IF(AND(C83+D83-E83&gt;0,OR('Debt strategy'!$D$9&gt;'Debt strategy'!$D$13,AND('Debt strategy'!$D$9='Debt strategy'!$D$13,0&lt;4))),1,0),IF(AND(I83+J83-K83&gt;0,OR('Debt strategy'!$D$10&gt;'Debt strategy'!$D$13,AND('Debt strategy'!$D$10='Debt strategy'!$D$13,1&lt;4))),1,0),IF(AND(O83+P83-Q83&gt;0,OR('Debt strategy'!$D$11&gt;'Debt strategy'!$D$13,AND('Debt strategy'!$D$11='Debt strategy'!$D$13,2&lt;4))),1,0),IF(AND(U83+V83-W83&gt;0,OR('Debt strategy'!$D$12&gt;'Debt strategy'!$D$13,AND('Debt strategy'!$D$12='Debt strategy'!$D$13,3&lt;4))),1,0)))</x:f>
        <x:v>99</x:v>
      </x:c>
      <x:c r="AE83" s="6" t="n">
        <x:f>IF('Debt strategy'!$C$16&gt;0,0,MIN(AA83+AB83-AC83,MAX(0,'Debt strategy'!$C$5-SUM(E83,K83,Q83,W83,AC83)-SUM(IF(F83&lt;AD83,C83+D83-E83,0),IF(L83&lt;AD83,I83+J83-K83,0),IF(R83&lt;AD83,O83+P83-Q83,0),IF(X83&lt;AD83,U83+V83-W83,0)))))</x:f>
        <x:v>0</x:v>
      </x:c>
      <x:c r="AF83" s="6" t="n">
        <x:f>ROUND(MAX(0,AA83+AB83-AC83-AE83),2)</x:f>
        <x:v>0</x:v>
      </x:c>
      <x:c r="AG83" s="6" t="n">
        <x:f>SUM(H83,N83,T83,Z83,AF83)</x:f>
        <x:v>0</x:v>
      </x:c>
      <x:c r="AH83" s="6" t="n">
        <x:f>SUM(D83,J83,P83,V83,AB83)+AH82</x:f>
        <x:v>1220.8400000000001</x:v>
      </x:c>
      <x:c r="AI83" s="2"/>
    </x:row>
    <x:row r="84" ht="23" customHeight="1">
      <x:c r="B84" s="2" t="n">
        <x:f>76</x:f>
        <x:v>76</x:v>
      </x:c>
      <x:c r="C84" s="6" t="n">
        <x:f>H83</x:f>
        <x:v>0</x:v>
      </x:c>
      <x:c r="D84" s="6" t="n">
        <x:f>ROUND(C84*'Debt strategy'!$D$9/12,2)</x:f>
        <x:v>0</x:v>
      </x:c>
      <x:c r="E84" s="6" t="n">
        <x:f>MIN(C84+D84,'Debt strategy'!$E$9)</x:f>
        <x:v>0</x:v>
      </x:c>
      <x:c r="F84" s="27" t="n">
        <x:f>IF(C84+D84-E84&lt;=0,99,1+SUM(IF(AND(I84+J84-K84&gt;0,OR('Debt strategy'!$D$10&gt;'Debt strategy'!$D$9,AND('Debt strategy'!$D$10='Debt strategy'!$D$9,1&lt;0))),1,0),IF(AND(O84+P84-Q84&gt;0,OR('Debt strategy'!$D$11&gt;'Debt strategy'!$D$9,AND('Debt strategy'!$D$11='Debt strategy'!$D$9,2&lt;0))),1,0),IF(AND(U84+V84-W84&gt;0,OR('Debt strategy'!$D$12&gt;'Debt strategy'!$D$9,AND('Debt strategy'!$D$12='Debt strategy'!$D$9,3&lt;0))),1,0),IF(AND(AA84+AB84-AC84&gt;0,OR('Debt strategy'!$D$13&gt;'Debt strategy'!$D$9,AND('Debt strategy'!$D$13='Debt strategy'!$D$9,4&lt;0))),1,0)))</x:f>
        <x:v>99</x:v>
      </x:c>
      <x:c r="G84" s="6" t="n">
        <x:f>IF('Debt strategy'!$C$16&gt;0,0,MIN(C84+D84-E84,MAX(0,'Debt strategy'!$C$5-SUM(E84,K84,Q84,W84,AC84)-SUM(IF(L84&lt;F84,I84+J84-K84,0),IF(R84&lt;F84,O84+P84-Q84,0),IF(X84&lt;F84,U84+V84-W84,0),IF(AD84&lt;F84,AA84+AB84-AC84,0)))))</x:f>
        <x:v>0</x:v>
      </x:c>
      <x:c r="H84" s="6" t="n">
        <x:f>ROUND(MAX(0,C84+D84-E84-G84),2)</x:f>
        <x:v>0</x:v>
      </x:c>
      <x:c r="I84" s="6" t="n">
        <x:f>N83</x:f>
        <x:v>0</x:v>
      </x:c>
      <x:c r="J84" s="6" t="n">
        <x:f>ROUND(I84*'Debt strategy'!$D$10/12,2)</x:f>
        <x:v>0</x:v>
      </x:c>
      <x:c r="K84" s="6" t="n">
        <x:f>MIN(I84+J84,'Debt strategy'!$E$10)</x:f>
        <x:v>0</x:v>
      </x:c>
      <x:c r="L84" s="27" t="n">
        <x:f>IF(I84+J84-K84&lt;=0,99,1+SUM(IF(AND(C84+D84-E84&gt;0,OR('Debt strategy'!$D$9&gt;'Debt strategy'!$D$10,AND('Debt strategy'!$D$9='Debt strategy'!$D$10,0&lt;1))),1,0),IF(AND(O84+P84-Q84&gt;0,OR('Debt strategy'!$D$11&gt;'Debt strategy'!$D$10,AND('Debt strategy'!$D$11='Debt strategy'!$D$10,2&lt;1))),1,0),IF(AND(U84+V84-W84&gt;0,OR('Debt strategy'!$D$12&gt;'Debt strategy'!$D$10,AND('Debt strategy'!$D$12='Debt strategy'!$D$10,3&lt;1))),1,0),IF(AND(AA84+AB84-AC84&gt;0,OR('Debt strategy'!$D$13&gt;'Debt strategy'!$D$10,AND('Debt strategy'!$D$13='Debt strategy'!$D$10,4&lt;1))),1,0)))</x:f>
        <x:v>99</x:v>
      </x:c>
      <x:c r="M84" s="6" t="n">
        <x:f>IF('Debt strategy'!$C$16&gt;0,0,MIN(I84+J84-K84,MAX(0,'Debt strategy'!$C$5-SUM(E84,K84,Q84,W84,AC84)-SUM(IF(F84&lt;L84,C84+D84-E84,0),IF(R84&lt;L84,O84+P84-Q84,0),IF(X84&lt;L84,U84+V84-W84,0),IF(AD84&lt;L84,AA84+AB84-AC84,0)))))</x:f>
        <x:v>0</x:v>
      </x:c>
      <x:c r="N84" s="6" t="n">
        <x:f>ROUND(MAX(0,I84+J84-K84-M84),2)</x:f>
        <x:v>0</x:v>
      </x:c>
      <x:c r="O84" s="6" t="n">
        <x:f>T83</x:f>
        <x:v>0</x:v>
      </x:c>
      <x:c r="P84" s="6" t="n">
        <x:f>ROUND(O84*'Debt strategy'!$D$11/12,2)</x:f>
        <x:v>0</x:v>
      </x:c>
      <x:c r="Q84" s="6" t="n">
        <x:f>MIN(O84+P84,'Debt strategy'!$E$11)</x:f>
        <x:v>0</x:v>
      </x:c>
      <x:c r="R84" s="27" t="n">
        <x:f>IF(O84+P84-Q84&lt;=0,99,1+SUM(IF(AND(C84+D84-E84&gt;0,OR('Debt strategy'!$D$9&gt;'Debt strategy'!$D$11,AND('Debt strategy'!$D$9='Debt strategy'!$D$11,0&lt;2))),1,0),IF(AND(I84+J84-K84&gt;0,OR('Debt strategy'!$D$10&gt;'Debt strategy'!$D$11,AND('Debt strategy'!$D$10='Debt strategy'!$D$11,1&lt;2))),1,0),IF(AND(U84+V84-W84&gt;0,OR('Debt strategy'!$D$12&gt;'Debt strategy'!$D$11,AND('Debt strategy'!$D$12='Debt strategy'!$D$11,3&lt;2))),1,0),IF(AND(AA84+AB84-AC84&gt;0,OR('Debt strategy'!$D$13&gt;'Debt strategy'!$D$11,AND('Debt strategy'!$D$13='Debt strategy'!$D$11,4&lt;2))),1,0)))</x:f>
        <x:v>99</x:v>
      </x:c>
      <x:c r="S84" s="6" t="n">
        <x:f>IF('Debt strategy'!$C$16&gt;0,0,MIN(O84+P84-Q84,MAX(0,'Debt strategy'!$C$5-SUM(E84,K84,Q84,W84,AC84)-SUM(IF(F84&lt;R84,C84+D84-E84,0),IF(L84&lt;R84,I84+J84-K84,0),IF(X84&lt;R84,U84+V84-W84,0),IF(AD84&lt;R84,AA84+AB84-AC84,0)))))</x:f>
        <x:v>0</x:v>
      </x:c>
      <x:c r="T84" s="6" t="n">
        <x:f>ROUND(MAX(0,O84+P84-Q84-S84),2)</x:f>
        <x:v>0</x:v>
      </x:c>
      <x:c r="U84" s="6" t="n">
        <x:f>Z83</x:f>
        <x:v>0</x:v>
      </x:c>
      <x:c r="V84" s="6" t="n">
        <x:f>ROUND(U84*'Debt strategy'!$D$12/12,2)</x:f>
        <x:v>0</x:v>
      </x:c>
      <x:c r="W84" s="6" t="n">
        <x:f>MIN(U84+V84,'Debt strategy'!$E$12)</x:f>
        <x:v>0</x:v>
      </x:c>
      <x:c r="X84" s="27" t="n">
        <x:f>IF(U84+V84-W84&lt;=0,99,1+SUM(IF(AND(C84+D84-E84&gt;0,OR('Debt strategy'!$D$9&gt;'Debt strategy'!$D$12,AND('Debt strategy'!$D$9='Debt strategy'!$D$12,0&lt;3))),1,0),IF(AND(I84+J84-K84&gt;0,OR('Debt strategy'!$D$10&gt;'Debt strategy'!$D$12,AND('Debt strategy'!$D$10='Debt strategy'!$D$12,1&lt;3))),1,0),IF(AND(O84+P84-Q84&gt;0,OR('Debt strategy'!$D$11&gt;'Debt strategy'!$D$12,AND('Debt strategy'!$D$11='Debt strategy'!$D$12,2&lt;3))),1,0),IF(AND(AA84+AB84-AC84&gt;0,OR('Debt strategy'!$D$13&gt;'Debt strategy'!$D$12,AND('Debt strategy'!$D$13='Debt strategy'!$D$12,4&lt;3))),1,0)))</x:f>
        <x:v>99</x:v>
      </x:c>
      <x:c r="Y84" s="6" t="n">
        <x:f>IF('Debt strategy'!$C$16&gt;0,0,MIN(U84+V84-W84,MAX(0,'Debt strategy'!$C$5-SUM(E84,K84,Q84,W84,AC84)-SUM(IF(F84&lt;X84,C84+D84-E84,0),IF(L84&lt;X84,I84+J84-K84,0),IF(R84&lt;X84,O84+P84-Q84,0),IF(AD84&lt;X84,AA84+AB84-AC84,0)))))</x:f>
        <x:v>0</x:v>
      </x:c>
      <x:c r="Z84" s="6" t="n">
        <x:f>ROUND(MAX(0,U84+V84-W84-Y84),2)</x:f>
        <x:v>0</x:v>
      </x:c>
      <x:c r="AA84" s="6" t="n">
        <x:f>AF83</x:f>
        <x:v>0</x:v>
      </x:c>
      <x:c r="AB84" s="6" t="n">
        <x:f>ROUND(AA84*'Debt strategy'!$D$13/12,2)</x:f>
        <x:v>0</x:v>
      </x:c>
      <x:c r="AC84" s="6" t="n">
        <x:f>MIN(AA84+AB84,'Debt strategy'!$E$13)</x:f>
        <x:v>0</x:v>
      </x:c>
      <x:c r="AD84" s="27" t="n">
        <x:f>IF(AA84+AB84-AC84&lt;=0,99,1+SUM(IF(AND(C84+D84-E84&gt;0,OR('Debt strategy'!$D$9&gt;'Debt strategy'!$D$13,AND('Debt strategy'!$D$9='Debt strategy'!$D$13,0&lt;4))),1,0),IF(AND(I84+J84-K84&gt;0,OR('Debt strategy'!$D$10&gt;'Debt strategy'!$D$13,AND('Debt strategy'!$D$10='Debt strategy'!$D$13,1&lt;4))),1,0),IF(AND(O84+P84-Q84&gt;0,OR('Debt strategy'!$D$11&gt;'Debt strategy'!$D$13,AND('Debt strategy'!$D$11='Debt strategy'!$D$13,2&lt;4))),1,0),IF(AND(U84+V84-W84&gt;0,OR('Debt strategy'!$D$12&gt;'Debt strategy'!$D$13,AND('Debt strategy'!$D$12='Debt strategy'!$D$13,3&lt;4))),1,0)))</x:f>
        <x:v>99</x:v>
      </x:c>
      <x:c r="AE84" s="6" t="n">
        <x:f>IF('Debt strategy'!$C$16&gt;0,0,MIN(AA84+AB84-AC84,MAX(0,'Debt strategy'!$C$5-SUM(E84,K84,Q84,W84,AC84)-SUM(IF(F84&lt;AD84,C84+D84-E84,0),IF(L84&lt;AD84,I84+J84-K84,0),IF(R84&lt;AD84,O84+P84-Q84,0),IF(X84&lt;AD84,U84+V84-W84,0)))))</x:f>
        <x:v>0</x:v>
      </x:c>
      <x:c r="AF84" s="6" t="n">
        <x:f>ROUND(MAX(0,AA84+AB84-AC84-AE84),2)</x:f>
        <x:v>0</x:v>
      </x:c>
      <x:c r="AG84" s="6" t="n">
        <x:f>SUM(H84,N84,T84,Z84,AF84)</x:f>
        <x:v>0</x:v>
      </x:c>
      <x:c r="AH84" s="6" t="n">
        <x:f>SUM(D84,J84,P84,V84,AB84)+AH83</x:f>
        <x:v>1220.8400000000001</x:v>
      </x:c>
      <x:c r="AI84" s="2"/>
    </x:row>
    <x:row r="85" ht="23" customHeight="1">
      <x:c r="B85" s="2" t="n">
        <x:f>77</x:f>
        <x:v>77</x:v>
      </x:c>
      <x:c r="C85" s="6" t="n">
        <x:f>H84</x:f>
        <x:v>0</x:v>
      </x:c>
      <x:c r="D85" s="6" t="n">
        <x:f>ROUND(C85*'Debt strategy'!$D$9/12,2)</x:f>
        <x:v>0</x:v>
      </x:c>
      <x:c r="E85" s="6" t="n">
        <x:f>MIN(C85+D85,'Debt strategy'!$E$9)</x:f>
        <x:v>0</x:v>
      </x:c>
      <x:c r="F85" s="27" t="n">
        <x:f>IF(C85+D85-E85&lt;=0,99,1+SUM(IF(AND(I85+J85-K85&gt;0,OR('Debt strategy'!$D$10&gt;'Debt strategy'!$D$9,AND('Debt strategy'!$D$10='Debt strategy'!$D$9,1&lt;0))),1,0),IF(AND(O85+P85-Q85&gt;0,OR('Debt strategy'!$D$11&gt;'Debt strategy'!$D$9,AND('Debt strategy'!$D$11='Debt strategy'!$D$9,2&lt;0))),1,0),IF(AND(U85+V85-W85&gt;0,OR('Debt strategy'!$D$12&gt;'Debt strategy'!$D$9,AND('Debt strategy'!$D$12='Debt strategy'!$D$9,3&lt;0))),1,0),IF(AND(AA85+AB85-AC85&gt;0,OR('Debt strategy'!$D$13&gt;'Debt strategy'!$D$9,AND('Debt strategy'!$D$13='Debt strategy'!$D$9,4&lt;0))),1,0)))</x:f>
        <x:v>99</x:v>
      </x:c>
      <x:c r="G85" s="6" t="n">
        <x:f>IF('Debt strategy'!$C$16&gt;0,0,MIN(C85+D85-E85,MAX(0,'Debt strategy'!$C$5-SUM(E85,K85,Q85,W85,AC85)-SUM(IF(L85&lt;F85,I85+J85-K85,0),IF(R85&lt;F85,O85+P85-Q85,0),IF(X85&lt;F85,U85+V85-W85,0),IF(AD85&lt;F85,AA85+AB85-AC85,0)))))</x:f>
        <x:v>0</x:v>
      </x:c>
      <x:c r="H85" s="6" t="n">
        <x:f>ROUND(MAX(0,C85+D85-E85-G85),2)</x:f>
        <x:v>0</x:v>
      </x:c>
      <x:c r="I85" s="6" t="n">
        <x:f>N84</x:f>
        <x:v>0</x:v>
      </x:c>
      <x:c r="J85" s="6" t="n">
        <x:f>ROUND(I85*'Debt strategy'!$D$10/12,2)</x:f>
        <x:v>0</x:v>
      </x:c>
      <x:c r="K85" s="6" t="n">
        <x:f>MIN(I85+J85,'Debt strategy'!$E$10)</x:f>
        <x:v>0</x:v>
      </x:c>
      <x:c r="L85" s="27" t="n">
        <x:f>IF(I85+J85-K85&lt;=0,99,1+SUM(IF(AND(C85+D85-E85&gt;0,OR('Debt strategy'!$D$9&gt;'Debt strategy'!$D$10,AND('Debt strategy'!$D$9='Debt strategy'!$D$10,0&lt;1))),1,0),IF(AND(O85+P85-Q85&gt;0,OR('Debt strategy'!$D$11&gt;'Debt strategy'!$D$10,AND('Debt strategy'!$D$11='Debt strategy'!$D$10,2&lt;1))),1,0),IF(AND(U85+V85-W85&gt;0,OR('Debt strategy'!$D$12&gt;'Debt strategy'!$D$10,AND('Debt strategy'!$D$12='Debt strategy'!$D$10,3&lt;1))),1,0),IF(AND(AA85+AB85-AC85&gt;0,OR('Debt strategy'!$D$13&gt;'Debt strategy'!$D$10,AND('Debt strategy'!$D$13='Debt strategy'!$D$10,4&lt;1))),1,0)))</x:f>
        <x:v>99</x:v>
      </x:c>
      <x:c r="M85" s="6" t="n">
        <x:f>IF('Debt strategy'!$C$16&gt;0,0,MIN(I85+J85-K85,MAX(0,'Debt strategy'!$C$5-SUM(E85,K85,Q85,W85,AC85)-SUM(IF(F85&lt;L85,C85+D85-E85,0),IF(R85&lt;L85,O85+P85-Q85,0),IF(X85&lt;L85,U85+V85-W85,0),IF(AD85&lt;L85,AA85+AB85-AC85,0)))))</x:f>
        <x:v>0</x:v>
      </x:c>
      <x:c r="N85" s="6" t="n">
        <x:f>ROUND(MAX(0,I85+J85-K85-M85),2)</x:f>
        <x:v>0</x:v>
      </x:c>
      <x:c r="O85" s="6" t="n">
        <x:f>T84</x:f>
        <x:v>0</x:v>
      </x:c>
      <x:c r="P85" s="6" t="n">
        <x:f>ROUND(O85*'Debt strategy'!$D$11/12,2)</x:f>
        <x:v>0</x:v>
      </x:c>
      <x:c r="Q85" s="6" t="n">
        <x:f>MIN(O85+P85,'Debt strategy'!$E$11)</x:f>
        <x:v>0</x:v>
      </x:c>
      <x:c r="R85" s="27" t="n">
        <x:f>IF(O85+P85-Q85&lt;=0,99,1+SUM(IF(AND(C85+D85-E85&gt;0,OR('Debt strategy'!$D$9&gt;'Debt strategy'!$D$11,AND('Debt strategy'!$D$9='Debt strategy'!$D$11,0&lt;2))),1,0),IF(AND(I85+J85-K85&gt;0,OR('Debt strategy'!$D$10&gt;'Debt strategy'!$D$11,AND('Debt strategy'!$D$10='Debt strategy'!$D$11,1&lt;2))),1,0),IF(AND(U85+V85-W85&gt;0,OR('Debt strategy'!$D$12&gt;'Debt strategy'!$D$11,AND('Debt strategy'!$D$12='Debt strategy'!$D$11,3&lt;2))),1,0),IF(AND(AA85+AB85-AC85&gt;0,OR('Debt strategy'!$D$13&gt;'Debt strategy'!$D$11,AND('Debt strategy'!$D$13='Debt strategy'!$D$11,4&lt;2))),1,0)))</x:f>
        <x:v>99</x:v>
      </x:c>
      <x:c r="S85" s="6" t="n">
        <x:f>IF('Debt strategy'!$C$16&gt;0,0,MIN(O85+P85-Q85,MAX(0,'Debt strategy'!$C$5-SUM(E85,K85,Q85,W85,AC85)-SUM(IF(F85&lt;R85,C85+D85-E85,0),IF(L85&lt;R85,I85+J85-K85,0),IF(X85&lt;R85,U85+V85-W85,0),IF(AD85&lt;R85,AA85+AB85-AC85,0)))))</x:f>
        <x:v>0</x:v>
      </x:c>
      <x:c r="T85" s="6" t="n">
        <x:f>ROUND(MAX(0,O85+P85-Q85-S85),2)</x:f>
        <x:v>0</x:v>
      </x:c>
      <x:c r="U85" s="6" t="n">
        <x:f>Z84</x:f>
        <x:v>0</x:v>
      </x:c>
      <x:c r="V85" s="6" t="n">
        <x:f>ROUND(U85*'Debt strategy'!$D$12/12,2)</x:f>
        <x:v>0</x:v>
      </x:c>
      <x:c r="W85" s="6" t="n">
        <x:f>MIN(U85+V85,'Debt strategy'!$E$12)</x:f>
        <x:v>0</x:v>
      </x:c>
      <x:c r="X85" s="27" t="n">
        <x:f>IF(U85+V85-W85&lt;=0,99,1+SUM(IF(AND(C85+D85-E85&gt;0,OR('Debt strategy'!$D$9&gt;'Debt strategy'!$D$12,AND('Debt strategy'!$D$9='Debt strategy'!$D$12,0&lt;3))),1,0),IF(AND(I85+J85-K85&gt;0,OR('Debt strategy'!$D$10&gt;'Debt strategy'!$D$12,AND('Debt strategy'!$D$10='Debt strategy'!$D$12,1&lt;3))),1,0),IF(AND(O85+P85-Q85&gt;0,OR('Debt strategy'!$D$11&gt;'Debt strategy'!$D$12,AND('Debt strategy'!$D$11='Debt strategy'!$D$12,2&lt;3))),1,0),IF(AND(AA85+AB85-AC85&gt;0,OR('Debt strategy'!$D$13&gt;'Debt strategy'!$D$12,AND('Debt strategy'!$D$13='Debt strategy'!$D$12,4&lt;3))),1,0)))</x:f>
        <x:v>99</x:v>
      </x:c>
      <x:c r="Y85" s="6" t="n">
        <x:f>IF('Debt strategy'!$C$16&gt;0,0,MIN(U85+V85-W85,MAX(0,'Debt strategy'!$C$5-SUM(E85,K85,Q85,W85,AC85)-SUM(IF(F85&lt;X85,C85+D85-E85,0),IF(L85&lt;X85,I85+J85-K85,0),IF(R85&lt;X85,O85+P85-Q85,0),IF(AD85&lt;X85,AA85+AB85-AC85,0)))))</x:f>
        <x:v>0</x:v>
      </x:c>
      <x:c r="Z85" s="6" t="n">
        <x:f>ROUND(MAX(0,U85+V85-W85-Y85),2)</x:f>
        <x:v>0</x:v>
      </x:c>
      <x:c r="AA85" s="6" t="n">
        <x:f>AF84</x:f>
        <x:v>0</x:v>
      </x:c>
      <x:c r="AB85" s="6" t="n">
        <x:f>ROUND(AA85*'Debt strategy'!$D$13/12,2)</x:f>
        <x:v>0</x:v>
      </x:c>
      <x:c r="AC85" s="6" t="n">
        <x:f>MIN(AA85+AB85,'Debt strategy'!$E$13)</x:f>
        <x:v>0</x:v>
      </x:c>
      <x:c r="AD85" s="27" t="n">
        <x:f>IF(AA85+AB85-AC85&lt;=0,99,1+SUM(IF(AND(C85+D85-E85&gt;0,OR('Debt strategy'!$D$9&gt;'Debt strategy'!$D$13,AND('Debt strategy'!$D$9='Debt strategy'!$D$13,0&lt;4))),1,0),IF(AND(I85+J85-K85&gt;0,OR('Debt strategy'!$D$10&gt;'Debt strategy'!$D$13,AND('Debt strategy'!$D$10='Debt strategy'!$D$13,1&lt;4))),1,0),IF(AND(O85+P85-Q85&gt;0,OR('Debt strategy'!$D$11&gt;'Debt strategy'!$D$13,AND('Debt strategy'!$D$11='Debt strategy'!$D$13,2&lt;4))),1,0),IF(AND(U85+V85-W85&gt;0,OR('Debt strategy'!$D$12&gt;'Debt strategy'!$D$13,AND('Debt strategy'!$D$12='Debt strategy'!$D$13,3&lt;4))),1,0)))</x:f>
        <x:v>99</x:v>
      </x:c>
      <x:c r="AE85" s="6" t="n">
        <x:f>IF('Debt strategy'!$C$16&gt;0,0,MIN(AA85+AB85-AC85,MAX(0,'Debt strategy'!$C$5-SUM(E85,K85,Q85,W85,AC85)-SUM(IF(F85&lt;AD85,C85+D85-E85,0),IF(L85&lt;AD85,I85+J85-K85,0),IF(R85&lt;AD85,O85+P85-Q85,0),IF(X85&lt;AD85,U85+V85-W85,0)))))</x:f>
        <x:v>0</x:v>
      </x:c>
      <x:c r="AF85" s="6" t="n">
        <x:f>ROUND(MAX(0,AA85+AB85-AC85-AE85),2)</x:f>
        <x:v>0</x:v>
      </x:c>
      <x:c r="AG85" s="6" t="n">
        <x:f>SUM(H85,N85,T85,Z85,AF85)</x:f>
        <x:v>0</x:v>
      </x:c>
      <x:c r="AH85" s="6" t="n">
        <x:f>SUM(D85,J85,P85,V85,AB85)+AH84</x:f>
        <x:v>1220.8400000000001</x:v>
      </x:c>
      <x:c r="AI85" s="2"/>
    </x:row>
    <x:row r="86" ht="23" customHeight="1">
      <x:c r="B86" s="2" t="n">
        <x:f>78</x:f>
        <x:v>78</x:v>
      </x:c>
      <x:c r="C86" s="6" t="n">
        <x:f>H85</x:f>
        <x:v>0</x:v>
      </x:c>
      <x:c r="D86" s="6" t="n">
        <x:f>ROUND(C86*'Debt strategy'!$D$9/12,2)</x:f>
        <x:v>0</x:v>
      </x:c>
      <x:c r="E86" s="6" t="n">
        <x:f>MIN(C86+D86,'Debt strategy'!$E$9)</x:f>
        <x:v>0</x:v>
      </x:c>
      <x:c r="F86" s="27" t="n">
        <x:f>IF(C86+D86-E86&lt;=0,99,1+SUM(IF(AND(I86+J86-K86&gt;0,OR('Debt strategy'!$D$10&gt;'Debt strategy'!$D$9,AND('Debt strategy'!$D$10='Debt strategy'!$D$9,1&lt;0))),1,0),IF(AND(O86+P86-Q86&gt;0,OR('Debt strategy'!$D$11&gt;'Debt strategy'!$D$9,AND('Debt strategy'!$D$11='Debt strategy'!$D$9,2&lt;0))),1,0),IF(AND(U86+V86-W86&gt;0,OR('Debt strategy'!$D$12&gt;'Debt strategy'!$D$9,AND('Debt strategy'!$D$12='Debt strategy'!$D$9,3&lt;0))),1,0),IF(AND(AA86+AB86-AC86&gt;0,OR('Debt strategy'!$D$13&gt;'Debt strategy'!$D$9,AND('Debt strategy'!$D$13='Debt strategy'!$D$9,4&lt;0))),1,0)))</x:f>
        <x:v>99</x:v>
      </x:c>
      <x:c r="G86" s="6" t="n">
        <x:f>IF('Debt strategy'!$C$16&gt;0,0,MIN(C86+D86-E86,MAX(0,'Debt strategy'!$C$5-SUM(E86,K86,Q86,W86,AC86)-SUM(IF(L86&lt;F86,I86+J86-K86,0),IF(R86&lt;F86,O86+P86-Q86,0),IF(X86&lt;F86,U86+V86-W86,0),IF(AD86&lt;F86,AA86+AB86-AC86,0)))))</x:f>
        <x:v>0</x:v>
      </x:c>
      <x:c r="H86" s="6" t="n">
        <x:f>ROUND(MAX(0,C86+D86-E86-G86),2)</x:f>
        <x:v>0</x:v>
      </x:c>
      <x:c r="I86" s="6" t="n">
        <x:f>N85</x:f>
        <x:v>0</x:v>
      </x:c>
      <x:c r="J86" s="6" t="n">
        <x:f>ROUND(I86*'Debt strategy'!$D$10/12,2)</x:f>
        <x:v>0</x:v>
      </x:c>
      <x:c r="K86" s="6" t="n">
        <x:f>MIN(I86+J86,'Debt strategy'!$E$10)</x:f>
        <x:v>0</x:v>
      </x:c>
      <x:c r="L86" s="27" t="n">
        <x:f>IF(I86+J86-K86&lt;=0,99,1+SUM(IF(AND(C86+D86-E86&gt;0,OR('Debt strategy'!$D$9&gt;'Debt strategy'!$D$10,AND('Debt strategy'!$D$9='Debt strategy'!$D$10,0&lt;1))),1,0),IF(AND(O86+P86-Q86&gt;0,OR('Debt strategy'!$D$11&gt;'Debt strategy'!$D$10,AND('Debt strategy'!$D$11='Debt strategy'!$D$10,2&lt;1))),1,0),IF(AND(U86+V86-W86&gt;0,OR('Debt strategy'!$D$12&gt;'Debt strategy'!$D$10,AND('Debt strategy'!$D$12='Debt strategy'!$D$10,3&lt;1))),1,0),IF(AND(AA86+AB86-AC86&gt;0,OR('Debt strategy'!$D$13&gt;'Debt strategy'!$D$10,AND('Debt strategy'!$D$13='Debt strategy'!$D$10,4&lt;1))),1,0)))</x:f>
        <x:v>99</x:v>
      </x:c>
      <x:c r="M86" s="6" t="n">
        <x:f>IF('Debt strategy'!$C$16&gt;0,0,MIN(I86+J86-K86,MAX(0,'Debt strategy'!$C$5-SUM(E86,K86,Q86,W86,AC86)-SUM(IF(F86&lt;L86,C86+D86-E86,0),IF(R86&lt;L86,O86+P86-Q86,0),IF(X86&lt;L86,U86+V86-W86,0),IF(AD86&lt;L86,AA86+AB86-AC86,0)))))</x:f>
        <x:v>0</x:v>
      </x:c>
      <x:c r="N86" s="6" t="n">
        <x:f>ROUND(MAX(0,I86+J86-K86-M86),2)</x:f>
        <x:v>0</x:v>
      </x:c>
      <x:c r="O86" s="6" t="n">
        <x:f>T85</x:f>
        <x:v>0</x:v>
      </x:c>
      <x:c r="P86" s="6" t="n">
        <x:f>ROUND(O86*'Debt strategy'!$D$11/12,2)</x:f>
        <x:v>0</x:v>
      </x:c>
      <x:c r="Q86" s="6" t="n">
        <x:f>MIN(O86+P86,'Debt strategy'!$E$11)</x:f>
        <x:v>0</x:v>
      </x:c>
      <x:c r="R86" s="27" t="n">
        <x:f>IF(O86+P86-Q86&lt;=0,99,1+SUM(IF(AND(C86+D86-E86&gt;0,OR('Debt strategy'!$D$9&gt;'Debt strategy'!$D$11,AND('Debt strategy'!$D$9='Debt strategy'!$D$11,0&lt;2))),1,0),IF(AND(I86+J86-K86&gt;0,OR('Debt strategy'!$D$10&gt;'Debt strategy'!$D$11,AND('Debt strategy'!$D$10='Debt strategy'!$D$11,1&lt;2))),1,0),IF(AND(U86+V86-W86&gt;0,OR('Debt strategy'!$D$12&gt;'Debt strategy'!$D$11,AND('Debt strategy'!$D$12='Debt strategy'!$D$11,3&lt;2))),1,0),IF(AND(AA86+AB86-AC86&gt;0,OR('Debt strategy'!$D$13&gt;'Debt strategy'!$D$11,AND('Debt strategy'!$D$13='Debt strategy'!$D$11,4&lt;2))),1,0)))</x:f>
        <x:v>99</x:v>
      </x:c>
      <x:c r="S86" s="6" t="n">
        <x:f>IF('Debt strategy'!$C$16&gt;0,0,MIN(O86+P86-Q86,MAX(0,'Debt strategy'!$C$5-SUM(E86,K86,Q86,W86,AC86)-SUM(IF(F86&lt;R86,C86+D86-E86,0),IF(L86&lt;R86,I86+J86-K86,0),IF(X86&lt;R86,U86+V86-W86,0),IF(AD86&lt;R86,AA86+AB86-AC86,0)))))</x:f>
        <x:v>0</x:v>
      </x:c>
      <x:c r="T86" s="6" t="n">
        <x:f>ROUND(MAX(0,O86+P86-Q86-S86),2)</x:f>
        <x:v>0</x:v>
      </x:c>
      <x:c r="U86" s="6" t="n">
        <x:f>Z85</x:f>
        <x:v>0</x:v>
      </x:c>
      <x:c r="V86" s="6" t="n">
        <x:f>ROUND(U86*'Debt strategy'!$D$12/12,2)</x:f>
        <x:v>0</x:v>
      </x:c>
      <x:c r="W86" s="6" t="n">
        <x:f>MIN(U86+V86,'Debt strategy'!$E$12)</x:f>
        <x:v>0</x:v>
      </x:c>
      <x:c r="X86" s="27" t="n">
        <x:f>IF(U86+V86-W86&lt;=0,99,1+SUM(IF(AND(C86+D86-E86&gt;0,OR('Debt strategy'!$D$9&gt;'Debt strategy'!$D$12,AND('Debt strategy'!$D$9='Debt strategy'!$D$12,0&lt;3))),1,0),IF(AND(I86+J86-K86&gt;0,OR('Debt strategy'!$D$10&gt;'Debt strategy'!$D$12,AND('Debt strategy'!$D$10='Debt strategy'!$D$12,1&lt;3))),1,0),IF(AND(O86+P86-Q86&gt;0,OR('Debt strategy'!$D$11&gt;'Debt strategy'!$D$12,AND('Debt strategy'!$D$11='Debt strategy'!$D$12,2&lt;3))),1,0),IF(AND(AA86+AB86-AC86&gt;0,OR('Debt strategy'!$D$13&gt;'Debt strategy'!$D$12,AND('Debt strategy'!$D$13='Debt strategy'!$D$12,4&lt;3))),1,0)))</x:f>
        <x:v>99</x:v>
      </x:c>
      <x:c r="Y86" s="6" t="n">
        <x:f>IF('Debt strategy'!$C$16&gt;0,0,MIN(U86+V86-W86,MAX(0,'Debt strategy'!$C$5-SUM(E86,K86,Q86,W86,AC86)-SUM(IF(F86&lt;X86,C86+D86-E86,0),IF(L86&lt;X86,I86+J86-K86,0),IF(R86&lt;X86,O86+P86-Q86,0),IF(AD86&lt;X86,AA86+AB86-AC86,0)))))</x:f>
        <x:v>0</x:v>
      </x:c>
      <x:c r="Z86" s="6" t="n">
        <x:f>ROUND(MAX(0,U86+V86-W86-Y86),2)</x:f>
        <x:v>0</x:v>
      </x:c>
      <x:c r="AA86" s="6" t="n">
        <x:f>AF85</x:f>
        <x:v>0</x:v>
      </x:c>
      <x:c r="AB86" s="6" t="n">
        <x:f>ROUND(AA86*'Debt strategy'!$D$13/12,2)</x:f>
        <x:v>0</x:v>
      </x:c>
      <x:c r="AC86" s="6" t="n">
        <x:f>MIN(AA86+AB86,'Debt strategy'!$E$13)</x:f>
        <x:v>0</x:v>
      </x:c>
      <x:c r="AD86" s="27" t="n">
        <x:f>IF(AA86+AB86-AC86&lt;=0,99,1+SUM(IF(AND(C86+D86-E86&gt;0,OR('Debt strategy'!$D$9&gt;'Debt strategy'!$D$13,AND('Debt strategy'!$D$9='Debt strategy'!$D$13,0&lt;4))),1,0),IF(AND(I86+J86-K86&gt;0,OR('Debt strategy'!$D$10&gt;'Debt strategy'!$D$13,AND('Debt strategy'!$D$10='Debt strategy'!$D$13,1&lt;4))),1,0),IF(AND(O86+P86-Q86&gt;0,OR('Debt strategy'!$D$11&gt;'Debt strategy'!$D$13,AND('Debt strategy'!$D$11='Debt strategy'!$D$13,2&lt;4))),1,0),IF(AND(U86+V86-W86&gt;0,OR('Debt strategy'!$D$12&gt;'Debt strategy'!$D$13,AND('Debt strategy'!$D$12='Debt strategy'!$D$13,3&lt;4))),1,0)))</x:f>
        <x:v>99</x:v>
      </x:c>
      <x:c r="AE86" s="6" t="n">
        <x:f>IF('Debt strategy'!$C$16&gt;0,0,MIN(AA86+AB86-AC86,MAX(0,'Debt strategy'!$C$5-SUM(E86,K86,Q86,W86,AC86)-SUM(IF(F86&lt;AD86,C86+D86-E86,0),IF(L86&lt;AD86,I86+J86-K86,0),IF(R86&lt;AD86,O86+P86-Q86,0),IF(X86&lt;AD86,U86+V86-W86,0)))))</x:f>
        <x:v>0</x:v>
      </x:c>
      <x:c r="AF86" s="6" t="n">
        <x:f>ROUND(MAX(0,AA86+AB86-AC86-AE86),2)</x:f>
        <x:v>0</x:v>
      </x:c>
      <x:c r="AG86" s="6" t="n">
        <x:f>SUM(H86,N86,T86,Z86,AF86)</x:f>
        <x:v>0</x:v>
      </x:c>
      <x:c r="AH86" s="6" t="n">
        <x:f>SUM(D86,J86,P86,V86,AB86)+AH85</x:f>
        <x:v>1220.8400000000001</x:v>
      </x:c>
      <x:c r="AI86" s="2"/>
    </x:row>
    <x:row r="87" ht="23" customHeight="1">
      <x:c r="B87" s="2" t="n">
        <x:f>79</x:f>
        <x:v>79</x:v>
      </x:c>
      <x:c r="C87" s="6" t="n">
        <x:f>H86</x:f>
        <x:v>0</x:v>
      </x:c>
      <x:c r="D87" s="6" t="n">
        <x:f>ROUND(C87*'Debt strategy'!$D$9/12,2)</x:f>
        <x:v>0</x:v>
      </x:c>
      <x:c r="E87" s="6" t="n">
        <x:f>MIN(C87+D87,'Debt strategy'!$E$9)</x:f>
        <x:v>0</x:v>
      </x:c>
      <x:c r="F87" s="27" t="n">
        <x:f>IF(C87+D87-E87&lt;=0,99,1+SUM(IF(AND(I87+J87-K87&gt;0,OR('Debt strategy'!$D$10&gt;'Debt strategy'!$D$9,AND('Debt strategy'!$D$10='Debt strategy'!$D$9,1&lt;0))),1,0),IF(AND(O87+P87-Q87&gt;0,OR('Debt strategy'!$D$11&gt;'Debt strategy'!$D$9,AND('Debt strategy'!$D$11='Debt strategy'!$D$9,2&lt;0))),1,0),IF(AND(U87+V87-W87&gt;0,OR('Debt strategy'!$D$12&gt;'Debt strategy'!$D$9,AND('Debt strategy'!$D$12='Debt strategy'!$D$9,3&lt;0))),1,0),IF(AND(AA87+AB87-AC87&gt;0,OR('Debt strategy'!$D$13&gt;'Debt strategy'!$D$9,AND('Debt strategy'!$D$13='Debt strategy'!$D$9,4&lt;0))),1,0)))</x:f>
        <x:v>99</x:v>
      </x:c>
      <x:c r="G87" s="6" t="n">
        <x:f>IF('Debt strategy'!$C$16&gt;0,0,MIN(C87+D87-E87,MAX(0,'Debt strategy'!$C$5-SUM(E87,K87,Q87,W87,AC87)-SUM(IF(L87&lt;F87,I87+J87-K87,0),IF(R87&lt;F87,O87+P87-Q87,0),IF(X87&lt;F87,U87+V87-W87,0),IF(AD87&lt;F87,AA87+AB87-AC87,0)))))</x:f>
        <x:v>0</x:v>
      </x:c>
      <x:c r="H87" s="6" t="n">
        <x:f>ROUND(MAX(0,C87+D87-E87-G87),2)</x:f>
        <x:v>0</x:v>
      </x:c>
      <x:c r="I87" s="6" t="n">
        <x:f>N86</x:f>
        <x:v>0</x:v>
      </x:c>
      <x:c r="J87" s="6" t="n">
        <x:f>ROUND(I87*'Debt strategy'!$D$10/12,2)</x:f>
        <x:v>0</x:v>
      </x:c>
      <x:c r="K87" s="6" t="n">
        <x:f>MIN(I87+J87,'Debt strategy'!$E$10)</x:f>
        <x:v>0</x:v>
      </x:c>
      <x:c r="L87" s="27" t="n">
        <x:f>IF(I87+J87-K87&lt;=0,99,1+SUM(IF(AND(C87+D87-E87&gt;0,OR('Debt strategy'!$D$9&gt;'Debt strategy'!$D$10,AND('Debt strategy'!$D$9='Debt strategy'!$D$10,0&lt;1))),1,0),IF(AND(O87+P87-Q87&gt;0,OR('Debt strategy'!$D$11&gt;'Debt strategy'!$D$10,AND('Debt strategy'!$D$11='Debt strategy'!$D$10,2&lt;1))),1,0),IF(AND(U87+V87-W87&gt;0,OR('Debt strategy'!$D$12&gt;'Debt strategy'!$D$10,AND('Debt strategy'!$D$12='Debt strategy'!$D$10,3&lt;1))),1,0),IF(AND(AA87+AB87-AC87&gt;0,OR('Debt strategy'!$D$13&gt;'Debt strategy'!$D$10,AND('Debt strategy'!$D$13='Debt strategy'!$D$10,4&lt;1))),1,0)))</x:f>
        <x:v>99</x:v>
      </x:c>
      <x:c r="M87" s="6" t="n">
        <x:f>IF('Debt strategy'!$C$16&gt;0,0,MIN(I87+J87-K87,MAX(0,'Debt strategy'!$C$5-SUM(E87,K87,Q87,W87,AC87)-SUM(IF(F87&lt;L87,C87+D87-E87,0),IF(R87&lt;L87,O87+P87-Q87,0),IF(X87&lt;L87,U87+V87-W87,0),IF(AD87&lt;L87,AA87+AB87-AC87,0)))))</x:f>
        <x:v>0</x:v>
      </x:c>
      <x:c r="N87" s="6" t="n">
        <x:f>ROUND(MAX(0,I87+J87-K87-M87),2)</x:f>
        <x:v>0</x:v>
      </x:c>
      <x:c r="O87" s="6" t="n">
        <x:f>T86</x:f>
        <x:v>0</x:v>
      </x:c>
      <x:c r="P87" s="6" t="n">
        <x:f>ROUND(O87*'Debt strategy'!$D$11/12,2)</x:f>
        <x:v>0</x:v>
      </x:c>
      <x:c r="Q87" s="6" t="n">
        <x:f>MIN(O87+P87,'Debt strategy'!$E$11)</x:f>
        <x:v>0</x:v>
      </x:c>
      <x:c r="R87" s="27" t="n">
        <x:f>IF(O87+P87-Q87&lt;=0,99,1+SUM(IF(AND(C87+D87-E87&gt;0,OR('Debt strategy'!$D$9&gt;'Debt strategy'!$D$11,AND('Debt strategy'!$D$9='Debt strategy'!$D$11,0&lt;2))),1,0),IF(AND(I87+J87-K87&gt;0,OR('Debt strategy'!$D$10&gt;'Debt strategy'!$D$11,AND('Debt strategy'!$D$10='Debt strategy'!$D$11,1&lt;2))),1,0),IF(AND(U87+V87-W87&gt;0,OR('Debt strategy'!$D$12&gt;'Debt strategy'!$D$11,AND('Debt strategy'!$D$12='Debt strategy'!$D$11,3&lt;2))),1,0),IF(AND(AA87+AB87-AC87&gt;0,OR('Debt strategy'!$D$13&gt;'Debt strategy'!$D$11,AND('Debt strategy'!$D$13='Debt strategy'!$D$11,4&lt;2))),1,0)))</x:f>
        <x:v>99</x:v>
      </x:c>
      <x:c r="S87" s="6" t="n">
        <x:f>IF('Debt strategy'!$C$16&gt;0,0,MIN(O87+P87-Q87,MAX(0,'Debt strategy'!$C$5-SUM(E87,K87,Q87,W87,AC87)-SUM(IF(F87&lt;R87,C87+D87-E87,0),IF(L87&lt;R87,I87+J87-K87,0),IF(X87&lt;R87,U87+V87-W87,0),IF(AD87&lt;R87,AA87+AB87-AC87,0)))))</x:f>
        <x:v>0</x:v>
      </x:c>
      <x:c r="T87" s="6" t="n">
        <x:f>ROUND(MAX(0,O87+P87-Q87-S87),2)</x:f>
        <x:v>0</x:v>
      </x:c>
      <x:c r="U87" s="6" t="n">
        <x:f>Z86</x:f>
        <x:v>0</x:v>
      </x:c>
      <x:c r="V87" s="6" t="n">
        <x:f>ROUND(U87*'Debt strategy'!$D$12/12,2)</x:f>
        <x:v>0</x:v>
      </x:c>
      <x:c r="W87" s="6" t="n">
        <x:f>MIN(U87+V87,'Debt strategy'!$E$12)</x:f>
        <x:v>0</x:v>
      </x:c>
      <x:c r="X87" s="27" t="n">
        <x:f>IF(U87+V87-W87&lt;=0,99,1+SUM(IF(AND(C87+D87-E87&gt;0,OR('Debt strategy'!$D$9&gt;'Debt strategy'!$D$12,AND('Debt strategy'!$D$9='Debt strategy'!$D$12,0&lt;3))),1,0),IF(AND(I87+J87-K87&gt;0,OR('Debt strategy'!$D$10&gt;'Debt strategy'!$D$12,AND('Debt strategy'!$D$10='Debt strategy'!$D$12,1&lt;3))),1,0),IF(AND(O87+P87-Q87&gt;0,OR('Debt strategy'!$D$11&gt;'Debt strategy'!$D$12,AND('Debt strategy'!$D$11='Debt strategy'!$D$12,2&lt;3))),1,0),IF(AND(AA87+AB87-AC87&gt;0,OR('Debt strategy'!$D$13&gt;'Debt strategy'!$D$12,AND('Debt strategy'!$D$13='Debt strategy'!$D$12,4&lt;3))),1,0)))</x:f>
        <x:v>99</x:v>
      </x:c>
      <x:c r="Y87" s="6" t="n">
        <x:f>IF('Debt strategy'!$C$16&gt;0,0,MIN(U87+V87-W87,MAX(0,'Debt strategy'!$C$5-SUM(E87,K87,Q87,W87,AC87)-SUM(IF(F87&lt;X87,C87+D87-E87,0),IF(L87&lt;X87,I87+J87-K87,0),IF(R87&lt;X87,O87+P87-Q87,0),IF(AD87&lt;X87,AA87+AB87-AC87,0)))))</x:f>
        <x:v>0</x:v>
      </x:c>
      <x:c r="Z87" s="6" t="n">
        <x:f>ROUND(MAX(0,U87+V87-W87-Y87),2)</x:f>
        <x:v>0</x:v>
      </x:c>
      <x:c r="AA87" s="6" t="n">
        <x:f>AF86</x:f>
        <x:v>0</x:v>
      </x:c>
      <x:c r="AB87" s="6" t="n">
        <x:f>ROUND(AA87*'Debt strategy'!$D$13/12,2)</x:f>
        <x:v>0</x:v>
      </x:c>
      <x:c r="AC87" s="6" t="n">
        <x:f>MIN(AA87+AB87,'Debt strategy'!$E$13)</x:f>
        <x:v>0</x:v>
      </x:c>
      <x:c r="AD87" s="27" t="n">
        <x:f>IF(AA87+AB87-AC87&lt;=0,99,1+SUM(IF(AND(C87+D87-E87&gt;0,OR('Debt strategy'!$D$9&gt;'Debt strategy'!$D$13,AND('Debt strategy'!$D$9='Debt strategy'!$D$13,0&lt;4))),1,0),IF(AND(I87+J87-K87&gt;0,OR('Debt strategy'!$D$10&gt;'Debt strategy'!$D$13,AND('Debt strategy'!$D$10='Debt strategy'!$D$13,1&lt;4))),1,0),IF(AND(O87+P87-Q87&gt;0,OR('Debt strategy'!$D$11&gt;'Debt strategy'!$D$13,AND('Debt strategy'!$D$11='Debt strategy'!$D$13,2&lt;4))),1,0),IF(AND(U87+V87-W87&gt;0,OR('Debt strategy'!$D$12&gt;'Debt strategy'!$D$13,AND('Debt strategy'!$D$12='Debt strategy'!$D$13,3&lt;4))),1,0)))</x:f>
        <x:v>99</x:v>
      </x:c>
      <x:c r="AE87" s="6" t="n">
        <x:f>IF('Debt strategy'!$C$16&gt;0,0,MIN(AA87+AB87-AC87,MAX(0,'Debt strategy'!$C$5-SUM(E87,K87,Q87,W87,AC87)-SUM(IF(F87&lt;AD87,C87+D87-E87,0),IF(L87&lt;AD87,I87+J87-K87,0),IF(R87&lt;AD87,O87+P87-Q87,0),IF(X87&lt;AD87,U87+V87-W87,0)))))</x:f>
        <x:v>0</x:v>
      </x:c>
      <x:c r="AF87" s="6" t="n">
        <x:f>ROUND(MAX(0,AA87+AB87-AC87-AE87),2)</x:f>
        <x:v>0</x:v>
      </x:c>
      <x:c r="AG87" s="6" t="n">
        <x:f>SUM(H87,N87,T87,Z87,AF87)</x:f>
        <x:v>0</x:v>
      </x:c>
      <x:c r="AH87" s="6" t="n">
        <x:f>SUM(D87,J87,P87,V87,AB87)+AH86</x:f>
        <x:v>1220.8400000000001</x:v>
      </x:c>
      <x:c r="AI87" s="2"/>
    </x:row>
    <x:row r="88" ht="23" customHeight="1">
      <x:c r="B88" s="2" t="n">
        <x:f>80</x:f>
        <x:v>80</x:v>
      </x:c>
      <x:c r="C88" s="6" t="n">
        <x:f>H87</x:f>
        <x:v>0</x:v>
      </x:c>
      <x:c r="D88" s="6" t="n">
        <x:f>ROUND(C88*'Debt strategy'!$D$9/12,2)</x:f>
        <x:v>0</x:v>
      </x:c>
      <x:c r="E88" s="6" t="n">
        <x:f>MIN(C88+D88,'Debt strategy'!$E$9)</x:f>
        <x:v>0</x:v>
      </x:c>
      <x:c r="F88" s="27" t="n">
        <x:f>IF(C88+D88-E88&lt;=0,99,1+SUM(IF(AND(I88+J88-K88&gt;0,OR('Debt strategy'!$D$10&gt;'Debt strategy'!$D$9,AND('Debt strategy'!$D$10='Debt strategy'!$D$9,1&lt;0))),1,0),IF(AND(O88+P88-Q88&gt;0,OR('Debt strategy'!$D$11&gt;'Debt strategy'!$D$9,AND('Debt strategy'!$D$11='Debt strategy'!$D$9,2&lt;0))),1,0),IF(AND(U88+V88-W88&gt;0,OR('Debt strategy'!$D$12&gt;'Debt strategy'!$D$9,AND('Debt strategy'!$D$12='Debt strategy'!$D$9,3&lt;0))),1,0),IF(AND(AA88+AB88-AC88&gt;0,OR('Debt strategy'!$D$13&gt;'Debt strategy'!$D$9,AND('Debt strategy'!$D$13='Debt strategy'!$D$9,4&lt;0))),1,0)))</x:f>
        <x:v>99</x:v>
      </x:c>
      <x:c r="G88" s="6" t="n">
        <x:f>IF('Debt strategy'!$C$16&gt;0,0,MIN(C88+D88-E88,MAX(0,'Debt strategy'!$C$5-SUM(E88,K88,Q88,W88,AC88)-SUM(IF(L88&lt;F88,I88+J88-K88,0),IF(R88&lt;F88,O88+P88-Q88,0),IF(X88&lt;F88,U88+V88-W88,0),IF(AD88&lt;F88,AA88+AB88-AC88,0)))))</x:f>
        <x:v>0</x:v>
      </x:c>
      <x:c r="H88" s="6" t="n">
        <x:f>ROUND(MAX(0,C88+D88-E88-G88),2)</x:f>
        <x:v>0</x:v>
      </x:c>
      <x:c r="I88" s="6" t="n">
        <x:f>N87</x:f>
        <x:v>0</x:v>
      </x:c>
      <x:c r="J88" s="6" t="n">
        <x:f>ROUND(I88*'Debt strategy'!$D$10/12,2)</x:f>
        <x:v>0</x:v>
      </x:c>
      <x:c r="K88" s="6" t="n">
        <x:f>MIN(I88+J88,'Debt strategy'!$E$10)</x:f>
        <x:v>0</x:v>
      </x:c>
      <x:c r="L88" s="27" t="n">
        <x:f>IF(I88+J88-K88&lt;=0,99,1+SUM(IF(AND(C88+D88-E88&gt;0,OR('Debt strategy'!$D$9&gt;'Debt strategy'!$D$10,AND('Debt strategy'!$D$9='Debt strategy'!$D$10,0&lt;1))),1,0),IF(AND(O88+P88-Q88&gt;0,OR('Debt strategy'!$D$11&gt;'Debt strategy'!$D$10,AND('Debt strategy'!$D$11='Debt strategy'!$D$10,2&lt;1))),1,0),IF(AND(U88+V88-W88&gt;0,OR('Debt strategy'!$D$12&gt;'Debt strategy'!$D$10,AND('Debt strategy'!$D$12='Debt strategy'!$D$10,3&lt;1))),1,0),IF(AND(AA88+AB88-AC88&gt;0,OR('Debt strategy'!$D$13&gt;'Debt strategy'!$D$10,AND('Debt strategy'!$D$13='Debt strategy'!$D$10,4&lt;1))),1,0)))</x:f>
        <x:v>99</x:v>
      </x:c>
      <x:c r="M88" s="6" t="n">
        <x:f>IF('Debt strategy'!$C$16&gt;0,0,MIN(I88+J88-K88,MAX(0,'Debt strategy'!$C$5-SUM(E88,K88,Q88,W88,AC88)-SUM(IF(F88&lt;L88,C88+D88-E88,0),IF(R88&lt;L88,O88+P88-Q88,0),IF(X88&lt;L88,U88+V88-W88,0),IF(AD88&lt;L88,AA88+AB88-AC88,0)))))</x:f>
        <x:v>0</x:v>
      </x:c>
      <x:c r="N88" s="6" t="n">
        <x:f>ROUND(MAX(0,I88+J88-K88-M88),2)</x:f>
        <x:v>0</x:v>
      </x:c>
      <x:c r="O88" s="6" t="n">
        <x:f>T87</x:f>
        <x:v>0</x:v>
      </x:c>
      <x:c r="P88" s="6" t="n">
        <x:f>ROUND(O88*'Debt strategy'!$D$11/12,2)</x:f>
        <x:v>0</x:v>
      </x:c>
      <x:c r="Q88" s="6" t="n">
        <x:f>MIN(O88+P88,'Debt strategy'!$E$11)</x:f>
        <x:v>0</x:v>
      </x:c>
      <x:c r="R88" s="27" t="n">
        <x:f>IF(O88+P88-Q88&lt;=0,99,1+SUM(IF(AND(C88+D88-E88&gt;0,OR('Debt strategy'!$D$9&gt;'Debt strategy'!$D$11,AND('Debt strategy'!$D$9='Debt strategy'!$D$11,0&lt;2))),1,0),IF(AND(I88+J88-K88&gt;0,OR('Debt strategy'!$D$10&gt;'Debt strategy'!$D$11,AND('Debt strategy'!$D$10='Debt strategy'!$D$11,1&lt;2))),1,0),IF(AND(U88+V88-W88&gt;0,OR('Debt strategy'!$D$12&gt;'Debt strategy'!$D$11,AND('Debt strategy'!$D$12='Debt strategy'!$D$11,3&lt;2))),1,0),IF(AND(AA88+AB88-AC88&gt;0,OR('Debt strategy'!$D$13&gt;'Debt strategy'!$D$11,AND('Debt strategy'!$D$13='Debt strategy'!$D$11,4&lt;2))),1,0)))</x:f>
        <x:v>99</x:v>
      </x:c>
      <x:c r="S88" s="6" t="n">
        <x:f>IF('Debt strategy'!$C$16&gt;0,0,MIN(O88+P88-Q88,MAX(0,'Debt strategy'!$C$5-SUM(E88,K88,Q88,W88,AC88)-SUM(IF(F88&lt;R88,C88+D88-E88,0),IF(L88&lt;R88,I88+J88-K88,0),IF(X88&lt;R88,U88+V88-W88,0),IF(AD88&lt;R88,AA88+AB88-AC88,0)))))</x:f>
        <x:v>0</x:v>
      </x:c>
      <x:c r="T88" s="6" t="n">
        <x:f>ROUND(MAX(0,O88+P88-Q88-S88),2)</x:f>
        <x:v>0</x:v>
      </x:c>
      <x:c r="U88" s="6" t="n">
        <x:f>Z87</x:f>
        <x:v>0</x:v>
      </x:c>
      <x:c r="V88" s="6" t="n">
        <x:f>ROUND(U88*'Debt strategy'!$D$12/12,2)</x:f>
        <x:v>0</x:v>
      </x:c>
      <x:c r="W88" s="6" t="n">
        <x:f>MIN(U88+V88,'Debt strategy'!$E$12)</x:f>
        <x:v>0</x:v>
      </x:c>
      <x:c r="X88" s="27" t="n">
        <x:f>IF(U88+V88-W88&lt;=0,99,1+SUM(IF(AND(C88+D88-E88&gt;0,OR('Debt strategy'!$D$9&gt;'Debt strategy'!$D$12,AND('Debt strategy'!$D$9='Debt strategy'!$D$12,0&lt;3))),1,0),IF(AND(I88+J88-K88&gt;0,OR('Debt strategy'!$D$10&gt;'Debt strategy'!$D$12,AND('Debt strategy'!$D$10='Debt strategy'!$D$12,1&lt;3))),1,0),IF(AND(O88+P88-Q88&gt;0,OR('Debt strategy'!$D$11&gt;'Debt strategy'!$D$12,AND('Debt strategy'!$D$11='Debt strategy'!$D$12,2&lt;3))),1,0),IF(AND(AA88+AB88-AC88&gt;0,OR('Debt strategy'!$D$13&gt;'Debt strategy'!$D$12,AND('Debt strategy'!$D$13='Debt strategy'!$D$12,4&lt;3))),1,0)))</x:f>
        <x:v>99</x:v>
      </x:c>
      <x:c r="Y88" s="6" t="n">
        <x:f>IF('Debt strategy'!$C$16&gt;0,0,MIN(U88+V88-W88,MAX(0,'Debt strategy'!$C$5-SUM(E88,K88,Q88,W88,AC88)-SUM(IF(F88&lt;X88,C88+D88-E88,0),IF(L88&lt;X88,I88+J88-K88,0),IF(R88&lt;X88,O88+P88-Q88,0),IF(AD88&lt;X88,AA88+AB88-AC88,0)))))</x:f>
        <x:v>0</x:v>
      </x:c>
      <x:c r="Z88" s="6" t="n">
        <x:f>ROUND(MAX(0,U88+V88-W88-Y88),2)</x:f>
        <x:v>0</x:v>
      </x:c>
      <x:c r="AA88" s="6" t="n">
        <x:f>AF87</x:f>
        <x:v>0</x:v>
      </x:c>
      <x:c r="AB88" s="6" t="n">
        <x:f>ROUND(AA88*'Debt strategy'!$D$13/12,2)</x:f>
        <x:v>0</x:v>
      </x:c>
      <x:c r="AC88" s="6" t="n">
        <x:f>MIN(AA88+AB88,'Debt strategy'!$E$13)</x:f>
        <x:v>0</x:v>
      </x:c>
      <x:c r="AD88" s="27" t="n">
        <x:f>IF(AA88+AB88-AC88&lt;=0,99,1+SUM(IF(AND(C88+D88-E88&gt;0,OR('Debt strategy'!$D$9&gt;'Debt strategy'!$D$13,AND('Debt strategy'!$D$9='Debt strategy'!$D$13,0&lt;4))),1,0),IF(AND(I88+J88-K88&gt;0,OR('Debt strategy'!$D$10&gt;'Debt strategy'!$D$13,AND('Debt strategy'!$D$10='Debt strategy'!$D$13,1&lt;4))),1,0),IF(AND(O88+P88-Q88&gt;0,OR('Debt strategy'!$D$11&gt;'Debt strategy'!$D$13,AND('Debt strategy'!$D$11='Debt strategy'!$D$13,2&lt;4))),1,0),IF(AND(U88+V88-W88&gt;0,OR('Debt strategy'!$D$12&gt;'Debt strategy'!$D$13,AND('Debt strategy'!$D$12='Debt strategy'!$D$13,3&lt;4))),1,0)))</x:f>
        <x:v>99</x:v>
      </x:c>
      <x:c r="AE88" s="6" t="n">
        <x:f>IF('Debt strategy'!$C$16&gt;0,0,MIN(AA88+AB88-AC88,MAX(0,'Debt strategy'!$C$5-SUM(E88,K88,Q88,W88,AC88)-SUM(IF(F88&lt;AD88,C88+D88-E88,0),IF(L88&lt;AD88,I88+J88-K88,0),IF(R88&lt;AD88,O88+P88-Q88,0),IF(X88&lt;AD88,U88+V88-W88,0)))))</x:f>
        <x:v>0</x:v>
      </x:c>
      <x:c r="AF88" s="6" t="n">
        <x:f>ROUND(MAX(0,AA88+AB88-AC88-AE88),2)</x:f>
        <x:v>0</x:v>
      </x:c>
      <x:c r="AG88" s="6" t="n">
        <x:f>SUM(H88,N88,T88,Z88,AF88)</x:f>
        <x:v>0</x:v>
      </x:c>
      <x:c r="AH88" s="6" t="n">
        <x:f>SUM(D88,J88,P88,V88,AB88)+AH87</x:f>
        <x:v>1220.8400000000001</x:v>
      </x:c>
      <x:c r="AI88" s="2"/>
    </x:row>
    <x:row r="89" ht="23" customHeight="1">
      <x:c r="B89" s="2" t="n">
        <x:f>81</x:f>
        <x:v>81</x:v>
      </x:c>
      <x:c r="C89" s="6" t="n">
        <x:f>H88</x:f>
        <x:v>0</x:v>
      </x:c>
      <x:c r="D89" s="6" t="n">
        <x:f>ROUND(C89*'Debt strategy'!$D$9/12,2)</x:f>
        <x:v>0</x:v>
      </x:c>
      <x:c r="E89" s="6" t="n">
        <x:f>MIN(C89+D89,'Debt strategy'!$E$9)</x:f>
        <x:v>0</x:v>
      </x:c>
      <x:c r="F89" s="27" t="n">
        <x:f>IF(C89+D89-E89&lt;=0,99,1+SUM(IF(AND(I89+J89-K89&gt;0,OR('Debt strategy'!$D$10&gt;'Debt strategy'!$D$9,AND('Debt strategy'!$D$10='Debt strategy'!$D$9,1&lt;0))),1,0),IF(AND(O89+P89-Q89&gt;0,OR('Debt strategy'!$D$11&gt;'Debt strategy'!$D$9,AND('Debt strategy'!$D$11='Debt strategy'!$D$9,2&lt;0))),1,0),IF(AND(U89+V89-W89&gt;0,OR('Debt strategy'!$D$12&gt;'Debt strategy'!$D$9,AND('Debt strategy'!$D$12='Debt strategy'!$D$9,3&lt;0))),1,0),IF(AND(AA89+AB89-AC89&gt;0,OR('Debt strategy'!$D$13&gt;'Debt strategy'!$D$9,AND('Debt strategy'!$D$13='Debt strategy'!$D$9,4&lt;0))),1,0)))</x:f>
        <x:v>99</x:v>
      </x:c>
      <x:c r="G89" s="6" t="n">
        <x:f>IF('Debt strategy'!$C$16&gt;0,0,MIN(C89+D89-E89,MAX(0,'Debt strategy'!$C$5-SUM(E89,K89,Q89,W89,AC89)-SUM(IF(L89&lt;F89,I89+J89-K89,0),IF(R89&lt;F89,O89+P89-Q89,0),IF(X89&lt;F89,U89+V89-W89,0),IF(AD89&lt;F89,AA89+AB89-AC89,0)))))</x:f>
        <x:v>0</x:v>
      </x:c>
      <x:c r="H89" s="6" t="n">
        <x:f>ROUND(MAX(0,C89+D89-E89-G89),2)</x:f>
        <x:v>0</x:v>
      </x:c>
      <x:c r="I89" s="6" t="n">
        <x:f>N88</x:f>
        <x:v>0</x:v>
      </x:c>
      <x:c r="J89" s="6" t="n">
        <x:f>ROUND(I89*'Debt strategy'!$D$10/12,2)</x:f>
        <x:v>0</x:v>
      </x:c>
      <x:c r="K89" s="6" t="n">
        <x:f>MIN(I89+J89,'Debt strategy'!$E$10)</x:f>
        <x:v>0</x:v>
      </x:c>
      <x:c r="L89" s="27" t="n">
        <x:f>IF(I89+J89-K89&lt;=0,99,1+SUM(IF(AND(C89+D89-E89&gt;0,OR('Debt strategy'!$D$9&gt;'Debt strategy'!$D$10,AND('Debt strategy'!$D$9='Debt strategy'!$D$10,0&lt;1))),1,0),IF(AND(O89+P89-Q89&gt;0,OR('Debt strategy'!$D$11&gt;'Debt strategy'!$D$10,AND('Debt strategy'!$D$11='Debt strategy'!$D$10,2&lt;1))),1,0),IF(AND(U89+V89-W89&gt;0,OR('Debt strategy'!$D$12&gt;'Debt strategy'!$D$10,AND('Debt strategy'!$D$12='Debt strategy'!$D$10,3&lt;1))),1,0),IF(AND(AA89+AB89-AC89&gt;0,OR('Debt strategy'!$D$13&gt;'Debt strategy'!$D$10,AND('Debt strategy'!$D$13='Debt strategy'!$D$10,4&lt;1))),1,0)))</x:f>
        <x:v>99</x:v>
      </x:c>
      <x:c r="M89" s="6" t="n">
        <x:f>IF('Debt strategy'!$C$16&gt;0,0,MIN(I89+J89-K89,MAX(0,'Debt strategy'!$C$5-SUM(E89,K89,Q89,W89,AC89)-SUM(IF(F89&lt;L89,C89+D89-E89,0),IF(R89&lt;L89,O89+P89-Q89,0),IF(X89&lt;L89,U89+V89-W89,0),IF(AD89&lt;L89,AA89+AB89-AC89,0)))))</x:f>
        <x:v>0</x:v>
      </x:c>
      <x:c r="N89" s="6" t="n">
        <x:f>ROUND(MAX(0,I89+J89-K89-M89),2)</x:f>
        <x:v>0</x:v>
      </x:c>
      <x:c r="O89" s="6" t="n">
        <x:f>T88</x:f>
        <x:v>0</x:v>
      </x:c>
      <x:c r="P89" s="6" t="n">
        <x:f>ROUND(O89*'Debt strategy'!$D$11/12,2)</x:f>
        <x:v>0</x:v>
      </x:c>
      <x:c r="Q89" s="6" t="n">
        <x:f>MIN(O89+P89,'Debt strategy'!$E$11)</x:f>
        <x:v>0</x:v>
      </x:c>
      <x:c r="R89" s="27" t="n">
        <x:f>IF(O89+P89-Q89&lt;=0,99,1+SUM(IF(AND(C89+D89-E89&gt;0,OR('Debt strategy'!$D$9&gt;'Debt strategy'!$D$11,AND('Debt strategy'!$D$9='Debt strategy'!$D$11,0&lt;2))),1,0),IF(AND(I89+J89-K89&gt;0,OR('Debt strategy'!$D$10&gt;'Debt strategy'!$D$11,AND('Debt strategy'!$D$10='Debt strategy'!$D$11,1&lt;2))),1,0),IF(AND(U89+V89-W89&gt;0,OR('Debt strategy'!$D$12&gt;'Debt strategy'!$D$11,AND('Debt strategy'!$D$12='Debt strategy'!$D$11,3&lt;2))),1,0),IF(AND(AA89+AB89-AC89&gt;0,OR('Debt strategy'!$D$13&gt;'Debt strategy'!$D$11,AND('Debt strategy'!$D$13='Debt strategy'!$D$11,4&lt;2))),1,0)))</x:f>
        <x:v>99</x:v>
      </x:c>
      <x:c r="S89" s="6" t="n">
        <x:f>IF('Debt strategy'!$C$16&gt;0,0,MIN(O89+P89-Q89,MAX(0,'Debt strategy'!$C$5-SUM(E89,K89,Q89,W89,AC89)-SUM(IF(F89&lt;R89,C89+D89-E89,0),IF(L89&lt;R89,I89+J89-K89,0),IF(X89&lt;R89,U89+V89-W89,0),IF(AD89&lt;R89,AA89+AB89-AC89,0)))))</x:f>
        <x:v>0</x:v>
      </x:c>
      <x:c r="T89" s="6" t="n">
        <x:f>ROUND(MAX(0,O89+P89-Q89-S89),2)</x:f>
        <x:v>0</x:v>
      </x:c>
      <x:c r="U89" s="6" t="n">
        <x:f>Z88</x:f>
        <x:v>0</x:v>
      </x:c>
      <x:c r="V89" s="6" t="n">
        <x:f>ROUND(U89*'Debt strategy'!$D$12/12,2)</x:f>
        <x:v>0</x:v>
      </x:c>
      <x:c r="W89" s="6" t="n">
        <x:f>MIN(U89+V89,'Debt strategy'!$E$12)</x:f>
        <x:v>0</x:v>
      </x:c>
      <x:c r="X89" s="27" t="n">
        <x:f>IF(U89+V89-W89&lt;=0,99,1+SUM(IF(AND(C89+D89-E89&gt;0,OR('Debt strategy'!$D$9&gt;'Debt strategy'!$D$12,AND('Debt strategy'!$D$9='Debt strategy'!$D$12,0&lt;3))),1,0),IF(AND(I89+J89-K89&gt;0,OR('Debt strategy'!$D$10&gt;'Debt strategy'!$D$12,AND('Debt strategy'!$D$10='Debt strategy'!$D$12,1&lt;3))),1,0),IF(AND(O89+P89-Q89&gt;0,OR('Debt strategy'!$D$11&gt;'Debt strategy'!$D$12,AND('Debt strategy'!$D$11='Debt strategy'!$D$12,2&lt;3))),1,0),IF(AND(AA89+AB89-AC89&gt;0,OR('Debt strategy'!$D$13&gt;'Debt strategy'!$D$12,AND('Debt strategy'!$D$13='Debt strategy'!$D$12,4&lt;3))),1,0)))</x:f>
        <x:v>99</x:v>
      </x:c>
      <x:c r="Y89" s="6" t="n">
        <x:f>IF('Debt strategy'!$C$16&gt;0,0,MIN(U89+V89-W89,MAX(0,'Debt strategy'!$C$5-SUM(E89,K89,Q89,W89,AC89)-SUM(IF(F89&lt;X89,C89+D89-E89,0),IF(L89&lt;X89,I89+J89-K89,0),IF(R89&lt;X89,O89+P89-Q89,0),IF(AD89&lt;X89,AA89+AB89-AC89,0)))))</x:f>
        <x:v>0</x:v>
      </x:c>
      <x:c r="Z89" s="6" t="n">
        <x:f>ROUND(MAX(0,U89+V89-W89-Y89),2)</x:f>
        <x:v>0</x:v>
      </x:c>
      <x:c r="AA89" s="6" t="n">
        <x:f>AF88</x:f>
        <x:v>0</x:v>
      </x:c>
      <x:c r="AB89" s="6" t="n">
        <x:f>ROUND(AA89*'Debt strategy'!$D$13/12,2)</x:f>
        <x:v>0</x:v>
      </x:c>
      <x:c r="AC89" s="6" t="n">
        <x:f>MIN(AA89+AB89,'Debt strategy'!$E$13)</x:f>
        <x:v>0</x:v>
      </x:c>
      <x:c r="AD89" s="27" t="n">
        <x:f>IF(AA89+AB89-AC89&lt;=0,99,1+SUM(IF(AND(C89+D89-E89&gt;0,OR('Debt strategy'!$D$9&gt;'Debt strategy'!$D$13,AND('Debt strategy'!$D$9='Debt strategy'!$D$13,0&lt;4))),1,0),IF(AND(I89+J89-K89&gt;0,OR('Debt strategy'!$D$10&gt;'Debt strategy'!$D$13,AND('Debt strategy'!$D$10='Debt strategy'!$D$13,1&lt;4))),1,0),IF(AND(O89+P89-Q89&gt;0,OR('Debt strategy'!$D$11&gt;'Debt strategy'!$D$13,AND('Debt strategy'!$D$11='Debt strategy'!$D$13,2&lt;4))),1,0),IF(AND(U89+V89-W89&gt;0,OR('Debt strategy'!$D$12&gt;'Debt strategy'!$D$13,AND('Debt strategy'!$D$12='Debt strategy'!$D$13,3&lt;4))),1,0)))</x:f>
        <x:v>99</x:v>
      </x:c>
      <x:c r="AE89" s="6" t="n">
        <x:f>IF('Debt strategy'!$C$16&gt;0,0,MIN(AA89+AB89-AC89,MAX(0,'Debt strategy'!$C$5-SUM(E89,K89,Q89,W89,AC89)-SUM(IF(F89&lt;AD89,C89+D89-E89,0),IF(L89&lt;AD89,I89+J89-K89,0),IF(R89&lt;AD89,O89+P89-Q89,0),IF(X89&lt;AD89,U89+V89-W89,0)))))</x:f>
        <x:v>0</x:v>
      </x:c>
      <x:c r="AF89" s="6" t="n">
        <x:f>ROUND(MAX(0,AA89+AB89-AC89-AE89),2)</x:f>
        <x:v>0</x:v>
      </x:c>
      <x:c r="AG89" s="6" t="n">
        <x:f>SUM(H89,N89,T89,Z89,AF89)</x:f>
        <x:v>0</x:v>
      </x:c>
      <x:c r="AH89" s="6" t="n">
        <x:f>SUM(D89,J89,P89,V89,AB89)+AH88</x:f>
        <x:v>1220.8400000000001</x:v>
      </x:c>
      <x:c r="AI89" s="2"/>
    </x:row>
    <x:row r="90" ht="23" customHeight="1">
      <x:c r="B90" s="2" t="n">
        <x:f>82</x:f>
        <x:v>82</x:v>
      </x:c>
      <x:c r="C90" s="6" t="n">
        <x:f>H89</x:f>
        <x:v>0</x:v>
      </x:c>
      <x:c r="D90" s="6" t="n">
        <x:f>ROUND(C90*'Debt strategy'!$D$9/12,2)</x:f>
        <x:v>0</x:v>
      </x:c>
      <x:c r="E90" s="6" t="n">
        <x:f>MIN(C90+D90,'Debt strategy'!$E$9)</x:f>
        <x:v>0</x:v>
      </x:c>
      <x:c r="F90" s="27" t="n">
        <x:f>IF(C90+D90-E90&lt;=0,99,1+SUM(IF(AND(I90+J90-K90&gt;0,OR('Debt strategy'!$D$10&gt;'Debt strategy'!$D$9,AND('Debt strategy'!$D$10='Debt strategy'!$D$9,1&lt;0))),1,0),IF(AND(O90+P90-Q90&gt;0,OR('Debt strategy'!$D$11&gt;'Debt strategy'!$D$9,AND('Debt strategy'!$D$11='Debt strategy'!$D$9,2&lt;0))),1,0),IF(AND(U90+V90-W90&gt;0,OR('Debt strategy'!$D$12&gt;'Debt strategy'!$D$9,AND('Debt strategy'!$D$12='Debt strategy'!$D$9,3&lt;0))),1,0),IF(AND(AA90+AB90-AC90&gt;0,OR('Debt strategy'!$D$13&gt;'Debt strategy'!$D$9,AND('Debt strategy'!$D$13='Debt strategy'!$D$9,4&lt;0))),1,0)))</x:f>
        <x:v>99</x:v>
      </x:c>
      <x:c r="G90" s="6" t="n">
        <x:f>IF('Debt strategy'!$C$16&gt;0,0,MIN(C90+D90-E90,MAX(0,'Debt strategy'!$C$5-SUM(E90,K90,Q90,W90,AC90)-SUM(IF(L90&lt;F90,I90+J90-K90,0),IF(R90&lt;F90,O90+P90-Q90,0),IF(X90&lt;F90,U90+V90-W90,0),IF(AD90&lt;F90,AA90+AB90-AC90,0)))))</x:f>
        <x:v>0</x:v>
      </x:c>
      <x:c r="H90" s="6" t="n">
        <x:f>ROUND(MAX(0,C90+D90-E90-G90),2)</x:f>
        <x:v>0</x:v>
      </x:c>
      <x:c r="I90" s="6" t="n">
        <x:f>N89</x:f>
        <x:v>0</x:v>
      </x:c>
      <x:c r="J90" s="6" t="n">
        <x:f>ROUND(I90*'Debt strategy'!$D$10/12,2)</x:f>
        <x:v>0</x:v>
      </x:c>
      <x:c r="K90" s="6" t="n">
        <x:f>MIN(I90+J90,'Debt strategy'!$E$10)</x:f>
        <x:v>0</x:v>
      </x:c>
      <x:c r="L90" s="27" t="n">
        <x:f>IF(I90+J90-K90&lt;=0,99,1+SUM(IF(AND(C90+D90-E90&gt;0,OR('Debt strategy'!$D$9&gt;'Debt strategy'!$D$10,AND('Debt strategy'!$D$9='Debt strategy'!$D$10,0&lt;1))),1,0),IF(AND(O90+P90-Q90&gt;0,OR('Debt strategy'!$D$11&gt;'Debt strategy'!$D$10,AND('Debt strategy'!$D$11='Debt strategy'!$D$10,2&lt;1))),1,0),IF(AND(U90+V90-W90&gt;0,OR('Debt strategy'!$D$12&gt;'Debt strategy'!$D$10,AND('Debt strategy'!$D$12='Debt strategy'!$D$10,3&lt;1))),1,0),IF(AND(AA90+AB90-AC90&gt;0,OR('Debt strategy'!$D$13&gt;'Debt strategy'!$D$10,AND('Debt strategy'!$D$13='Debt strategy'!$D$10,4&lt;1))),1,0)))</x:f>
        <x:v>99</x:v>
      </x:c>
      <x:c r="M90" s="6" t="n">
        <x:f>IF('Debt strategy'!$C$16&gt;0,0,MIN(I90+J90-K90,MAX(0,'Debt strategy'!$C$5-SUM(E90,K90,Q90,W90,AC90)-SUM(IF(F90&lt;L90,C90+D90-E90,0),IF(R90&lt;L90,O90+P90-Q90,0),IF(X90&lt;L90,U90+V90-W90,0),IF(AD90&lt;L90,AA90+AB90-AC90,0)))))</x:f>
        <x:v>0</x:v>
      </x:c>
      <x:c r="N90" s="6" t="n">
        <x:f>ROUND(MAX(0,I90+J90-K90-M90),2)</x:f>
        <x:v>0</x:v>
      </x:c>
      <x:c r="O90" s="6" t="n">
        <x:f>T89</x:f>
        <x:v>0</x:v>
      </x:c>
      <x:c r="P90" s="6" t="n">
        <x:f>ROUND(O90*'Debt strategy'!$D$11/12,2)</x:f>
        <x:v>0</x:v>
      </x:c>
      <x:c r="Q90" s="6" t="n">
        <x:f>MIN(O90+P90,'Debt strategy'!$E$11)</x:f>
        <x:v>0</x:v>
      </x:c>
      <x:c r="R90" s="27" t="n">
        <x:f>IF(O90+P90-Q90&lt;=0,99,1+SUM(IF(AND(C90+D90-E90&gt;0,OR('Debt strategy'!$D$9&gt;'Debt strategy'!$D$11,AND('Debt strategy'!$D$9='Debt strategy'!$D$11,0&lt;2))),1,0),IF(AND(I90+J90-K90&gt;0,OR('Debt strategy'!$D$10&gt;'Debt strategy'!$D$11,AND('Debt strategy'!$D$10='Debt strategy'!$D$11,1&lt;2))),1,0),IF(AND(U90+V90-W90&gt;0,OR('Debt strategy'!$D$12&gt;'Debt strategy'!$D$11,AND('Debt strategy'!$D$12='Debt strategy'!$D$11,3&lt;2))),1,0),IF(AND(AA90+AB90-AC90&gt;0,OR('Debt strategy'!$D$13&gt;'Debt strategy'!$D$11,AND('Debt strategy'!$D$13='Debt strategy'!$D$11,4&lt;2))),1,0)))</x:f>
        <x:v>99</x:v>
      </x:c>
      <x:c r="S90" s="6" t="n">
        <x:f>IF('Debt strategy'!$C$16&gt;0,0,MIN(O90+P90-Q90,MAX(0,'Debt strategy'!$C$5-SUM(E90,K90,Q90,W90,AC90)-SUM(IF(F90&lt;R90,C90+D90-E90,0),IF(L90&lt;R90,I90+J90-K90,0),IF(X90&lt;R90,U90+V90-W90,0),IF(AD90&lt;R90,AA90+AB90-AC90,0)))))</x:f>
        <x:v>0</x:v>
      </x:c>
      <x:c r="T90" s="6" t="n">
        <x:f>ROUND(MAX(0,O90+P90-Q90-S90),2)</x:f>
        <x:v>0</x:v>
      </x:c>
      <x:c r="U90" s="6" t="n">
        <x:f>Z89</x:f>
        <x:v>0</x:v>
      </x:c>
      <x:c r="V90" s="6" t="n">
        <x:f>ROUND(U90*'Debt strategy'!$D$12/12,2)</x:f>
        <x:v>0</x:v>
      </x:c>
      <x:c r="W90" s="6" t="n">
        <x:f>MIN(U90+V90,'Debt strategy'!$E$12)</x:f>
        <x:v>0</x:v>
      </x:c>
      <x:c r="X90" s="27" t="n">
        <x:f>IF(U90+V90-W90&lt;=0,99,1+SUM(IF(AND(C90+D90-E90&gt;0,OR('Debt strategy'!$D$9&gt;'Debt strategy'!$D$12,AND('Debt strategy'!$D$9='Debt strategy'!$D$12,0&lt;3))),1,0),IF(AND(I90+J90-K90&gt;0,OR('Debt strategy'!$D$10&gt;'Debt strategy'!$D$12,AND('Debt strategy'!$D$10='Debt strategy'!$D$12,1&lt;3))),1,0),IF(AND(O90+P90-Q90&gt;0,OR('Debt strategy'!$D$11&gt;'Debt strategy'!$D$12,AND('Debt strategy'!$D$11='Debt strategy'!$D$12,2&lt;3))),1,0),IF(AND(AA90+AB90-AC90&gt;0,OR('Debt strategy'!$D$13&gt;'Debt strategy'!$D$12,AND('Debt strategy'!$D$13='Debt strategy'!$D$12,4&lt;3))),1,0)))</x:f>
        <x:v>99</x:v>
      </x:c>
      <x:c r="Y90" s="6" t="n">
        <x:f>IF('Debt strategy'!$C$16&gt;0,0,MIN(U90+V90-W90,MAX(0,'Debt strategy'!$C$5-SUM(E90,K90,Q90,W90,AC90)-SUM(IF(F90&lt;X90,C90+D90-E90,0),IF(L90&lt;X90,I90+J90-K90,0),IF(R90&lt;X90,O90+P90-Q90,0),IF(AD90&lt;X90,AA90+AB90-AC90,0)))))</x:f>
        <x:v>0</x:v>
      </x:c>
      <x:c r="Z90" s="6" t="n">
        <x:f>ROUND(MAX(0,U90+V90-W90-Y90),2)</x:f>
        <x:v>0</x:v>
      </x:c>
      <x:c r="AA90" s="6" t="n">
        <x:f>AF89</x:f>
        <x:v>0</x:v>
      </x:c>
      <x:c r="AB90" s="6" t="n">
        <x:f>ROUND(AA90*'Debt strategy'!$D$13/12,2)</x:f>
        <x:v>0</x:v>
      </x:c>
      <x:c r="AC90" s="6" t="n">
        <x:f>MIN(AA90+AB90,'Debt strategy'!$E$13)</x:f>
        <x:v>0</x:v>
      </x:c>
      <x:c r="AD90" s="27" t="n">
        <x:f>IF(AA90+AB90-AC90&lt;=0,99,1+SUM(IF(AND(C90+D90-E90&gt;0,OR('Debt strategy'!$D$9&gt;'Debt strategy'!$D$13,AND('Debt strategy'!$D$9='Debt strategy'!$D$13,0&lt;4))),1,0),IF(AND(I90+J90-K90&gt;0,OR('Debt strategy'!$D$10&gt;'Debt strategy'!$D$13,AND('Debt strategy'!$D$10='Debt strategy'!$D$13,1&lt;4))),1,0),IF(AND(O90+P90-Q90&gt;0,OR('Debt strategy'!$D$11&gt;'Debt strategy'!$D$13,AND('Debt strategy'!$D$11='Debt strategy'!$D$13,2&lt;4))),1,0),IF(AND(U90+V90-W90&gt;0,OR('Debt strategy'!$D$12&gt;'Debt strategy'!$D$13,AND('Debt strategy'!$D$12='Debt strategy'!$D$13,3&lt;4))),1,0)))</x:f>
        <x:v>99</x:v>
      </x:c>
      <x:c r="AE90" s="6" t="n">
        <x:f>IF('Debt strategy'!$C$16&gt;0,0,MIN(AA90+AB90-AC90,MAX(0,'Debt strategy'!$C$5-SUM(E90,K90,Q90,W90,AC90)-SUM(IF(F90&lt;AD90,C90+D90-E90,0),IF(L90&lt;AD90,I90+J90-K90,0),IF(R90&lt;AD90,O90+P90-Q90,0),IF(X90&lt;AD90,U90+V90-W90,0)))))</x:f>
        <x:v>0</x:v>
      </x:c>
      <x:c r="AF90" s="6" t="n">
        <x:f>ROUND(MAX(0,AA90+AB90-AC90-AE90),2)</x:f>
        <x:v>0</x:v>
      </x:c>
      <x:c r="AG90" s="6" t="n">
        <x:f>SUM(H90,N90,T90,Z90,AF90)</x:f>
        <x:v>0</x:v>
      </x:c>
      <x:c r="AH90" s="6" t="n">
        <x:f>SUM(D90,J90,P90,V90,AB90)+AH89</x:f>
        <x:v>1220.8400000000001</x:v>
      </x:c>
      <x:c r="AI90" s="2"/>
    </x:row>
    <x:row r="91" ht="23" customHeight="1">
      <x:c r="B91" s="2" t="n">
        <x:f>83</x:f>
        <x:v>83</x:v>
      </x:c>
      <x:c r="C91" s="6" t="n">
        <x:f>H90</x:f>
        <x:v>0</x:v>
      </x:c>
      <x:c r="D91" s="6" t="n">
        <x:f>ROUND(C91*'Debt strategy'!$D$9/12,2)</x:f>
        <x:v>0</x:v>
      </x:c>
      <x:c r="E91" s="6" t="n">
        <x:f>MIN(C91+D91,'Debt strategy'!$E$9)</x:f>
        <x:v>0</x:v>
      </x:c>
      <x:c r="F91" s="27" t="n">
        <x:f>IF(C91+D91-E91&lt;=0,99,1+SUM(IF(AND(I91+J91-K91&gt;0,OR('Debt strategy'!$D$10&gt;'Debt strategy'!$D$9,AND('Debt strategy'!$D$10='Debt strategy'!$D$9,1&lt;0))),1,0),IF(AND(O91+P91-Q91&gt;0,OR('Debt strategy'!$D$11&gt;'Debt strategy'!$D$9,AND('Debt strategy'!$D$11='Debt strategy'!$D$9,2&lt;0))),1,0),IF(AND(U91+V91-W91&gt;0,OR('Debt strategy'!$D$12&gt;'Debt strategy'!$D$9,AND('Debt strategy'!$D$12='Debt strategy'!$D$9,3&lt;0))),1,0),IF(AND(AA91+AB91-AC91&gt;0,OR('Debt strategy'!$D$13&gt;'Debt strategy'!$D$9,AND('Debt strategy'!$D$13='Debt strategy'!$D$9,4&lt;0))),1,0)))</x:f>
        <x:v>99</x:v>
      </x:c>
      <x:c r="G91" s="6" t="n">
        <x:f>IF('Debt strategy'!$C$16&gt;0,0,MIN(C91+D91-E91,MAX(0,'Debt strategy'!$C$5-SUM(E91,K91,Q91,W91,AC91)-SUM(IF(L91&lt;F91,I91+J91-K91,0),IF(R91&lt;F91,O91+P91-Q91,0),IF(X91&lt;F91,U91+V91-W91,0),IF(AD91&lt;F91,AA91+AB91-AC91,0)))))</x:f>
        <x:v>0</x:v>
      </x:c>
      <x:c r="H91" s="6" t="n">
        <x:f>ROUND(MAX(0,C91+D91-E91-G91),2)</x:f>
        <x:v>0</x:v>
      </x:c>
      <x:c r="I91" s="6" t="n">
        <x:f>N90</x:f>
        <x:v>0</x:v>
      </x:c>
      <x:c r="J91" s="6" t="n">
        <x:f>ROUND(I91*'Debt strategy'!$D$10/12,2)</x:f>
        <x:v>0</x:v>
      </x:c>
      <x:c r="K91" s="6" t="n">
        <x:f>MIN(I91+J91,'Debt strategy'!$E$10)</x:f>
        <x:v>0</x:v>
      </x:c>
      <x:c r="L91" s="27" t="n">
        <x:f>IF(I91+J91-K91&lt;=0,99,1+SUM(IF(AND(C91+D91-E91&gt;0,OR('Debt strategy'!$D$9&gt;'Debt strategy'!$D$10,AND('Debt strategy'!$D$9='Debt strategy'!$D$10,0&lt;1))),1,0),IF(AND(O91+P91-Q91&gt;0,OR('Debt strategy'!$D$11&gt;'Debt strategy'!$D$10,AND('Debt strategy'!$D$11='Debt strategy'!$D$10,2&lt;1))),1,0),IF(AND(U91+V91-W91&gt;0,OR('Debt strategy'!$D$12&gt;'Debt strategy'!$D$10,AND('Debt strategy'!$D$12='Debt strategy'!$D$10,3&lt;1))),1,0),IF(AND(AA91+AB91-AC91&gt;0,OR('Debt strategy'!$D$13&gt;'Debt strategy'!$D$10,AND('Debt strategy'!$D$13='Debt strategy'!$D$10,4&lt;1))),1,0)))</x:f>
        <x:v>99</x:v>
      </x:c>
      <x:c r="M91" s="6" t="n">
        <x:f>IF('Debt strategy'!$C$16&gt;0,0,MIN(I91+J91-K91,MAX(0,'Debt strategy'!$C$5-SUM(E91,K91,Q91,W91,AC91)-SUM(IF(F91&lt;L91,C91+D91-E91,0),IF(R91&lt;L91,O91+P91-Q91,0),IF(X91&lt;L91,U91+V91-W91,0),IF(AD91&lt;L91,AA91+AB91-AC91,0)))))</x:f>
        <x:v>0</x:v>
      </x:c>
      <x:c r="N91" s="6" t="n">
        <x:f>ROUND(MAX(0,I91+J91-K91-M91),2)</x:f>
        <x:v>0</x:v>
      </x:c>
      <x:c r="O91" s="6" t="n">
        <x:f>T90</x:f>
        <x:v>0</x:v>
      </x:c>
      <x:c r="P91" s="6" t="n">
        <x:f>ROUND(O91*'Debt strategy'!$D$11/12,2)</x:f>
        <x:v>0</x:v>
      </x:c>
      <x:c r="Q91" s="6" t="n">
        <x:f>MIN(O91+P91,'Debt strategy'!$E$11)</x:f>
        <x:v>0</x:v>
      </x:c>
      <x:c r="R91" s="27" t="n">
        <x:f>IF(O91+P91-Q91&lt;=0,99,1+SUM(IF(AND(C91+D91-E91&gt;0,OR('Debt strategy'!$D$9&gt;'Debt strategy'!$D$11,AND('Debt strategy'!$D$9='Debt strategy'!$D$11,0&lt;2))),1,0),IF(AND(I91+J91-K91&gt;0,OR('Debt strategy'!$D$10&gt;'Debt strategy'!$D$11,AND('Debt strategy'!$D$10='Debt strategy'!$D$11,1&lt;2))),1,0),IF(AND(U91+V91-W91&gt;0,OR('Debt strategy'!$D$12&gt;'Debt strategy'!$D$11,AND('Debt strategy'!$D$12='Debt strategy'!$D$11,3&lt;2))),1,0),IF(AND(AA91+AB91-AC91&gt;0,OR('Debt strategy'!$D$13&gt;'Debt strategy'!$D$11,AND('Debt strategy'!$D$13='Debt strategy'!$D$11,4&lt;2))),1,0)))</x:f>
        <x:v>99</x:v>
      </x:c>
      <x:c r="S91" s="6" t="n">
        <x:f>IF('Debt strategy'!$C$16&gt;0,0,MIN(O91+P91-Q91,MAX(0,'Debt strategy'!$C$5-SUM(E91,K91,Q91,W91,AC91)-SUM(IF(F91&lt;R91,C91+D91-E91,0),IF(L91&lt;R91,I91+J91-K91,0),IF(X91&lt;R91,U91+V91-W91,0),IF(AD91&lt;R91,AA91+AB91-AC91,0)))))</x:f>
        <x:v>0</x:v>
      </x:c>
      <x:c r="T91" s="6" t="n">
        <x:f>ROUND(MAX(0,O91+P91-Q91-S91),2)</x:f>
        <x:v>0</x:v>
      </x:c>
      <x:c r="U91" s="6" t="n">
        <x:f>Z90</x:f>
        <x:v>0</x:v>
      </x:c>
      <x:c r="V91" s="6" t="n">
        <x:f>ROUND(U91*'Debt strategy'!$D$12/12,2)</x:f>
        <x:v>0</x:v>
      </x:c>
      <x:c r="W91" s="6" t="n">
        <x:f>MIN(U91+V91,'Debt strategy'!$E$12)</x:f>
        <x:v>0</x:v>
      </x:c>
      <x:c r="X91" s="27" t="n">
        <x:f>IF(U91+V91-W91&lt;=0,99,1+SUM(IF(AND(C91+D91-E91&gt;0,OR('Debt strategy'!$D$9&gt;'Debt strategy'!$D$12,AND('Debt strategy'!$D$9='Debt strategy'!$D$12,0&lt;3))),1,0),IF(AND(I91+J91-K91&gt;0,OR('Debt strategy'!$D$10&gt;'Debt strategy'!$D$12,AND('Debt strategy'!$D$10='Debt strategy'!$D$12,1&lt;3))),1,0),IF(AND(O91+P91-Q91&gt;0,OR('Debt strategy'!$D$11&gt;'Debt strategy'!$D$12,AND('Debt strategy'!$D$11='Debt strategy'!$D$12,2&lt;3))),1,0),IF(AND(AA91+AB91-AC91&gt;0,OR('Debt strategy'!$D$13&gt;'Debt strategy'!$D$12,AND('Debt strategy'!$D$13='Debt strategy'!$D$12,4&lt;3))),1,0)))</x:f>
        <x:v>99</x:v>
      </x:c>
      <x:c r="Y91" s="6" t="n">
        <x:f>IF('Debt strategy'!$C$16&gt;0,0,MIN(U91+V91-W91,MAX(0,'Debt strategy'!$C$5-SUM(E91,K91,Q91,W91,AC91)-SUM(IF(F91&lt;X91,C91+D91-E91,0),IF(L91&lt;X91,I91+J91-K91,0),IF(R91&lt;X91,O91+P91-Q91,0),IF(AD91&lt;X91,AA91+AB91-AC91,0)))))</x:f>
        <x:v>0</x:v>
      </x:c>
      <x:c r="Z91" s="6" t="n">
        <x:f>ROUND(MAX(0,U91+V91-W91-Y91),2)</x:f>
        <x:v>0</x:v>
      </x:c>
      <x:c r="AA91" s="6" t="n">
        <x:f>AF90</x:f>
        <x:v>0</x:v>
      </x:c>
      <x:c r="AB91" s="6" t="n">
        <x:f>ROUND(AA91*'Debt strategy'!$D$13/12,2)</x:f>
        <x:v>0</x:v>
      </x:c>
      <x:c r="AC91" s="6" t="n">
        <x:f>MIN(AA91+AB91,'Debt strategy'!$E$13)</x:f>
        <x:v>0</x:v>
      </x:c>
      <x:c r="AD91" s="27" t="n">
        <x:f>IF(AA91+AB91-AC91&lt;=0,99,1+SUM(IF(AND(C91+D91-E91&gt;0,OR('Debt strategy'!$D$9&gt;'Debt strategy'!$D$13,AND('Debt strategy'!$D$9='Debt strategy'!$D$13,0&lt;4))),1,0),IF(AND(I91+J91-K91&gt;0,OR('Debt strategy'!$D$10&gt;'Debt strategy'!$D$13,AND('Debt strategy'!$D$10='Debt strategy'!$D$13,1&lt;4))),1,0),IF(AND(O91+P91-Q91&gt;0,OR('Debt strategy'!$D$11&gt;'Debt strategy'!$D$13,AND('Debt strategy'!$D$11='Debt strategy'!$D$13,2&lt;4))),1,0),IF(AND(U91+V91-W91&gt;0,OR('Debt strategy'!$D$12&gt;'Debt strategy'!$D$13,AND('Debt strategy'!$D$12='Debt strategy'!$D$13,3&lt;4))),1,0)))</x:f>
        <x:v>99</x:v>
      </x:c>
      <x:c r="AE91" s="6" t="n">
        <x:f>IF('Debt strategy'!$C$16&gt;0,0,MIN(AA91+AB91-AC91,MAX(0,'Debt strategy'!$C$5-SUM(E91,K91,Q91,W91,AC91)-SUM(IF(F91&lt;AD91,C91+D91-E91,0),IF(L91&lt;AD91,I91+J91-K91,0),IF(R91&lt;AD91,O91+P91-Q91,0),IF(X91&lt;AD91,U91+V91-W91,0)))))</x:f>
        <x:v>0</x:v>
      </x:c>
      <x:c r="AF91" s="6" t="n">
        <x:f>ROUND(MAX(0,AA91+AB91-AC91-AE91),2)</x:f>
        <x:v>0</x:v>
      </x:c>
      <x:c r="AG91" s="6" t="n">
        <x:f>SUM(H91,N91,T91,Z91,AF91)</x:f>
        <x:v>0</x:v>
      </x:c>
      <x:c r="AH91" s="6" t="n">
        <x:f>SUM(D91,J91,P91,V91,AB91)+AH90</x:f>
        <x:v>1220.8400000000001</x:v>
      </x:c>
      <x:c r="AI91" s="2"/>
    </x:row>
    <x:row r="92" ht="23" customHeight="1">
      <x:c r="B92" s="2" t="n">
        <x:f>84</x:f>
        <x:v>84</x:v>
      </x:c>
      <x:c r="C92" s="6" t="n">
        <x:f>H91</x:f>
        <x:v>0</x:v>
      </x:c>
      <x:c r="D92" s="6" t="n">
        <x:f>ROUND(C92*'Debt strategy'!$D$9/12,2)</x:f>
        <x:v>0</x:v>
      </x:c>
      <x:c r="E92" s="6" t="n">
        <x:f>MIN(C92+D92,'Debt strategy'!$E$9)</x:f>
        <x:v>0</x:v>
      </x:c>
      <x:c r="F92" s="27" t="n">
        <x:f>IF(C92+D92-E92&lt;=0,99,1+SUM(IF(AND(I92+J92-K92&gt;0,OR('Debt strategy'!$D$10&gt;'Debt strategy'!$D$9,AND('Debt strategy'!$D$10='Debt strategy'!$D$9,1&lt;0))),1,0),IF(AND(O92+P92-Q92&gt;0,OR('Debt strategy'!$D$11&gt;'Debt strategy'!$D$9,AND('Debt strategy'!$D$11='Debt strategy'!$D$9,2&lt;0))),1,0),IF(AND(U92+V92-W92&gt;0,OR('Debt strategy'!$D$12&gt;'Debt strategy'!$D$9,AND('Debt strategy'!$D$12='Debt strategy'!$D$9,3&lt;0))),1,0),IF(AND(AA92+AB92-AC92&gt;0,OR('Debt strategy'!$D$13&gt;'Debt strategy'!$D$9,AND('Debt strategy'!$D$13='Debt strategy'!$D$9,4&lt;0))),1,0)))</x:f>
        <x:v>99</x:v>
      </x:c>
      <x:c r="G92" s="6" t="n">
        <x:f>IF('Debt strategy'!$C$16&gt;0,0,MIN(C92+D92-E92,MAX(0,'Debt strategy'!$C$5-SUM(E92,K92,Q92,W92,AC92)-SUM(IF(L92&lt;F92,I92+J92-K92,0),IF(R92&lt;F92,O92+P92-Q92,0),IF(X92&lt;F92,U92+V92-W92,0),IF(AD92&lt;F92,AA92+AB92-AC92,0)))))</x:f>
        <x:v>0</x:v>
      </x:c>
      <x:c r="H92" s="6" t="n">
        <x:f>ROUND(MAX(0,C92+D92-E92-G92),2)</x:f>
        <x:v>0</x:v>
      </x:c>
      <x:c r="I92" s="6" t="n">
        <x:f>N91</x:f>
        <x:v>0</x:v>
      </x:c>
      <x:c r="J92" s="6" t="n">
        <x:f>ROUND(I92*'Debt strategy'!$D$10/12,2)</x:f>
        <x:v>0</x:v>
      </x:c>
      <x:c r="K92" s="6" t="n">
        <x:f>MIN(I92+J92,'Debt strategy'!$E$10)</x:f>
        <x:v>0</x:v>
      </x:c>
      <x:c r="L92" s="27" t="n">
        <x:f>IF(I92+J92-K92&lt;=0,99,1+SUM(IF(AND(C92+D92-E92&gt;0,OR('Debt strategy'!$D$9&gt;'Debt strategy'!$D$10,AND('Debt strategy'!$D$9='Debt strategy'!$D$10,0&lt;1))),1,0),IF(AND(O92+P92-Q92&gt;0,OR('Debt strategy'!$D$11&gt;'Debt strategy'!$D$10,AND('Debt strategy'!$D$11='Debt strategy'!$D$10,2&lt;1))),1,0),IF(AND(U92+V92-W92&gt;0,OR('Debt strategy'!$D$12&gt;'Debt strategy'!$D$10,AND('Debt strategy'!$D$12='Debt strategy'!$D$10,3&lt;1))),1,0),IF(AND(AA92+AB92-AC92&gt;0,OR('Debt strategy'!$D$13&gt;'Debt strategy'!$D$10,AND('Debt strategy'!$D$13='Debt strategy'!$D$10,4&lt;1))),1,0)))</x:f>
        <x:v>99</x:v>
      </x:c>
      <x:c r="M92" s="6" t="n">
        <x:f>IF('Debt strategy'!$C$16&gt;0,0,MIN(I92+J92-K92,MAX(0,'Debt strategy'!$C$5-SUM(E92,K92,Q92,W92,AC92)-SUM(IF(F92&lt;L92,C92+D92-E92,0),IF(R92&lt;L92,O92+P92-Q92,0),IF(X92&lt;L92,U92+V92-W92,0),IF(AD92&lt;L92,AA92+AB92-AC92,0)))))</x:f>
        <x:v>0</x:v>
      </x:c>
      <x:c r="N92" s="6" t="n">
        <x:f>ROUND(MAX(0,I92+J92-K92-M92),2)</x:f>
        <x:v>0</x:v>
      </x:c>
      <x:c r="O92" s="6" t="n">
        <x:f>T91</x:f>
        <x:v>0</x:v>
      </x:c>
      <x:c r="P92" s="6" t="n">
        <x:f>ROUND(O92*'Debt strategy'!$D$11/12,2)</x:f>
        <x:v>0</x:v>
      </x:c>
      <x:c r="Q92" s="6" t="n">
        <x:f>MIN(O92+P92,'Debt strategy'!$E$11)</x:f>
        <x:v>0</x:v>
      </x:c>
      <x:c r="R92" s="27" t="n">
        <x:f>IF(O92+P92-Q92&lt;=0,99,1+SUM(IF(AND(C92+D92-E92&gt;0,OR('Debt strategy'!$D$9&gt;'Debt strategy'!$D$11,AND('Debt strategy'!$D$9='Debt strategy'!$D$11,0&lt;2))),1,0),IF(AND(I92+J92-K92&gt;0,OR('Debt strategy'!$D$10&gt;'Debt strategy'!$D$11,AND('Debt strategy'!$D$10='Debt strategy'!$D$11,1&lt;2))),1,0),IF(AND(U92+V92-W92&gt;0,OR('Debt strategy'!$D$12&gt;'Debt strategy'!$D$11,AND('Debt strategy'!$D$12='Debt strategy'!$D$11,3&lt;2))),1,0),IF(AND(AA92+AB92-AC92&gt;0,OR('Debt strategy'!$D$13&gt;'Debt strategy'!$D$11,AND('Debt strategy'!$D$13='Debt strategy'!$D$11,4&lt;2))),1,0)))</x:f>
        <x:v>99</x:v>
      </x:c>
      <x:c r="S92" s="6" t="n">
        <x:f>IF('Debt strategy'!$C$16&gt;0,0,MIN(O92+P92-Q92,MAX(0,'Debt strategy'!$C$5-SUM(E92,K92,Q92,W92,AC92)-SUM(IF(F92&lt;R92,C92+D92-E92,0),IF(L92&lt;R92,I92+J92-K92,0),IF(X92&lt;R92,U92+V92-W92,0),IF(AD92&lt;R92,AA92+AB92-AC92,0)))))</x:f>
        <x:v>0</x:v>
      </x:c>
      <x:c r="T92" s="6" t="n">
        <x:f>ROUND(MAX(0,O92+P92-Q92-S92),2)</x:f>
        <x:v>0</x:v>
      </x:c>
      <x:c r="U92" s="6" t="n">
        <x:f>Z91</x:f>
        <x:v>0</x:v>
      </x:c>
      <x:c r="V92" s="6" t="n">
        <x:f>ROUND(U92*'Debt strategy'!$D$12/12,2)</x:f>
        <x:v>0</x:v>
      </x:c>
      <x:c r="W92" s="6" t="n">
        <x:f>MIN(U92+V92,'Debt strategy'!$E$12)</x:f>
        <x:v>0</x:v>
      </x:c>
      <x:c r="X92" s="27" t="n">
        <x:f>IF(U92+V92-W92&lt;=0,99,1+SUM(IF(AND(C92+D92-E92&gt;0,OR('Debt strategy'!$D$9&gt;'Debt strategy'!$D$12,AND('Debt strategy'!$D$9='Debt strategy'!$D$12,0&lt;3))),1,0),IF(AND(I92+J92-K92&gt;0,OR('Debt strategy'!$D$10&gt;'Debt strategy'!$D$12,AND('Debt strategy'!$D$10='Debt strategy'!$D$12,1&lt;3))),1,0),IF(AND(O92+P92-Q92&gt;0,OR('Debt strategy'!$D$11&gt;'Debt strategy'!$D$12,AND('Debt strategy'!$D$11='Debt strategy'!$D$12,2&lt;3))),1,0),IF(AND(AA92+AB92-AC92&gt;0,OR('Debt strategy'!$D$13&gt;'Debt strategy'!$D$12,AND('Debt strategy'!$D$13='Debt strategy'!$D$12,4&lt;3))),1,0)))</x:f>
        <x:v>99</x:v>
      </x:c>
      <x:c r="Y92" s="6" t="n">
        <x:f>IF('Debt strategy'!$C$16&gt;0,0,MIN(U92+V92-W92,MAX(0,'Debt strategy'!$C$5-SUM(E92,K92,Q92,W92,AC92)-SUM(IF(F92&lt;X92,C92+D92-E92,0),IF(L92&lt;X92,I92+J92-K92,0),IF(R92&lt;X92,O92+P92-Q92,0),IF(AD92&lt;X92,AA92+AB92-AC92,0)))))</x:f>
        <x:v>0</x:v>
      </x:c>
      <x:c r="Z92" s="6" t="n">
        <x:f>ROUND(MAX(0,U92+V92-W92-Y92),2)</x:f>
        <x:v>0</x:v>
      </x:c>
      <x:c r="AA92" s="6" t="n">
        <x:f>AF91</x:f>
        <x:v>0</x:v>
      </x:c>
      <x:c r="AB92" s="6" t="n">
        <x:f>ROUND(AA92*'Debt strategy'!$D$13/12,2)</x:f>
        <x:v>0</x:v>
      </x:c>
      <x:c r="AC92" s="6" t="n">
        <x:f>MIN(AA92+AB92,'Debt strategy'!$E$13)</x:f>
        <x:v>0</x:v>
      </x:c>
      <x:c r="AD92" s="27" t="n">
        <x:f>IF(AA92+AB92-AC92&lt;=0,99,1+SUM(IF(AND(C92+D92-E92&gt;0,OR('Debt strategy'!$D$9&gt;'Debt strategy'!$D$13,AND('Debt strategy'!$D$9='Debt strategy'!$D$13,0&lt;4))),1,0),IF(AND(I92+J92-K92&gt;0,OR('Debt strategy'!$D$10&gt;'Debt strategy'!$D$13,AND('Debt strategy'!$D$10='Debt strategy'!$D$13,1&lt;4))),1,0),IF(AND(O92+P92-Q92&gt;0,OR('Debt strategy'!$D$11&gt;'Debt strategy'!$D$13,AND('Debt strategy'!$D$11='Debt strategy'!$D$13,2&lt;4))),1,0),IF(AND(U92+V92-W92&gt;0,OR('Debt strategy'!$D$12&gt;'Debt strategy'!$D$13,AND('Debt strategy'!$D$12='Debt strategy'!$D$13,3&lt;4))),1,0)))</x:f>
        <x:v>99</x:v>
      </x:c>
      <x:c r="AE92" s="6" t="n">
        <x:f>IF('Debt strategy'!$C$16&gt;0,0,MIN(AA92+AB92-AC92,MAX(0,'Debt strategy'!$C$5-SUM(E92,K92,Q92,W92,AC92)-SUM(IF(F92&lt;AD92,C92+D92-E92,0),IF(L92&lt;AD92,I92+J92-K92,0),IF(R92&lt;AD92,O92+P92-Q92,0),IF(X92&lt;AD92,U92+V92-W92,0)))))</x:f>
        <x:v>0</x:v>
      </x:c>
      <x:c r="AF92" s="6" t="n">
        <x:f>ROUND(MAX(0,AA92+AB92-AC92-AE92),2)</x:f>
        <x:v>0</x:v>
      </x:c>
      <x:c r="AG92" s="6" t="n">
        <x:f>SUM(H92,N92,T92,Z92,AF92)</x:f>
        <x:v>0</x:v>
      </x:c>
      <x:c r="AH92" s="6" t="n">
        <x:f>SUM(D92,J92,P92,V92,AB92)+AH91</x:f>
        <x:v>1220.8400000000001</x:v>
      </x:c>
      <x:c r="AI92" s="2"/>
    </x:row>
    <x:row r="93" ht="23" customHeight="1">
      <x:c r="B93" s="2" t="n">
        <x:f>85</x:f>
        <x:v>85</x:v>
      </x:c>
      <x:c r="C93" s="6" t="n">
        <x:f>H92</x:f>
        <x:v>0</x:v>
      </x:c>
      <x:c r="D93" s="6" t="n">
        <x:f>ROUND(C93*'Debt strategy'!$D$9/12,2)</x:f>
        <x:v>0</x:v>
      </x:c>
      <x:c r="E93" s="6" t="n">
        <x:f>MIN(C93+D93,'Debt strategy'!$E$9)</x:f>
        <x:v>0</x:v>
      </x:c>
      <x:c r="F93" s="27" t="n">
        <x:f>IF(C93+D93-E93&lt;=0,99,1+SUM(IF(AND(I93+J93-K93&gt;0,OR('Debt strategy'!$D$10&gt;'Debt strategy'!$D$9,AND('Debt strategy'!$D$10='Debt strategy'!$D$9,1&lt;0))),1,0),IF(AND(O93+P93-Q93&gt;0,OR('Debt strategy'!$D$11&gt;'Debt strategy'!$D$9,AND('Debt strategy'!$D$11='Debt strategy'!$D$9,2&lt;0))),1,0),IF(AND(U93+V93-W93&gt;0,OR('Debt strategy'!$D$12&gt;'Debt strategy'!$D$9,AND('Debt strategy'!$D$12='Debt strategy'!$D$9,3&lt;0))),1,0),IF(AND(AA93+AB93-AC93&gt;0,OR('Debt strategy'!$D$13&gt;'Debt strategy'!$D$9,AND('Debt strategy'!$D$13='Debt strategy'!$D$9,4&lt;0))),1,0)))</x:f>
        <x:v>99</x:v>
      </x:c>
      <x:c r="G93" s="6" t="n">
        <x:f>IF('Debt strategy'!$C$16&gt;0,0,MIN(C93+D93-E93,MAX(0,'Debt strategy'!$C$5-SUM(E93,K93,Q93,W93,AC93)-SUM(IF(L93&lt;F93,I93+J93-K93,0),IF(R93&lt;F93,O93+P93-Q93,0),IF(X93&lt;F93,U93+V93-W93,0),IF(AD93&lt;F93,AA93+AB93-AC93,0)))))</x:f>
        <x:v>0</x:v>
      </x:c>
      <x:c r="H93" s="6" t="n">
        <x:f>ROUND(MAX(0,C93+D93-E93-G93),2)</x:f>
        <x:v>0</x:v>
      </x:c>
      <x:c r="I93" s="6" t="n">
        <x:f>N92</x:f>
        <x:v>0</x:v>
      </x:c>
      <x:c r="J93" s="6" t="n">
        <x:f>ROUND(I93*'Debt strategy'!$D$10/12,2)</x:f>
        <x:v>0</x:v>
      </x:c>
      <x:c r="K93" s="6" t="n">
        <x:f>MIN(I93+J93,'Debt strategy'!$E$10)</x:f>
        <x:v>0</x:v>
      </x:c>
      <x:c r="L93" s="27" t="n">
        <x:f>IF(I93+J93-K93&lt;=0,99,1+SUM(IF(AND(C93+D93-E93&gt;0,OR('Debt strategy'!$D$9&gt;'Debt strategy'!$D$10,AND('Debt strategy'!$D$9='Debt strategy'!$D$10,0&lt;1))),1,0),IF(AND(O93+P93-Q93&gt;0,OR('Debt strategy'!$D$11&gt;'Debt strategy'!$D$10,AND('Debt strategy'!$D$11='Debt strategy'!$D$10,2&lt;1))),1,0),IF(AND(U93+V93-W93&gt;0,OR('Debt strategy'!$D$12&gt;'Debt strategy'!$D$10,AND('Debt strategy'!$D$12='Debt strategy'!$D$10,3&lt;1))),1,0),IF(AND(AA93+AB93-AC93&gt;0,OR('Debt strategy'!$D$13&gt;'Debt strategy'!$D$10,AND('Debt strategy'!$D$13='Debt strategy'!$D$10,4&lt;1))),1,0)))</x:f>
        <x:v>99</x:v>
      </x:c>
      <x:c r="M93" s="6" t="n">
        <x:f>IF('Debt strategy'!$C$16&gt;0,0,MIN(I93+J93-K93,MAX(0,'Debt strategy'!$C$5-SUM(E93,K93,Q93,W93,AC93)-SUM(IF(F93&lt;L93,C93+D93-E93,0),IF(R93&lt;L93,O93+P93-Q93,0),IF(X93&lt;L93,U93+V93-W93,0),IF(AD93&lt;L93,AA93+AB93-AC93,0)))))</x:f>
        <x:v>0</x:v>
      </x:c>
      <x:c r="N93" s="6" t="n">
        <x:f>ROUND(MAX(0,I93+J93-K93-M93),2)</x:f>
        <x:v>0</x:v>
      </x:c>
      <x:c r="O93" s="6" t="n">
        <x:f>T92</x:f>
        <x:v>0</x:v>
      </x:c>
      <x:c r="P93" s="6" t="n">
        <x:f>ROUND(O93*'Debt strategy'!$D$11/12,2)</x:f>
        <x:v>0</x:v>
      </x:c>
      <x:c r="Q93" s="6" t="n">
        <x:f>MIN(O93+P93,'Debt strategy'!$E$11)</x:f>
        <x:v>0</x:v>
      </x:c>
      <x:c r="R93" s="27" t="n">
        <x:f>IF(O93+P93-Q93&lt;=0,99,1+SUM(IF(AND(C93+D93-E93&gt;0,OR('Debt strategy'!$D$9&gt;'Debt strategy'!$D$11,AND('Debt strategy'!$D$9='Debt strategy'!$D$11,0&lt;2))),1,0),IF(AND(I93+J93-K93&gt;0,OR('Debt strategy'!$D$10&gt;'Debt strategy'!$D$11,AND('Debt strategy'!$D$10='Debt strategy'!$D$11,1&lt;2))),1,0),IF(AND(U93+V93-W93&gt;0,OR('Debt strategy'!$D$12&gt;'Debt strategy'!$D$11,AND('Debt strategy'!$D$12='Debt strategy'!$D$11,3&lt;2))),1,0),IF(AND(AA93+AB93-AC93&gt;0,OR('Debt strategy'!$D$13&gt;'Debt strategy'!$D$11,AND('Debt strategy'!$D$13='Debt strategy'!$D$11,4&lt;2))),1,0)))</x:f>
        <x:v>99</x:v>
      </x:c>
      <x:c r="S93" s="6" t="n">
        <x:f>IF('Debt strategy'!$C$16&gt;0,0,MIN(O93+P93-Q93,MAX(0,'Debt strategy'!$C$5-SUM(E93,K93,Q93,W93,AC93)-SUM(IF(F93&lt;R93,C93+D93-E93,0),IF(L93&lt;R93,I93+J93-K93,0),IF(X93&lt;R93,U93+V93-W93,0),IF(AD93&lt;R93,AA93+AB93-AC93,0)))))</x:f>
        <x:v>0</x:v>
      </x:c>
      <x:c r="T93" s="6" t="n">
        <x:f>ROUND(MAX(0,O93+P93-Q93-S93),2)</x:f>
        <x:v>0</x:v>
      </x:c>
      <x:c r="U93" s="6" t="n">
        <x:f>Z92</x:f>
        <x:v>0</x:v>
      </x:c>
      <x:c r="V93" s="6" t="n">
        <x:f>ROUND(U93*'Debt strategy'!$D$12/12,2)</x:f>
        <x:v>0</x:v>
      </x:c>
      <x:c r="W93" s="6" t="n">
        <x:f>MIN(U93+V93,'Debt strategy'!$E$12)</x:f>
        <x:v>0</x:v>
      </x:c>
      <x:c r="X93" s="27" t="n">
        <x:f>IF(U93+V93-W93&lt;=0,99,1+SUM(IF(AND(C93+D93-E93&gt;0,OR('Debt strategy'!$D$9&gt;'Debt strategy'!$D$12,AND('Debt strategy'!$D$9='Debt strategy'!$D$12,0&lt;3))),1,0),IF(AND(I93+J93-K93&gt;0,OR('Debt strategy'!$D$10&gt;'Debt strategy'!$D$12,AND('Debt strategy'!$D$10='Debt strategy'!$D$12,1&lt;3))),1,0),IF(AND(O93+P93-Q93&gt;0,OR('Debt strategy'!$D$11&gt;'Debt strategy'!$D$12,AND('Debt strategy'!$D$11='Debt strategy'!$D$12,2&lt;3))),1,0),IF(AND(AA93+AB93-AC93&gt;0,OR('Debt strategy'!$D$13&gt;'Debt strategy'!$D$12,AND('Debt strategy'!$D$13='Debt strategy'!$D$12,4&lt;3))),1,0)))</x:f>
        <x:v>99</x:v>
      </x:c>
      <x:c r="Y93" s="6" t="n">
        <x:f>IF('Debt strategy'!$C$16&gt;0,0,MIN(U93+V93-W93,MAX(0,'Debt strategy'!$C$5-SUM(E93,K93,Q93,W93,AC93)-SUM(IF(F93&lt;X93,C93+D93-E93,0),IF(L93&lt;X93,I93+J93-K93,0),IF(R93&lt;X93,O93+P93-Q93,0),IF(AD93&lt;X93,AA93+AB93-AC93,0)))))</x:f>
        <x:v>0</x:v>
      </x:c>
      <x:c r="Z93" s="6" t="n">
        <x:f>ROUND(MAX(0,U93+V93-W93-Y93),2)</x:f>
        <x:v>0</x:v>
      </x:c>
      <x:c r="AA93" s="6" t="n">
        <x:f>AF92</x:f>
        <x:v>0</x:v>
      </x:c>
      <x:c r="AB93" s="6" t="n">
        <x:f>ROUND(AA93*'Debt strategy'!$D$13/12,2)</x:f>
        <x:v>0</x:v>
      </x:c>
      <x:c r="AC93" s="6" t="n">
        <x:f>MIN(AA93+AB93,'Debt strategy'!$E$13)</x:f>
        <x:v>0</x:v>
      </x:c>
      <x:c r="AD93" s="27" t="n">
        <x:f>IF(AA93+AB93-AC93&lt;=0,99,1+SUM(IF(AND(C93+D93-E93&gt;0,OR('Debt strategy'!$D$9&gt;'Debt strategy'!$D$13,AND('Debt strategy'!$D$9='Debt strategy'!$D$13,0&lt;4))),1,0),IF(AND(I93+J93-K93&gt;0,OR('Debt strategy'!$D$10&gt;'Debt strategy'!$D$13,AND('Debt strategy'!$D$10='Debt strategy'!$D$13,1&lt;4))),1,0),IF(AND(O93+P93-Q93&gt;0,OR('Debt strategy'!$D$11&gt;'Debt strategy'!$D$13,AND('Debt strategy'!$D$11='Debt strategy'!$D$13,2&lt;4))),1,0),IF(AND(U93+V93-W93&gt;0,OR('Debt strategy'!$D$12&gt;'Debt strategy'!$D$13,AND('Debt strategy'!$D$12='Debt strategy'!$D$13,3&lt;4))),1,0)))</x:f>
        <x:v>99</x:v>
      </x:c>
      <x:c r="AE93" s="6" t="n">
        <x:f>IF('Debt strategy'!$C$16&gt;0,0,MIN(AA93+AB93-AC93,MAX(0,'Debt strategy'!$C$5-SUM(E93,K93,Q93,W93,AC93)-SUM(IF(F93&lt;AD93,C93+D93-E93,0),IF(L93&lt;AD93,I93+J93-K93,0),IF(R93&lt;AD93,O93+P93-Q93,0),IF(X93&lt;AD93,U93+V93-W93,0)))))</x:f>
        <x:v>0</x:v>
      </x:c>
      <x:c r="AF93" s="6" t="n">
        <x:f>ROUND(MAX(0,AA93+AB93-AC93-AE93),2)</x:f>
        <x:v>0</x:v>
      </x:c>
      <x:c r="AG93" s="6" t="n">
        <x:f>SUM(H93,N93,T93,Z93,AF93)</x:f>
        <x:v>0</x:v>
      </x:c>
      <x:c r="AH93" s="6" t="n">
        <x:f>SUM(D93,J93,P93,V93,AB93)+AH92</x:f>
        <x:v>1220.8400000000001</x:v>
      </x:c>
      <x:c r="AI93" s="2"/>
    </x:row>
    <x:row r="94" ht="23" customHeight="1">
      <x:c r="B94" s="2" t="n">
        <x:f>86</x:f>
        <x:v>86</x:v>
      </x:c>
      <x:c r="C94" s="6" t="n">
        <x:f>H93</x:f>
        <x:v>0</x:v>
      </x:c>
      <x:c r="D94" s="6" t="n">
        <x:f>ROUND(C94*'Debt strategy'!$D$9/12,2)</x:f>
        <x:v>0</x:v>
      </x:c>
      <x:c r="E94" s="6" t="n">
        <x:f>MIN(C94+D94,'Debt strategy'!$E$9)</x:f>
        <x:v>0</x:v>
      </x:c>
      <x:c r="F94" s="27" t="n">
        <x:f>IF(C94+D94-E94&lt;=0,99,1+SUM(IF(AND(I94+J94-K94&gt;0,OR('Debt strategy'!$D$10&gt;'Debt strategy'!$D$9,AND('Debt strategy'!$D$10='Debt strategy'!$D$9,1&lt;0))),1,0),IF(AND(O94+P94-Q94&gt;0,OR('Debt strategy'!$D$11&gt;'Debt strategy'!$D$9,AND('Debt strategy'!$D$11='Debt strategy'!$D$9,2&lt;0))),1,0),IF(AND(U94+V94-W94&gt;0,OR('Debt strategy'!$D$12&gt;'Debt strategy'!$D$9,AND('Debt strategy'!$D$12='Debt strategy'!$D$9,3&lt;0))),1,0),IF(AND(AA94+AB94-AC94&gt;0,OR('Debt strategy'!$D$13&gt;'Debt strategy'!$D$9,AND('Debt strategy'!$D$13='Debt strategy'!$D$9,4&lt;0))),1,0)))</x:f>
        <x:v>99</x:v>
      </x:c>
      <x:c r="G94" s="6" t="n">
        <x:f>IF('Debt strategy'!$C$16&gt;0,0,MIN(C94+D94-E94,MAX(0,'Debt strategy'!$C$5-SUM(E94,K94,Q94,W94,AC94)-SUM(IF(L94&lt;F94,I94+J94-K94,0),IF(R94&lt;F94,O94+P94-Q94,0),IF(X94&lt;F94,U94+V94-W94,0),IF(AD94&lt;F94,AA94+AB94-AC94,0)))))</x:f>
        <x:v>0</x:v>
      </x:c>
      <x:c r="H94" s="6" t="n">
        <x:f>ROUND(MAX(0,C94+D94-E94-G94),2)</x:f>
        <x:v>0</x:v>
      </x:c>
      <x:c r="I94" s="6" t="n">
        <x:f>N93</x:f>
        <x:v>0</x:v>
      </x:c>
      <x:c r="J94" s="6" t="n">
        <x:f>ROUND(I94*'Debt strategy'!$D$10/12,2)</x:f>
        <x:v>0</x:v>
      </x:c>
      <x:c r="K94" s="6" t="n">
        <x:f>MIN(I94+J94,'Debt strategy'!$E$10)</x:f>
        <x:v>0</x:v>
      </x:c>
      <x:c r="L94" s="27" t="n">
        <x:f>IF(I94+J94-K94&lt;=0,99,1+SUM(IF(AND(C94+D94-E94&gt;0,OR('Debt strategy'!$D$9&gt;'Debt strategy'!$D$10,AND('Debt strategy'!$D$9='Debt strategy'!$D$10,0&lt;1))),1,0),IF(AND(O94+P94-Q94&gt;0,OR('Debt strategy'!$D$11&gt;'Debt strategy'!$D$10,AND('Debt strategy'!$D$11='Debt strategy'!$D$10,2&lt;1))),1,0),IF(AND(U94+V94-W94&gt;0,OR('Debt strategy'!$D$12&gt;'Debt strategy'!$D$10,AND('Debt strategy'!$D$12='Debt strategy'!$D$10,3&lt;1))),1,0),IF(AND(AA94+AB94-AC94&gt;0,OR('Debt strategy'!$D$13&gt;'Debt strategy'!$D$10,AND('Debt strategy'!$D$13='Debt strategy'!$D$10,4&lt;1))),1,0)))</x:f>
        <x:v>99</x:v>
      </x:c>
      <x:c r="M94" s="6" t="n">
        <x:f>IF('Debt strategy'!$C$16&gt;0,0,MIN(I94+J94-K94,MAX(0,'Debt strategy'!$C$5-SUM(E94,K94,Q94,W94,AC94)-SUM(IF(F94&lt;L94,C94+D94-E94,0),IF(R94&lt;L94,O94+P94-Q94,0),IF(X94&lt;L94,U94+V94-W94,0),IF(AD94&lt;L94,AA94+AB94-AC94,0)))))</x:f>
        <x:v>0</x:v>
      </x:c>
      <x:c r="N94" s="6" t="n">
        <x:f>ROUND(MAX(0,I94+J94-K94-M94),2)</x:f>
        <x:v>0</x:v>
      </x:c>
      <x:c r="O94" s="6" t="n">
        <x:f>T93</x:f>
        <x:v>0</x:v>
      </x:c>
      <x:c r="P94" s="6" t="n">
        <x:f>ROUND(O94*'Debt strategy'!$D$11/12,2)</x:f>
        <x:v>0</x:v>
      </x:c>
      <x:c r="Q94" s="6" t="n">
        <x:f>MIN(O94+P94,'Debt strategy'!$E$11)</x:f>
        <x:v>0</x:v>
      </x:c>
      <x:c r="R94" s="27" t="n">
        <x:f>IF(O94+P94-Q94&lt;=0,99,1+SUM(IF(AND(C94+D94-E94&gt;0,OR('Debt strategy'!$D$9&gt;'Debt strategy'!$D$11,AND('Debt strategy'!$D$9='Debt strategy'!$D$11,0&lt;2))),1,0),IF(AND(I94+J94-K94&gt;0,OR('Debt strategy'!$D$10&gt;'Debt strategy'!$D$11,AND('Debt strategy'!$D$10='Debt strategy'!$D$11,1&lt;2))),1,0),IF(AND(U94+V94-W94&gt;0,OR('Debt strategy'!$D$12&gt;'Debt strategy'!$D$11,AND('Debt strategy'!$D$12='Debt strategy'!$D$11,3&lt;2))),1,0),IF(AND(AA94+AB94-AC94&gt;0,OR('Debt strategy'!$D$13&gt;'Debt strategy'!$D$11,AND('Debt strategy'!$D$13='Debt strategy'!$D$11,4&lt;2))),1,0)))</x:f>
        <x:v>99</x:v>
      </x:c>
      <x:c r="S94" s="6" t="n">
        <x:f>IF('Debt strategy'!$C$16&gt;0,0,MIN(O94+P94-Q94,MAX(0,'Debt strategy'!$C$5-SUM(E94,K94,Q94,W94,AC94)-SUM(IF(F94&lt;R94,C94+D94-E94,0),IF(L94&lt;R94,I94+J94-K94,0),IF(X94&lt;R94,U94+V94-W94,0),IF(AD94&lt;R94,AA94+AB94-AC94,0)))))</x:f>
        <x:v>0</x:v>
      </x:c>
      <x:c r="T94" s="6" t="n">
        <x:f>ROUND(MAX(0,O94+P94-Q94-S94),2)</x:f>
        <x:v>0</x:v>
      </x:c>
      <x:c r="U94" s="6" t="n">
        <x:f>Z93</x:f>
        <x:v>0</x:v>
      </x:c>
      <x:c r="V94" s="6" t="n">
        <x:f>ROUND(U94*'Debt strategy'!$D$12/12,2)</x:f>
        <x:v>0</x:v>
      </x:c>
      <x:c r="W94" s="6" t="n">
        <x:f>MIN(U94+V94,'Debt strategy'!$E$12)</x:f>
        <x:v>0</x:v>
      </x:c>
      <x:c r="X94" s="27" t="n">
        <x:f>IF(U94+V94-W94&lt;=0,99,1+SUM(IF(AND(C94+D94-E94&gt;0,OR('Debt strategy'!$D$9&gt;'Debt strategy'!$D$12,AND('Debt strategy'!$D$9='Debt strategy'!$D$12,0&lt;3))),1,0),IF(AND(I94+J94-K94&gt;0,OR('Debt strategy'!$D$10&gt;'Debt strategy'!$D$12,AND('Debt strategy'!$D$10='Debt strategy'!$D$12,1&lt;3))),1,0),IF(AND(O94+P94-Q94&gt;0,OR('Debt strategy'!$D$11&gt;'Debt strategy'!$D$12,AND('Debt strategy'!$D$11='Debt strategy'!$D$12,2&lt;3))),1,0),IF(AND(AA94+AB94-AC94&gt;0,OR('Debt strategy'!$D$13&gt;'Debt strategy'!$D$12,AND('Debt strategy'!$D$13='Debt strategy'!$D$12,4&lt;3))),1,0)))</x:f>
        <x:v>99</x:v>
      </x:c>
      <x:c r="Y94" s="6" t="n">
        <x:f>IF('Debt strategy'!$C$16&gt;0,0,MIN(U94+V94-W94,MAX(0,'Debt strategy'!$C$5-SUM(E94,K94,Q94,W94,AC94)-SUM(IF(F94&lt;X94,C94+D94-E94,0),IF(L94&lt;X94,I94+J94-K94,0),IF(R94&lt;X94,O94+P94-Q94,0),IF(AD94&lt;X94,AA94+AB94-AC94,0)))))</x:f>
        <x:v>0</x:v>
      </x:c>
      <x:c r="Z94" s="6" t="n">
        <x:f>ROUND(MAX(0,U94+V94-W94-Y94),2)</x:f>
        <x:v>0</x:v>
      </x:c>
      <x:c r="AA94" s="6" t="n">
        <x:f>AF93</x:f>
        <x:v>0</x:v>
      </x:c>
      <x:c r="AB94" s="6" t="n">
        <x:f>ROUND(AA94*'Debt strategy'!$D$13/12,2)</x:f>
        <x:v>0</x:v>
      </x:c>
      <x:c r="AC94" s="6" t="n">
        <x:f>MIN(AA94+AB94,'Debt strategy'!$E$13)</x:f>
        <x:v>0</x:v>
      </x:c>
      <x:c r="AD94" s="27" t="n">
        <x:f>IF(AA94+AB94-AC94&lt;=0,99,1+SUM(IF(AND(C94+D94-E94&gt;0,OR('Debt strategy'!$D$9&gt;'Debt strategy'!$D$13,AND('Debt strategy'!$D$9='Debt strategy'!$D$13,0&lt;4))),1,0),IF(AND(I94+J94-K94&gt;0,OR('Debt strategy'!$D$10&gt;'Debt strategy'!$D$13,AND('Debt strategy'!$D$10='Debt strategy'!$D$13,1&lt;4))),1,0),IF(AND(O94+P94-Q94&gt;0,OR('Debt strategy'!$D$11&gt;'Debt strategy'!$D$13,AND('Debt strategy'!$D$11='Debt strategy'!$D$13,2&lt;4))),1,0),IF(AND(U94+V94-W94&gt;0,OR('Debt strategy'!$D$12&gt;'Debt strategy'!$D$13,AND('Debt strategy'!$D$12='Debt strategy'!$D$13,3&lt;4))),1,0)))</x:f>
        <x:v>99</x:v>
      </x:c>
      <x:c r="AE94" s="6" t="n">
        <x:f>IF('Debt strategy'!$C$16&gt;0,0,MIN(AA94+AB94-AC94,MAX(0,'Debt strategy'!$C$5-SUM(E94,K94,Q94,W94,AC94)-SUM(IF(F94&lt;AD94,C94+D94-E94,0),IF(L94&lt;AD94,I94+J94-K94,0),IF(R94&lt;AD94,O94+P94-Q94,0),IF(X94&lt;AD94,U94+V94-W94,0)))))</x:f>
        <x:v>0</x:v>
      </x:c>
      <x:c r="AF94" s="6" t="n">
        <x:f>ROUND(MAX(0,AA94+AB94-AC94-AE94),2)</x:f>
        <x:v>0</x:v>
      </x:c>
      <x:c r="AG94" s="6" t="n">
        <x:f>SUM(H94,N94,T94,Z94,AF94)</x:f>
        <x:v>0</x:v>
      </x:c>
      <x:c r="AH94" s="6" t="n">
        <x:f>SUM(D94,J94,P94,V94,AB94)+AH93</x:f>
        <x:v>1220.8400000000001</x:v>
      </x:c>
      <x:c r="AI94" s="2"/>
    </x:row>
    <x:row r="95" ht="23" customHeight="1">
      <x:c r="B95" s="2" t="n">
        <x:f>87</x:f>
        <x:v>87</x:v>
      </x:c>
      <x:c r="C95" s="6" t="n">
        <x:f>H94</x:f>
        <x:v>0</x:v>
      </x:c>
      <x:c r="D95" s="6" t="n">
        <x:f>ROUND(C95*'Debt strategy'!$D$9/12,2)</x:f>
        <x:v>0</x:v>
      </x:c>
      <x:c r="E95" s="6" t="n">
        <x:f>MIN(C95+D95,'Debt strategy'!$E$9)</x:f>
        <x:v>0</x:v>
      </x:c>
      <x:c r="F95" s="27" t="n">
        <x:f>IF(C95+D95-E95&lt;=0,99,1+SUM(IF(AND(I95+J95-K95&gt;0,OR('Debt strategy'!$D$10&gt;'Debt strategy'!$D$9,AND('Debt strategy'!$D$10='Debt strategy'!$D$9,1&lt;0))),1,0),IF(AND(O95+P95-Q95&gt;0,OR('Debt strategy'!$D$11&gt;'Debt strategy'!$D$9,AND('Debt strategy'!$D$11='Debt strategy'!$D$9,2&lt;0))),1,0),IF(AND(U95+V95-W95&gt;0,OR('Debt strategy'!$D$12&gt;'Debt strategy'!$D$9,AND('Debt strategy'!$D$12='Debt strategy'!$D$9,3&lt;0))),1,0),IF(AND(AA95+AB95-AC95&gt;0,OR('Debt strategy'!$D$13&gt;'Debt strategy'!$D$9,AND('Debt strategy'!$D$13='Debt strategy'!$D$9,4&lt;0))),1,0)))</x:f>
        <x:v>99</x:v>
      </x:c>
      <x:c r="G95" s="6" t="n">
        <x:f>IF('Debt strategy'!$C$16&gt;0,0,MIN(C95+D95-E95,MAX(0,'Debt strategy'!$C$5-SUM(E95,K95,Q95,W95,AC95)-SUM(IF(L95&lt;F95,I95+J95-K95,0),IF(R95&lt;F95,O95+P95-Q95,0),IF(X95&lt;F95,U95+V95-W95,0),IF(AD95&lt;F95,AA95+AB95-AC95,0)))))</x:f>
        <x:v>0</x:v>
      </x:c>
      <x:c r="H95" s="6" t="n">
        <x:f>ROUND(MAX(0,C95+D95-E95-G95),2)</x:f>
        <x:v>0</x:v>
      </x:c>
      <x:c r="I95" s="6" t="n">
        <x:f>N94</x:f>
        <x:v>0</x:v>
      </x:c>
      <x:c r="J95" s="6" t="n">
        <x:f>ROUND(I95*'Debt strategy'!$D$10/12,2)</x:f>
        <x:v>0</x:v>
      </x:c>
      <x:c r="K95" s="6" t="n">
        <x:f>MIN(I95+J95,'Debt strategy'!$E$10)</x:f>
        <x:v>0</x:v>
      </x:c>
      <x:c r="L95" s="27" t="n">
        <x:f>IF(I95+J95-K95&lt;=0,99,1+SUM(IF(AND(C95+D95-E95&gt;0,OR('Debt strategy'!$D$9&gt;'Debt strategy'!$D$10,AND('Debt strategy'!$D$9='Debt strategy'!$D$10,0&lt;1))),1,0),IF(AND(O95+P95-Q95&gt;0,OR('Debt strategy'!$D$11&gt;'Debt strategy'!$D$10,AND('Debt strategy'!$D$11='Debt strategy'!$D$10,2&lt;1))),1,0),IF(AND(U95+V95-W95&gt;0,OR('Debt strategy'!$D$12&gt;'Debt strategy'!$D$10,AND('Debt strategy'!$D$12='Debt strategy'!$D$10,3&lt;1))),1,0),IF(AND(AA95+AB95-AC95&gt;0,OR('Debt strategy'!$D$13&gt;'Debt strategy'!$D$10,AND('Debt strategy'!$D$13='Debt strategy'!$D$10,4&lt;1))),1,0)))</x:f>
        <x:v>99</x:v>
      </x:c>
      <x:c r="M95" s="6" t="n">
        <x:f>IF('Debt strategy'!$C$16&gt;0,0,MIN(I95+J95-K95,MAX(0,'Debt strategy'!$C$5-SUM(E95,K95,Q95,W95,AC95)-SUM(IF(F95&lt;L95,C95+D95-E95,0),IF(R95&lt;L95,O95+P95-Q95,0),IF(X95&lt;L95,U95+V95-W95,0),IF(AD95&lt;L95,AA95+AB95-AC95,0)))))</x:f>
        <x:v>0</x:v>
      </x:c>
      <x:c r="N95" s="6" t="n">
        <x:f>ROUND(MAX(0,I95+J95-K95-M95),2)</x:f>
        <x:v>0</x:v>
      </x:c>
      <x:c r="O95" s="6" t="n">
        <x:f>T94</x:f>
        <x:v>0</x:v>
      </x:c>
      <x:c r="P95" s="6" t="n">
        <x:f>ROUND(O95*'Debt strategy'!$D$11/12,2)</x:f>
        <x:v>0</x:v>
      </x:c>
      <x:c r="Q95" s="6" t="n">
        <x:f>MIN(O95+P95,'Debt strategy'!$E$11)</x:f>
        <x:v>0</x:v>
      </x:c>
      <x:c r="R95" s="27" t="n">
        <x:f>IF(O95+P95-Q95&lt;=0,99,1+SUM(IF(AND(C95+D95-E95&gt;0,OR('Debt strategy'!$D$9&gt;'Debt strategy'!$D$11,AND('Debt strategy'!$D$9='Debt strategy'!$D$11,0&lt;2))),1,0),IF(AND(I95+J95-K95&gt;0,OR('Debt strategy'!$D$10&gt;'Debt strategy'!$D$11,AND('Debt strategy'!$D$10='Debt strategy'!$D$11,1&lt;2))),1,0),IF(AND(U95+V95-W95&gt;0,OR('Debt strategy'!$D$12&gt;'Debt strategy'!$D$11,AND('Debt strategy'!$D$12='Debt strategy'!$D$11,3&lt;2))),1,0),IF(AND(AA95+AB95-AC95&gt;0,OR('Debt strategy'!$D$13&gt;'Debt strategy'!$D$11,AND('Debt strategy'!$D$13='Debt strategy'!$D$11,4&lt;2))),1,0)))</x:f>
        <x:v>99</x:v>
      </x:c>
      <x:c r="S95" s="6" t="n">
        <x:f>IF('Debt strategy'!$C$16&gt;0,0,MIN(O95+P95-Q95,MAX(0,'Debt strategy'!$C$5-SUM(E95,K95,Q95,W95,AC95)-SUM(IF(F95&lt;R95,C95+D95-E95,0),IF(L95&lt;R95,I95+J95-K95,0),IF(X95&lt;R95,U95+V95-W95,0),IF(AD95&lt;R95,AA95+AB95-AC95,0)))))</x:f>
        <x:v>0</x:v>
      </x:c>
      <x:c r="T95" s="6" t="n">
        <x:f>ROUND(MAX(0,O95+P95-Q95-S95),2)</x:f>
        <x:v>0</x:v>
      </x:c>
      <x:c r="U95" s="6" t="n">
        <x:f>Z94</x:f>
        <x:v>0</x:v>
      </x:c>
      <x:c r="V95" s="6" t="n">
        <x:f>ROUND(U95*'Debt strategy'!$D$12/12,2)</x:f>
        <x:v>0</x:v>
      </x:c>
      <x:c r="W95" s="6" t="n">
        <x:f>MIN(U95+V95,'Debt strategy'!$E$12)</x:f>
        <x:v>0</x:v>
      </x:c>
      <x:c r="X95" s="27" t="n">
        <x:f>IF(U95+V95-W95&lt;=0,99,1+SUM(IF(AND(C95+D95-E95&gt;0,OR('Debt strategy'!$D$9&gt;'Debt strategy'!$D$12,AND('Debt strategy'!$D$9='Debt strategy'!$D$12,0&lt;3))),1,0),IF(AND(I95+J95-K95&gt;0,OR('Debt strategy'!$D$10&gt;'Debt strategy'!$D$12,AND('Debt strategy'!$D$10='Debt strategy'!$D$12,1&lt;3))),1,0),IF(AND(O95+P95-Q95&gt;0,OR('Debt strategy'!$D$11&gt;'Debt strategy'!$D$12,AND('Debt strategy'!$D$11='Debt strategy'!$D$12,2&lt;3))),1,0),IF(AND(AA95+AB95-AC95&gt;0,OR('Debt strategy'!$D$13&gt;'Debt strategy'!$D$12,AND('Debt strategy'!$D$13='Debt strategy'!$D$12,4&lt;3))),1,0)))</x:f>
        <x:v>99</x:v>
      </x:c>
      <x:c r="Y95" s="6" t="n">
        <x:f>IF('Debt strategy'!$C$16&gt;0,0,MIN(U95+V95-W95,MAX(0,'Debt strategy'!$C$5-SUM(E95,K95,Q95,W95,AC95)-SUM(IF(F95&lt;X95,C95+D95-E95,0),IF(L95&lt;X95,I95+J95-K95,0),IF(R95&lt;X95,O95+P95-Q95,0),IF(AD95&lt;X95,AA95+AB95-AC95,0)))))</x:f>
        <x:v>0</x:v>
      </x:c>
      <x:c r="Z95" s="6" t="n">
        <x:f>ROUND(MAX(0,U95+V95-W95-Y95),2)</x:f>
        <x:v>0</x:v>
      </x:c>
      <x:c r="AA95" s="6" t="n">
        <x:f>AF94</x:f>
        <x:v>0</x:v>
      </x:c>
      <x:c r="AB95" s="6" t="n">
        <x:f>ROUND(AA95*'Debt strategy'!$D$13/12,2)</x:f>
        <x:v>0</x:v>
      </x:c>
      <x:c r="AC95" s="6" t="n">
        <x:f>MIN(AA95+AB95,'Debt strategy'!$E$13)</x:f>
        <x:v>0</x:v>
      </x:c>
      <x:c r="AD95" s="27" t="n">
        <x:f>IF(AA95+AB95-AC95&lt;=0,99,1+SUM(IF(AND(C95+D95-E95&gt;0,OR('Debt strategy'!$D$9&gt;'Debt strategy'!$D$13,AND('Debt strategy'!$D$9='Debt strategy'!$D$13,0&lt;4))),1,0),IF(AND(I95+J95-K95&gt;0,OR('Debt strategy'!$D$10&gt;'Debt strategy'!$D$13,AND('Debt strategy'!$D$10='Debt strategy'!$D$13,1&lt;4))),1,0),IF(AND(O95+P95-Q95&gt;0,OR('Debt strategy'!$D$11&gt;'Debt strategy'!$D$13,AND('Debt strategy'!$D$11='Debt strategy'!$D$13,2&lt;4))),1,0),IF(AND(U95+V95-W95&gt;0,OR('Debt strategy'!$D$12&gt;'Debt strategy'!$D$13,AND('Debt strategy'!$D$12='Debt strategy'!$D$13,3&lt;4))),1,0)))</x:f>
        <x:v>99</x:v>
      </x:c>
      <x:c r="AE95" s="6" t="n">
        <x:f>IF('Debt strategy'!$C$16&gt;0,0,MIN(AA95+AB95-AC95,MAX(0,'Debt strategy'!$C$5-SUM(E95,K95,Q95,W95,AC95)-SUM(IF(F95&lt;AD95,C95+D95-E95,0),IF(L95&lt;AD95,I95+J95-K95,0),IF(R95&lt;AD95,O95+P95-Q95,0),IF(X95&lt;AD95,U95+V95-W95,0)))))</x:f>
        <x:v>0</x:v>
      </x:c>
      <x:c r="AF95" s="6" t="n">
        <x:f>ROUND(MAX(0,AA95+AB95-AC95-AE95),2)</x:f>
        <x:v>0</x:v>
      </x:c>
      <x:c r="AG95" s="6" t="n">
        <x:f>SUM(H95,N95,T95,Z95,AF95)</x:f>
        <x:v>0</x:v>
      </x:c>
      <x:c r="AH95" s="6" t="n">
        <x:f>SUM(D95,J95,P95,V95,AB95)+AH94</x:f>
        <x:v>1220.8400000000001</x:v>
      </x:c>
      <x:c r="AI95" s="2"/>
    </x:row>
    <x:row r="96" ht="23" customHeight="1">
      <x:c r="B96" s="2" t="n">
        <x:f>88</x:f>
        <x:v>88</x:v>
      </x:c>
      <x:c r="C96" s="6" t="n">
        <x:f>H95</x:f>
        <x:v>0</x:v>
      </x:c>
      <x:c r="D96" s="6" t="n">
        <x:f>ROUND(C96*'Debt strategy'!$D$9/12,2)</x:f>
        <x:v>0</x:v>
      </x:c>
      <x:c r="E96" s="6" t="n">
        <x:f>MIN(C96+D96,'Debt strategy'!$E$9)</x:f>
        <x:v>0</x:v>
      </x:c>
      <x:c r="F96" s="27" t="n">
        <x:f>IF(C96+D96-E96&lt;=0,99,1+SUM(IF(AND(I96+J96-K96&gt;0,OR('Debt strategy'!$D$10&gt;'Debt strategy'!$D$9,AND('Debt strategy'!$D$10='Debt strategy'!$D$9,1&lt;0))),1,0),IF(AND(O96+P96-Q96&gt;0,OR('Debt strategy'!$D$11&gt;'Debt strategy'!$D$9,AND('Debt strategy'!$D$11='Debt strategy'!$D$9,2&lt;0))),1,0),IF(AND(U96+V96-W96&gt;0,OR('Debt strategy'!$D$12&gt;'Debt strategy'!$D$9,AND('Debt strategy'!$D$12='Debt strategy'!$D$9,3&lt;0))),1,0),IF(AND(AA96+AB96-AC96&gt;0,OR('Debt strategy'!$D$13&gt;'Debt strategy'!$D$9,AND('Debt strategy'!$D$13='Debt strategy'!$D$9,4&lt;0))),1,0)))</x:f>
        <x:v>99</x:v>
      </x:c>
      <x:c r="G96" s="6" t="n">
        <x:f>IF('Debt strategy'!$C$16&gt;0,0,MIN(C96+D96-E96,MAX(0,'Debt strategy'!$C$5-SUM(E96,K96,Q96,W96,AC96)-SUM(IF(L96&lt;F96,I96+J96-K96,0),IF(R96&lt;F96,O96+P96-Q96,0),IF(X96&lt;F96,U96+V96-W96,0),IF(AD96&lt;F96,AA96+AB96-AC96,0)))))</x:f>
        <x:v>0</x:v>
      </x:c>
      <x:c r="H96" s="6" t="n">
        <x:f>ROUND(MAX(0,C96+D96-E96-G96),2)</x:f>
        <x:v>0</x:v>
      </x:c>
      <x:c r="I96" s="6" t="n">
        <x:f>N95</x:f>
        <x:v>0</x:v>
      </x:c>
      <x:c r="J96" s="6" t="n">
        <x:f>ROUND(I96*'Debt strategy'!$D$10/12,2)</x:f>
        <x:v>0</x:v>
      </x:c>
      <x:c r="K96" s="6" t="n">
        <x:f>MIN(I96+J96,'Debt strategy'!$E$10)</x:f>
        <x:v>0</x:v>
      </x:c>
      <x:c r="L96" s="27" t="n">
        <x:f>IF(I96+J96-K96&lt;=0,99,1+SUM(IF(AND(C96+D96-E96&gt;0,OR('Debt strategy'!$D$9&gt;'Debt strategy'!$D$10,AND('Debt strategy'!$D$9='Debt strategy'!$D$10,0&lt;1))),1,0),IF(AND(O96+P96-Q96&gt;0,OR('Debt strategy'!$D$11&gt;'Debt strategy'!$D$10,AND('Debt strategy'!$D$11='Debt strategy'!$D$10,2&lt;1))),1,0),IF(AND(U96+V96-W96&gt;0,OR('Debt strategy'!$D$12&gt;'Debt strategy'!$D$10,AND('Debt strategy'!$D$12='Debt strategy'!$D$10,3&lt;1))),1,0),IF(AND(AA96+AB96-AC96&gt;0,OR('Debt strategy'!$D$13&gt;'Debt strategy'!$D$10,AND('Debt strategy'!$D$13='Debt strategy'!$D$10,4&lt;1))),1,0)))</x:f>
        <x:v>99</x:v>
      </x:c>
      <x:c r="M96" s="6" t="n">
        <x:f>IF('Debt strategy'!$C$16&gt;0,0,MIN(I96+J96-K96,MAX(0,'Debt strategy'!$C$5-SUM(E96,K96,Q96,W96,AC96)-SUM(IF(F96&lt;L96,C96+D96-E96,0),IF(R96&lt;L96,O96+P96-Q96,0),IF(X96&lt;L96,U96+V96-W96,0),IF(AD96&lt;L96,AA96+AB96-AC96,0)))))</x:f>
        <x:v>0</x:v>
      </x:c>
      <x:c r="N96" s="6" t="n">
        <x:f>ROUND(MAX(0,I96+J96-K96-M96),2)</x:f>
        <x:v>0</x:v>
      </x:c>
      <x:c r="O96" s="6" t="n">
        <x:f>T95</x:f>
        <x:v>0</x:v>
      </x:c>
      <x:c r="P96" s="6" t="n">
        <x:f>ROUND(O96*'Debt strategy'!$D$11/12,2)</x:f>
        <x:v>0</x:v>
      </x:c>
      <x:c r="Q96" s="6" t="n">
        <x:f>MIN(O96+P96,'Debt strategy'!$E$11)</x:f>
        <x:v>0</x:v>
      </x:c>
      <x:c r="R96" s="27" t="n">
        <x:f>IF(O96+P96-Q96&lt;=0,99,1+SUM(IF(AND(C96+D96-E96&gt;0,OR('Debt strategy'!$D$9&gt;'Debt strategy'!$D$11,AND('Debt strategy'!$D$9='Debt strategy'!$D$11,0&lt;2))),1,0),IF(AND(I96+J96-K96&gt;0,OR('Debt strategy'!$D$10&gt;'Debt strategy'!$D$11,AND('Debt strategy'!$D$10='Debt strategy'!$D$11,1&lt;2))),1,0),IF(AND(U96+V96-W96&gt;0,OR('Debt strategy'!$D$12&gt;'Debt strategy'!$D$11,AND('Debt strategy'!$D$12='Debt strategy'!$D$11,3&lt;2))),1,0),IF(AND(AA96+AB96-AC96&gt;0,OR('Debt strategy'!$D$13&gt;'Debt strategy'!$D$11,AND('Debt strategy'!$D$13='Debt strategy'!$D$11,4&lt;2))),1,0)))</x:f>
        <x:v>99</x:v>
      </x:c>
      <x:c r="S96" s="6" t="n">
        <x:f>IF('Debt strategy'!$C$16&gt;0,0,MIN(O96+P96-Q96,MAX(0,'Debt strategy'!$C$5-SUM(E96,K96,Q96,W96,AC96)-SUM(IF(F96&lt;R96,C96+D96-E96,0),IF(L96&lt;R96,I96+J96-K96,0),IF(X96&lt;R96,U96+V96-W96,0),IF(AD96&lt;R96,AA96+AB96-AC96,0)))))</x:f>
        <x:v>0</x:v>
      </x:c>
      <x:c r="T96" s="6" t="n">
        <x:f>ROUND(MAX(0,O96+P96-Q96-S96),2)</x:f>
        <x:v>0</x:v>
      </x:c>
      <x:c r="U96" s="6" t="n">
        <x:f>Z95</x:f>
        <x:v>0</x:v>
      </x:c>
      <x:c r="V96" s="6" t="n">
        <x:f>ROUND(U96*'Debt strategy'!$D$12/12,2)</x:f>
        <x:v>0</x:v>
      </x:c>
      <x:c r="W96" s="6" t="n">
        <x:f>MIN(U96+V96,'Debt strategy'!$E$12)</x:f>
        <x:v>0</x:v>
      </x:c>
      <x:c r="X96" s="27" t="n">
        <x:f>IF(U96+V96-W96&lt;=0,99,1+SUM(IF(AND(C96+D96-E96&gt;0,OR('Debt strategy'!$D$9&gt;'Debt strategy'!$D$12,AND('Debt strategy'!$D$9='Debt strategy'!$D$12,0&lt;3))),1,0),IF(AND(I96+J96-K96&gt;0,OR('Debt strategy'!$D$10&gt;'Debt strategy'!$D$12,AND('Debt strategy'!$D$10='Debt strategy'!$D$12,1&lt;3))),1,0),IF(AND(O96+P96-Q96&gt;0,OR('Debt strategy'!$D$11&gt;'Debt strategy'!$D$12,AND('Debt strategy'!$D$11='Debt strategy'!$D$12,2&lt;3))),1,0),IF(AND(AA96+AB96-AC96&gt;0,OR('Debt strategy'!$D$13&gt;'Debt strategy'!$D$12,AND('Debt strategy'!$D$13='Debt strategy'!$D$12,4&lt;3))),1,0)))</x:f>
        <x:v>99</x:v>
      </x:c>
      <x:c r="Y96" s="6" t="n">
        <x:f>IF('Debt strategy'!$C$16&gt;0,0,MIN(U96+V96-W96,MAX(0,'Debt strategy'!$C$5-SUM(E96,K96,Q96,W96,AC96)-SUM(IF(F96&lt;X96,C96+D96-E96,0),IF(L96&lt;X96,I96+J96-K96,0),IF(R96&lt;X96,O96+P96-Q96,0),IF(AD96&lt;X96,AA96+AB96-AC96,0)))))</x:f>
        <x:v>0</x:v>
      </x:c>
      <x:c r="Z96" s="6" t="n">
        <x:f>ROUND(MAX(0,U96+V96-W96-Y96),2)</x:f>
        <x:v>0</x:v>
      </x:c>
      <x:c r="AA96" s="6" t="n">
        <x:f>AF95</x:f>
        <x:v>0</x:v>
      </x:c>
      <x:c r="AB96" s="6" t="n">
        <x:f>ROUND(AA96*'Debt strategy'!$D$13/12,2)</x:f>
        <x:v>0</x:v>
      </x:c>
      <x:c r="AC96" s="6" t="n">
        <x:f>MIN(AA96+AB96,'Debt strategy'!$E$13)</x:f>
        <x:v>0</x:v>
      </x:c>
      <x:c r="AD96" s="27" t="n">
        <x:f>IF(AA96+AB96-AC96&lt;=0,99,1+SUM(IF(AND(C96+D96-E96&gt;0,OR('Debt strategy'!$D$9&gt;'Debt strategy'!$D$13,AND('Debt strategy'!$D$9='Debt strategy'!$D$13,0&lt;4))),1,0),IF(AND(I96+J96-K96&gt;0,OR('Debt strategy'!$D$10&gt;'Debt strategy'!$D$13,AND('Debt strategy'!$D$10='Debt strategy'!$D$13,1&lt;4))),1,0),IF(AND(O96+P96-Q96&gt;0,OR('Debt strategy'!$D$11&gt;'Debt strategy'!$D$13,AND('Debt strategy'!$D$11='Debt strategy'!$D$13,2&lt;4))),1,0),IF(AND(U96+V96-W96&gt;0,OR('Debt strategy'!$D$12&gt;'Debt strategy'!$D$13,AND('Debt strategy'!$D$12='Debt strategy'!$D$13,3&lt;4))),1,0)))</x:f>
        <x:v>99</x:v>
      </x:c>
      <x:c r="AE96" s="6" t="n">
        <x:f>IF('Debt strategy'!$C$16&gt;0,0,MIN(AA96+AB96-AC96,MAX(0,'Debt strategy'!$C$5-SUM(E96,K96,Q96,W96,AC96)-SUM(IF(F96&lt;AD96,C96+D96-E96,0),IF(L96&lt;AD96,I96+J96-K96,0),IF(R96&lt;AD96,O96+P96-Q96,0),IF(X96&lt;AD96,U96+V96-W96,0)))))</x:f>
        <x:v>0</x:v>
      </x:c>
      <x:c r="AF96" s="6" t="n">
        <x:f>ROUND(MAX(0,AA96+AB96-AC96-AE96),2)</x:f>
        <x:v>0</x:v>
      </x:c>
      <x:c r="AG96" s="6" t="n">
        <x:f>SUM(H96,N96,T96,Z96,AF96)</x:f>
        <x:v>0</x:v>
      </x:c>
      <x:c r="AH96" s="6" t="n">
        <x:f>SUM(D96,J96,P96,V96,AB96)+AH95</x:f>
        <x:v>1220.8400000000001</x:v>
      </x:c>
      <x:c r="AI96" s="2"/>
    </x:row>
    <x:row r="97" ht="23" customHeight="1">
      <x:c r="B97" s="2" t="n">
        <x:f>89</x:f>
        <x:v>89</x:v>
      </x:c>
      <x:c r="C97" s="6" t="n">
        <x:f>H96</x:f>
        <x:v>0</x:v>
      </x:c>
      <x:c r="D97" s="6" t="n">
        <x:f>ROUND(C97*'Debt strategy'!$D$9/12,2)</x:f>
        <x:v>0</x:v>
      </x:c>
      <x:c r="E97" s="6" t="n">
        <x:f>MIN(C97+D97,'Debt strategy'!$E$9)</x:f>
        <x:v>0</x:v>
      </x:c>
      <x:c r="F97" s="27" t="n">
        <x:f>IF(C97+D97-E97&lt;=0,99,1+SUM(IF(AND(I97+J97-K97&gt;0,OR('Debt strategy'!$D$10&gt;'Debt strategy'!$D$9,AND('Debt strategy'!$D$10='Debt strategy'!$D$9,1&lt;0))),1,0),IF(AND(O97+P97-Q97&gt;0,OR('Debt strategy'!$D$11&gt;'Debt strategy'!$D$9,AND('Debt strategy'!$D$11='Debt strategy'!$D$9,2&lt;0))),1,0),IF(AND(U97+V97-W97&gt;0,OR('Debt strategy'!$D$12&gt;'Debt strategy'!$D$9,AND('Debt strategy'!$D$12='Debt strategy'!$D$9,3&lt;0))),1,0),IF(AND(AA97+AB97-AC97&gt;0,OR('Debt strategy'!$D$13&gt;'Debt strategy'!$D$9,AND('Debt strategy'!$D$13='Debt strategy'!$D$9,4&lt;0))),1,0)))</x:f>
        <x:v>99</x:v>
      </x:c>
      <x:c r="G97" s="6" t="n">
        <x:f>IF('Debt strategy'!$C$16&gt;0,0,MIN(C97+D97-E97,MAX(0,'Debt strategy'!$C$5-SUM(E97,K97,Q97,W97,AC97)-SUM(IF(L97&lt;F97,I97+J97-K97,0),IF(R97&lt;F97,O97+P97-Q97,0),IF(X97&lt;F97,U97+V97-W97,0),IF(AD97&lt;F97,AA97+AB97-AC97,0)))))</x:f>
        <x:v>0</x:v>
      </x:c>
      <x:c r="H97" s="6" t="n">
        <x:f>ROUND(MAX(0,C97+D97-E97-G97),2)</x:f>
        <x:v>0</x:v>
      </x:c>
      <x:c r="I97" s="6" t="n">
        <x:f>N96</x:f>
        <x:v>0</x:v>
      </x:c>
      <x:c r="J97" s="6" t="n">
        <x:f>ROUND(I97*'Debt strategy'!$D$10/12,2)</x:f>
        <x:v>0</x:v>
      </x:c>
      <x:c r="K97" s="6" t="n">
        <x:f>MIN(I97+J97,'Debt strategy'!$E$10)</x:f>
        <x:v>0</x:v>
      </x:c>
      <x:c r="L97" s="27" t="n">
        <x:f>IF(I97+J97-K97&lt;=0,99,1+SUM(IF(AND(C97+D97-E97&gt;0,OR('Debt strategy'!$D$9&gt;'Debt strategy'!$D$10,AND('Debt strategy'!$D$9='Debt strategy'!$D$10,0&lt;1))),1,0),IF(AND(O97+P97-Q97&gt;0,OR('Debt strategy'!$D$11&gt;'Debt strategy'!$D$10,AND('Debt strategy'!$D$11='Debt strategy'!$D$10,2&lt;1))),1,0),IF(AND(U97+V97-W97&gt;0,OR('Debt strategy'!$D$12&gt;'Debt strategy'!$D$10,AND('Debt strategy'!$D$12='Debt strategy'!$D$10,3&lt;1))),1,0),IF(AND(AA97+AB97-AC97&gt;0,OR('Debt strategy'!$D$13&gt;'Debt strategy'!$D$10,AND('Debt strategy'!$D$13='Debt strategy'!$D$10,4&lt;1))),1,0)))</x:f>
        <x:v>99</x:v>
      </x:c>
      <x:c r="M97" s="6" t="n">
        <x:f>IF('Debt strategy'!$C$16&gt;0,0,MIN(I97+J97-K97,MAX(0,'Debt strategy'!$C$5-SUM(E97,K97,Q97,W97,AC97)-SUM(IF(F97&lt;L97,C97+D97-E97,0),IF(R97&lt;L97,O97+P97-Q97,0),IF(X97&lt;L97,U97+V97-W97,0),IF(AD97&lt;L97,AA97+AB97-AC97,0)))))</x:f>
        <x:v>0</x:v>
      </x:c>
      <x:c r="N97" s="6" t="n">
        <x:f>ROUND(MAX(0,I97+J97-K97-M97),2)</x:f>
        <x:v>0</x:v>
      </x:c>
      <x:c r="O97" s="6" t="n">
        <x:f>T96</x:f>
        <x:v>0</x:v>
      </x:c>
      <x:c r="P97" s="6" t="n">
        <x:f>ROUND(O97*'Debt strategy'!$D$11/12,2)</x:f>
        <x:v>0</x:v>
      </x:c>
      <x:c r="Q97" s="6" t="n">
        <x:f>MIN(O97+P97,'Debt strategy'!$E$11)</x:f>
        <x:v>0</x:v>
      </x:c>
      <x:c r="R97" s="27" t="n">
        <x:f>IF(O97+P97-Q97&lt;=0,99,1+SUM(IF(AND(C97+D97-E97&gt;0,OR('Debt strategy'!$D$9&gt;'Debt strategy'!$D$11,AND('Debt strategy'!$D$9='Debt strategy'!$D$11,0&lt;2))),1,0),IF(AND(I97+J97-K97&gt;0,OR('Debt strategy'!$D$10&gt;'Debt strategy'!$D$11,AND('Debt strategy'!$D$10='Debt strategy'!$D$11,1&lt;2))),1,0),IF(AND(U97+V97-W97&gt;0,OR('Debt strategy'!$D$12&gt;'Debt strategy'!$D$11,AND('Debt strategy'!$D$12='Debt strategy'!$D$11,3&lt;2))),1,0),IF(AND(AA97+AB97-AC97&gt;0,OR('Debt strategy'!$D$13&gt;'Debt strategy'!$D$11,AND('Debt strategy'!$D$13='Debt strategy'!$D$11,4&lt;2))),1,0)))</x:f>
        <x:v>99</x:v>
      </x:c>
      <x:c r="S97" s="6" t="n">
        <x:f>IF('Debt strategy'!$C$16&gt;0,0,MIN(O97+P97-Q97,MAX(0,'Debt strategy'!$C$5-SUM(E97,K97,Q97,W97,AC97)-SUM(IF(F97&lt;R97,C97+D97-E97,0),IF(L97&lt;R97,I97+J97-K97,0),IF(X97&lt;R97,U97+V97-W97,0),IF(AD97&lt;R97,AA97+AB97-AC97,0)))))</x:f>
        <x:v>0</x:v>
      </x:c>
      <x:c r="T97" s="6" t="n">
        <x:f>ROUND(MAX(0,O97+P97-Q97-S97),2)</x:f>
        <x:v>0</x:v>
      </x:c>
      <x:c r="U97" s="6" t="n">
        <x:f>Z96</x:f>
        <x:v>0</x:v>
      </x:c>
      <x:c r="V97" s="6" t="n">
        <x:f>ROUND(U97*'Debt strategy'!$D$12/12,2)</x:f>
        <x:v>0</x:v>
      </x:c>
      <x:c r="W97" s="6" t="n">
        <x:f>MIN(U97+V97,'Debt strategy'!$E$12)</x:f>
        <x:v>0</x:v>
      </x:c>
      <x:c r="X97" s="27" t="n">
        <x:f>IF(U97+V97-W97&lt;=0,99,1+SUM(IF(AND(C97+D97-E97&gt;0,OR('Debt strategy'!$D$9&gt;'Debt strategy'!$D$12,AND('Debt strategy'!$D$9='Debt strategy'!$D$12,0&lt;3))),1,0),IF(AND(I97+J97-K97&gt;0,OR('Debt strategy'!$D$10&gt;'Debt strategy'!$D$12,AND('Debt strategy'!$D$10='Debt strategy'!$D$12,1&lt;3))),1,0),IF(AND(O97+P97-Q97&gt;0,OR('Debt strategy'!$D$11&gt;'Debt strategy'!$D$12,AND('Debt strategy'!$D$11='Debt strategy'!$D$12,2&lt;3))),1,0),IF(AND(AA97+AB97-AC97&gt;0,OR('Debt strategy'!$D$13&gt;'Debt strategy'!$D$12,AND('Debt strategy'!$D$13='Debt strategy'!$D$12,4&lt;3))),1,0)))</x:f>
        <x:v>99</x:v>
      </x:c>
      <x:c r="Y97" s="6" t="n">
        <x:f>IF('Debt strategy'!$C$16&gt;0,0,MIN(U97+V97-W97,MAX(0,'Debt strategy'!$C$5-SUM(E97,K97,Q97,W97,AC97)-SUM(IF(F97&lt;X97,C97+D97-E97,0),IF(L97&lt;X97,I97+J97-K97,0),IF(R97&lt;X97,O97+P97-Q97,0),IF(AD97&lt;X97,AA97+AB97-AC97,0)))))</x:f>
        <x:v>0</x:v>
      </x:c>
      <x:c r="Z97" s="6" t="n">
        <x:f>ROUND(MAX(0,U97+V97-W97-Y97),2)</x:f>
        <x:v>0</x:v>
      </x:c>
      <x:c r="AA97" s="6" t="n">
        <x:f>AF96</x:f>
        <x:v>0</x:v>
      </x:c>
      <x:c r="AB97" s="6" t="n">
        <x:f>ROUND(AA97*'Debt strategy'!$D$13/12,2)</x:f>
        <x:v>0</x:v>
      </x:c>
      <x:c r="AC97" s="6" t="n">
        <x:f>MIN(AA97+AB97,'Debt strategy'!$E$13)</x:f>
        <x:v>0</x:v>
      </x:c>
      <x:c r="AD97" s="27" t="n">
        <x:f>IF(AA97+AB97-AC97&lt;=0,99,1+SUM(IF(AND(C97+D97-E97&gt;0,OR('Debt strategy'!$D$9&gt;'Debt strategy'!$D$13,AND('Debt strategy'!$D$9='Debt strategy'!$D$13,0&lt;4))),1,0),IF(AND(I97+J97-K97&gt;0,OR('Debt strategy'!$D$10&gt;'Debt strategy'!$D$13,AND('Debt strategy'!$D$10='Debt strategy'!$D$13,1&lt;4))),1,0),IF(AND(O97+P97-Q97&gt;0,OR('Debt strategy'!$D$11&gt;'Debt strategy'!$D$13,AND('Debt strategy'!$D$11='Debt strategy'!$D$13,2&lt;4))),1,0),IF(AND(U97+V97-W97&gt;0,OR('Debt strategy'!$D$12&gt;'Debt strategy'!$D$13,AND('Debt strategy'!$D$12='Debt strategy'!$D$13,3&lt;4))),1,0)))</x:f>
        <x:v>99</x:v>
      </x:c>
      <x:c r="AE97" s="6" t="n">
        <x:f>IF('Debt strategy'!$C$16&gt;0,0,MIN(AA97+AB97-AC97,MAX(0,'Debt strategy'!$C$5-SUM(E97,K97,Q97,W97,AC97)-SUM(IF(F97&lt;AD97,C97+D97-E97,0),IF(L97&lt;AD97,I97+J97-K97,0),IF(R97&lt;AD97,O97+P97-Q97,0),IF(X97&lt;AD97,U97+V97-W97,0)))))</x:f>
        <x:v>0</x:v>
      </x:c>
      <x:c r="AF97" s="6" t="n">
        <x:f>ROUND(MAX(0,AA97+AB97-AC97-AE97),2)</x:f>
        <x:v>0</x:v>
      </x:c>
      <x:c r="AG97" s="6" t="n">
        <x:f>SUM(H97,N97,T97,Z97,AF97)</x:f>
        <x:v>0</x:v>
      </x:c>
      <x:c r="AH97" s="6" t="n">
        <x:f>SUM(D97,J97,P97,V97,AB97)+AH96</x:f>
        <x:v>1220.8400000000001</x:v>
      </x:c>
      <x:c r="AI97" s="2"/>
    </x:row>
    <x:row r="98" ht="23" customHeight="1">
      <x:c r="B98" s="2" t="n">
        <x:f>90</x:f>
        <x:v>90</x:v>
      </x:c>
      <x:c r="C98" s="6" t="n">
        <x:f>H97</x:f>
        <x:v>0</x:v>
      </x:c>
      <x:c r="D98" s="6" t="n">
        <x:f>ROUND(C98*'Debt strategy'!$D$9/12,2)</x:f>
        <x:v>0</x:v>
      </x:c>
      <x:c r="E98" s="6" t="n">
        <x:f>MIN(C98+D98,'Debt strategy'!$E$9)</x:f>
        <x:v>0</x:v>
      </x:c>
      <x:c r="F98" s="27" t="n">
        <x:f>IF(C98+D98-E98&lt;=0,99,1+SUM(IF(AND(I98+J98-K98&gt;0,OR('Debt strategy'!$D$10&gt;'Debt strategy'!$D$9,AND('Debt strategy'!$D$10='Debt strategy'!$D$9,1&lt;0))),1,0),IF(AND(O98+P98-Q98&gt;0,OR('Debt strategy'!$D$11&gt;'Debt strategy'!$D$9,AND('Debt strategy'!$D$11='Debt strategy'!$D$9,2&lt;0))),1,0),IF(AND(U98+V98-W98&gt;0,OR('Debt strategy'!$D$12&gt;'Debt strategy'!$D$9,AND('Debt strategy'!$D$12='Debt strategy'!$D$9,3&lt;0))),1,0),IF(AND(AA98+AB98-AC98&gt;0,OR('Debt strategy'!$D$13&gt;'Debt strategy'!$D$9,AND('Debt strategy'!$D$13='Debt strategy'!$D$9,4&lt;0))),1,0)))</x:f>
        <x:v>99</x:v>
      </x:c>
      <x:c r="G98" s="6" t="n">
        <x:f>IF('Debt strategy'!$C$16&gt;0,0,MIN(C98+D98-E98,MAX(0,'Debt strategy'!$C$5-SUM(E98,K98,Q98,W98,AC98)-SUM(IF(L98&lt;F98,I98+J98-K98,0),IF(R98&lt;F98,O98+P98-Q98,0),IF(X98&lt;F98,U98+V98-W98,0),IF(AD98&lt;F98,AA98+AB98-AC98,0)))))</x:f>
        <x:v>0</x:v>
      </x:c>
      <x:c r="H98" s="6" t="n">
        <x:f>ROUND(MAX(0,C98+D98-E98-G98),2)</x:f>
        <x:v>0</x:v>
      </x:c>
      <x:c r="I98" s="6" t="n">
        <x:f>N97</x:f>
        <x:v>0</x:v>
      </x:c>
      <x:c r="J98" s="6" t="n">
        <x:f>ROUND(I98*'Debt strategy'!$D$10/12,2)</x:f>
        <x:v>0</x:v>
      </x:c>
      <x:c r="K98" s="6" t="n">
        <x:f>MIN(I98+J98,'Debt strategy'!$E$10)</x:f>
        <x:v>0</x:v>
      </x:c>
      <x:c r="L98" s="27" t="n">
        <x:f>IF(I98+J98-K98&lt;=0,99,1+SUM(IF(AND(C98+D98-E98&gt;0,OR('Debt strategy'!$D$9&gt;'Debt strategy'!$D$10,AND('Debt strategy'!$D$9='Debt strategy'!$D$10,0&lt;1))),1,0),IF(AND(O98+P98-Q98&gt;0,OR('Debt strategy'!$D$11&gt;'Debt strategy'!$D$10,AND('Debt strategy'!$D$11='Debt strategy'!$D$10,2&lt;1))),1,0),IF(AND(U98+V98-W98&gt;0,OR('Debt strategy'!$D$12&gt;'Debt strategy'!$D$10,AND('Debt strategy'!$D$12='Debt strategy'!$D$10,3&lt;1))),1,0),IF(AND(AA98+AB98-AC98&gt;0,OR('Debt strategy'!$D$13&gt;'Debt strategy'!$D$10,AND('Debt strategy'!$D$13='Debt strategy'!$D$10,4&lt;1))),1,0)))</x:f>
        <x:v>99</x:v>
      </x:c>
      <x:c r="M98" s="6" t="n">
        <x:f>IF('Debt strategy'!$C$16&gt;0,0,MIN(I98+J98-K98,MAX(0,'Debt strategy'!$C$5-SUM(E98,K98,Q98,W98,AC98)-SUM(IF(F98&lt;L98,C98+D98-E98,0),IF(R98&lt;L98,O98+P98-Q98,0),IF(X98&lt;L98,U98+V98-W98,0),IF(AD98&lt;L98,AA98+AB98-AC98,0)))))</x:f>
        <x:v>0</x:v>
      </x:c>
      <x:c r="N98" s="6" t="n">
        <x:f>ROUND(MAX(0,I98+J98-K98-M98),2)</x:f>
        <x:v>0</x:v>
      </x:c>
      <x:c r="O98" s="6" t="n">
        <x:f>T97</x:f>
        <x:v>0</x:v>
      </x:c>
      <x:c r="P98" s="6" t="n">
        <x:f>ROUND(O98*'Debt strategy'!$D$11/12,2)</x:f>
        <x:v>0</x:v>
      </x:c>
      <x:c r="Q98" s="6" t="n">
        <x:f>MIN(O98+P98,'Debt strategy'!$E$11)</x:f>
        <x:v>0</x:v>
      </x:c>
      <x:c r="R98" s="27" t="n">
        <x:f>IF(O98+P98-Q98&lt;=0,99,1+SUM(IF(AND(C98+D98-E98&gt;0,OR('Debt strategy'!$D$9&gt;'Debt strategy'!$D$11,AND('Debt strategy'!$D$9='Debt strategy'!$D$11,0&lt;2))),1,0),IF(AND(I98+J98-K98&gt;0,OR('Debt strategy'!$D$10&gt;'Debt strategy'!$D$11,AND('Debt strategy'!$D$10='Debt strategy'!$D$11,1&lt;2))),1,0),IF(AND(U98+V98-W98&gt;0,OR('Debt strategy'!$D$12&gt;'Debt strategy'!$D$11,AND('Debt strategy'!$D$12='Debt strategy'!$D$11,3&lt;2))),1,0),IF(AND(AA98+AB98-AC98&gt;0,OR('Debt strategy'!$D$13&gt;'Debt strategy'!$D$11,AND('Debt strategy'!$D$13='Debt strategy'!$D$11,4&lt;2))),1,0)))</x:f>
        <x:v>99</x:v>
      </x:c>
      <x:c r="S98" s="6" t="n">
        <x:f>IF('Debt strategy'!$C$16&gt;0,0,MIN(O98+P98-Q98,MAX(0,'Debt strategy'!$C$5-SUM(E98,K98,Q98,W98,AC98)-SUM(IF(F98&lt;R98,C98+D98-E98,0),IF(L98&lt;R98,I98+J98-K98,0),IF(X98&lt;R98,U98+V98-W98,0),IF(AD98&lt;R98,AA98+AB98-AC98,0)))))</x:f>
        <x:v>0</x:v>
      </x:c>
      <x:c r="T98" s="6" t="n">
        <x:f>ROUND(MAX(0,O98+P98-Q98-S98),2)</x:f>
        <x:v>0</x:v>
      </x:c>
      <x:c r="U98" s="6" t="n">
        <x:f>Z97</x:f>
        <x:v>0</x:v>
      </x:c>
      <x:c r="V98" s="6" t="n">
        <x:f>ROUND(U98*'Debt strategy'!$D$12/12,2)</x:f>
        <x:v>0</x:v>
      </x:c>
      <x:c r="W98" s="6" t="n">
        <x:f>MIN(U98+V98,'Debt strategy'!$E$12)</x:f>
        <x:v>0</x:v>
      </x:c>
      <x:c r="X98" s="27" t="n">
        <x:f>IF(U98+V98-W98&lt;=0,99,1+SUM(IF(AND(C98+D98-E98&gt;0,OR('Debt strategy'!$D$9&gt;'Debt strategy'!$D$12,AND('Debt strategy'!$D$9='Debt strategy'!$D$12,0&lt;3))),1,0),IF(AND(I98+J98-K98&gt;0,OR('Debt strategy'!$D$10&gt;'Debt strategy'!$D$12,AND('Debt strategy'!$D$10='Debt strategy'!$D$12,1&lt;3))),1,0),IF(AND(O98+P98-Q98&gt;0,OR('Debt strategy'!$D$11&gt;'Debt strategy'!$D$12,AND('Debt strategy'!$D$11='Debt strategy'!$D$12,2&lt;3))),1,0),IF(AND(AA98+AB98-AC98&gt;0,OR('Debt strategy'!$D$13&gt;'Debt strategy'!$D$12,AND('Debt strategy'!$D$13='Debt strategy'!$D$12,4&lt;3))),1,0)))</x:f>
        <x:v>99</x:v>
      </x:c>
      <x:c r="Y98" s="6" t="n">
        <x:f>IF('Debt strategy'!$C$16&gt;0,0,MIN(U98+V98-W98,MAX(0,'Debt strategy'!$C$5-SUM(E98,K98,Q98,W98,AC98)-SUM(IF(F98&lt;X98,C98+D98-E98,0),IF(L98&lt;X98,I98+J98-K98,0),IF(R98&lt;X98,O98+P98-Q98,0),IF(AD98&lt;X98,AA98+AB98-AC98,0)))))</x:f>
        <x:v>0</x:v>
      </x:c>
      <x:c r="Z98" s="6" t="n">
        <x:f>ROUND(MAX(0,U98+V98-W98-Y98),2)</x:f>
        <x:v>0</x:v>
      </x:c>
      <x:c r="AA98" s="6" t="n">
        <x:f>AF97</x:f>
        <x:v>0</x:v>
      </x:c>
      <x:c r="AB98" s="6" t="n">
        <x:f>ROUND(AA98*'Debt strategy'!$D$13/12,2)</x:f>
        <x:v>0</x:v>
      </x:c>
      <x:c r="AC98" s="6" t="n">
        <x:f>MIN(AA98+AB98,'Debt strategy'!$E$13)</x:f>
        <x:v>0</x:v>
      </x:c>
      <x:c r="AD98" s="27" t="n">
        <x:f>IF(AA98+AB98-AC98&lt;=0,99,1+SUM(IF(AND(C98+D98-E98&gt;0,OR('Debt strategy'!$D$9&gt;'Debt strategy'!$D$13,AND('Debt strategy'!$D$9='Debt strategy'!$D$13,0&lt;4))),1,0),IF(AND(I98+J98-K98&gt;0,OR('Debt strategy'!$D$10&gt;'Debt strategy'!$D$13,AND('Debt strategy'!$D$10='Debt strategy'!$D$13,1&lt;4))),1,0),IF(AND(O98+P98-Q98&gt;0,OR('Debt strategy'!$D$11&gt;'Debt strategy'!$D$13,AND('Debt strategy'!$D$11='Debt strategy'!$D$13,2&lt;4))),1,0),IF(AND(U98+V98-W98&gt;0,OR('Debt strategy'!$D$12&gt;'Debt strategy'!$D$13,AND('Debt strategy'!$D$12='Debt strategy'!$D$13,3&lt;4))),1,0)))</x:f>
        <x:v>99</x:v>
      </x:c>
      <x:c r="AE98" s="6" t="n">
        <x:f>IF('Debt strategy'!$C$16&gt;0,0,MIN(AA98+AB98-AC98,MAX(0,'Debt strategy'!$C$5-SUM(E98,K98,Q98,W98,AC98)-SUM(IF(F98&lt;AD98,C98+D98-E98,0),IF(L98&lt;AD98,I98+J98-K98,0),IF(R98&lt;AD98,O98+P98-Q98,0),IF(X98&lt;AD98,U98+V98-W98,0)))))</x:f>
        <x:v>0</x:v>
      </x:c>
      <x:c r="AF98" s="6" t="n">
        <x:f>ROUND(MAX(0,AA98+AB98-AC98-AE98),2)</x:f>
        <x:v>0</x:v>
      </x:c>
      <x:c r="AG98" s="6" t="n">
        <x:f>SUM(H98,N98,T98,Z98,AF98)</x:f>
        <x:v>0</x:v>
      </x:c>
      <x:c r="AH98" s="6" t="n">
        <x:f>SUM(D98,J98,P98,V98,AB98)+AH97</x:f>
        <x:v>1220.8400000000001</x:v>
      </x:c>
      <x:c r="AI98" s="2"/>
    </x:row>
    <x:row r="99" ht="23" customHeight="1">
      <x:c r="B99" s="2" t="n">
        <x:f>91</x:f>
        <x:v>91</x:v>
      </x:c>
      <x:c r="C99" s="6" t="n">
        <x:f>H98</x:f>
        <x:v>0</x:v>
      </x:c>
      <x:c r="D99" s="6" t="n">
        <x:f>ROUND(C99*'Debt strategy'!$D$9/12,2)</x:f>
        <x:v>0</x:v>
      </x:c>
      <x:c r="E99" s="6" t="n">
        <x:f>MIN(C99+D99,'Debt strategy'!$E$9)</x:f>
        <x:v>0</x:v>
      </x:c>
      <x:c r="F99" s="27" t="n">
        <x:f>IF(C99+D99-E99&lt;=0,99,1+SUM(IF(AND(I99+J99-K99&gt;0,OR('Debt strategy'!$D$10&gt;'Debt strategy'!$D$9,AND('Debt strategy'!$D$10='Debt strategy'!$D$9,1&lt;0))),1,0),IF(AND(O99+P99-Q99&gt;0,OR('Debt strategy'!$D$11&gt;'Debt strategy'!$D$9,AND('Debt strategy'!$D$11='Debt strategy'!$D$9,2&lt;0))),1,0),IF(AND(U99+V99-W99&gt;0,OR('Debt strategy'!$D$12&gt;'Debt strategy'!$D$9,AND('Debt strategy'!$D$12='Debt strategy'!$D$9,3&lt;0))),1,0),IF(AND(AA99+AB99-AC99&gt;0,OR('Debt strategy'!$D$13&gt;'Debt strategy'!$D$9,AND('Debt strategy'!$D$13='Debt strategy'!$D$9,4&lt;0))),1,0)))</x:f>
        <x:v>99</x:v>
      </x:c>
      <x:c r="G99" s="6" t="n">
        <x:f>IF('Debt strategy'!$C$16&gt;0,0,MIN(C99+D99-E99,MAX(0,'Debt strategy'!$C$5-SUM(E99,K99,Q99,W99,AC99)-SUM(IF(L99&lt;F99,I99+J99-K99,0),IF(R99&lt;F99,O99+P99-Q99,0),IF(X99&lt;F99,U99+V99-W99,0),IF(AD99&lt;F99,AA99+AB99-AC99,0)))))</x:f>
        <x:v>0</x:v>
      </x:c>
      <x:c r="H99" s="6" t="n">
        <x:f>ROUND(MAX(0,C99+D99-E99-G99),2)</x:f>
        <x:v>0</x:v>
      </x:c>
      <x:c r="I99" s="6" t="n">
        <x:f>N98</x:f>
        <x:v>0</x:v>
      </x:c>
      <x:c r="J99" s="6" t="n">
        <x:f>ROUND(I99*'Debt strategy'!$D$10/12,2)</x:f>
        <x:v>0</x:v>
      </x:c>
      <x:c r="K99" s="6" t="n">
        <x:f>MIN(I99+J99,'Debt strategy'!$E$10)</x:f>
        <x:v>0</x:v>
      </x:c>
      <x:c r="L99" s="27" t="n">
        <x:f>IF(I99+J99-K99&lt;=0,99,1+SUM(IF(AND(C99+D99-E99&gt;0,OR('Debt strategy'!$D$9&gt;'Debt strategy'!$D$10,AND('Debt strategy'!$D$9='Debt strategy'!$D$10,0&lt;1))),1,0),IF(AND(O99+P99-Q99&gt;0,OR('Debt strategy'!$D$11&gt;'Debt strategy'!$D$10,AND('Debt strategy'!$D$11='Debt strategy'!$D$10,2&lt;1))),1,0),IF(AND(U99+V99-W99&gt;0,OR('Debt strategy'!$D$12&gt;'Debt strategy'!$D$10,AND('Debt strategy'!$D$12='Debt strategy'!$D$10,3&lt;1))),1,0),IF(AND(AA99+AB99-AC99&gt;0,OR('Debt strategy'!$D$13&gt;'Debt strategy'!$D$10,AND('Debt strategy'!$D$13='Debt strategy'!$D$10,4&lt;1))),1,0)))</x:f>
        <x:v>99</x:v>
      </x:c>
      <x:c r="M99" s="6" t="n">
        <x:f>IF('Debt strategy'!$C$16&gt;0,0,MIN(I99+J99-K99,MAX(0,'Debt strategy'!$C$5-SUM(E99,K99,Q99,W99,AC99)-SUM(IF(F99&lt;L99,C99+D99-E99,0),IF(R99&lt;L99,O99+P99-Q99,0),IF(X99&lt;L99,U99+V99-W99,0),IF(AD99&lt;L99,AA99+AB99-AC99,0)))))</x:f>
        <x:v>0</x:v>
      </x:c>
      <x:c r="N99" s="6" t="n">
        <x:f>ROUND(MAX(0,I99+J99-K99-M99),2)</x:f>
        <x:v>0</x:v>
      </x:c>
      <x:c r="O99" s="6" t="n">
        <x:f>T98</x:f>
        <x:v>0</x:v>
      </x:c>
      <x:c r="P99" s="6" t="n">
        <x:f>ROUND(O99*'Debt strategy'!$D$11/12,2)</x:f>
        <x:v>0</x:v>
      </x:c>
      <x:c r="Q99" s="6" t="n">
        <x:f>MIN(O99+P99,'Debt strategy'!$E$11)</x:f>
        <x:v>0</x:v>
      </x:c>
      <x:c r="R99" s="27" t="n">
        <x:f>IF(O99+P99-Q99&lt;=0,99,1+SUM(IF(AND(C99+D99-E99&gt;0,OR('Debt strategy'!$D$9&gt;'Debt strategy'!$D$11,AND('Debt strategy'!$D$9='Debt strategy'!$D$11,0&lt;2))),1,0),IF(AND(I99+J99-K99&gt;0,OR('Debt strategy'!$D$10&gt;'Debt strategy'!$D$11,AND('Debt strategy'!$D$10='Debt strategy'!$D$11,1&lt;2))),1,0),IF(AND(U99+V99-W99&gt;0,OR('Debt strategy'!$D$12&gt;'Debt strategy'!$D$11,AND('Debt strategy'!$D$12='Debt strategy'!$D$11,3&lt;2))),1,0),IF(AND(AA99+AB99-AC99&gt;0,OR('Debt strategy'!$D$13&gt;'Debt strategy'!$D$11,AND('Debt strategy'!$D$13='Debt strategy'!$D$11,4&lt;2))),1,0)))</x:f>
        <x:v>99</x:v>
      </x:c>
      <x:c r="S99" s="6" t="n">
        <x:f>IF('Debt strategy'!$C$16&gt;0,0,MIN(O99+P99-Q99,MAX(0,'Debt strategy'!$C$5-SUM(E99,K99,Q99,W99,AC99)-SUM(IF(F99&lt;R99,C99+D99-E99,0),IF(L99&lt;R99,I99+J99-K99,0),IF(X99&lt;R99,U99+V99-W99,0),IF(AD99&lt;R99,AA99+AB99-AC99,0)))))</x:f>
        <x:v>0</x:v>
      </x:c>
      <x:c r="T99" s="6" t="n">
        <x:f>ROUND(MAX(0,O99+P99-Q99-S99),2)</x:f>
        <x:v>0</x:v>
      </x:c>
      <x:c r="U99" s="6" t="n">
        <x:f>Z98</x:f>
        <x:v>0</x:v>
      </x:c>
      <x:c r="V99" s="6" t="n">
        <x:f>ROUND(U99*'Debt strategy'!$D$12/12,2)</x:f>
        <x:v>0</x:v>
      </x:c>
      <x:c r="W99" s="6" t="n">
        <x:f>MIN(U99+V99,'Debt strategy'!$E$12)</x:f>
        <x:v>0</x:v>
      </x:c>
      <x:c r="X99" s="27" t="n">
        <x:f>IF(U99+V99-W99&lt;=0,99,1+SUM(IF(AND(C99+D99-E99&gt;0,OR('Debt strategy'!$D$9&gt;'Debt strategy'!$D$12,AND('Debt strategy'!$D$9='Debt strategy'!$D$12,0&lt;3))),1,0),IF(AND(I99+J99-K99&gt;0,OR('Debt strategy'!$D$10&gt;'Debt strategy'!$D$12,AND('Debt strategy'!$D$10='Debt strategy'!$D$12,1&lt;3))),1,0),IF(AND(O99+P99-Q99&gt;0,OR('Debt strategy'!$D$11&gt;'Debt strategy'!$D$12,AND('Debt strategy'!$D$11='Debt strategy'!$D$12,2&lt;3))),1,0),IF(AND(AA99+AB99-AC99&gt;0,OR('Debt strategy'!$D$13&gt;'Debt strategy'!$D$12,AND('Debt strategy'!$D$13='Debt strategy'!$D$12,4&lt;3))),1,0)))</x:f>
        <x:v>99</x:v>
      </x:c>
      <x:c r="Y99" s="6" t="n">
        <x:f>IF('Debt strategy'!$C$16&gt;0,0,MIN(U99+V99-W99,MAX(0,'Debt strategy'!$C$5-SUM(E99,K99,Q99,W99,AC99)-SUM(IF(F99&lt;X99,C99+D99-E99,0),IF(L99&lt;X99,I99+J99-K99,0),IF(R99&lt;X99,O99+P99-Q99,0),IF(AD99&lt;X99,AA99+AB99-AC99,0)))))</x:f>
        <x:v>0</x:v>
      </x:c>
      <x:c r="Z99" s="6" t="n">
        <x:f>ROUND(MAX(0,U99+V99-W99-Y99),2)</x:f>
        <x:v>0</x:v>
      </x:c>
      <x:c r="AA99" s="6" t="n">
        <x:f>AF98</x:f>
        <x:v>0</x:v>
      </x:c>
      <x:c r="AB99" s="6" t="n">
        <x:f>ROUND(AA99*'Debt strategy'!$D$13/12,2)</x:f>
        <x:v>0</x:v>
      </x:c>
      <x:c r="AC99" s="6" t="n">
        <x:f>MIN(AA99+AB99,'Debt strategy'!$E$13)</x:f>
        <x:v>0</x:v>
      </x:c>
      <x:c r="AD99" s="27" t="n">
        <x:f>IF(AA99+AB99-AC99&lt;=0,99,1+SUM(IF(AND(C99+D99-E99&gt;0,OR('Debt strategy'!$D$9&gt;'Debt strategy'!$D$13,AND('Debt strategy'!$D$9='Debt strategy'!$D$13,0&lt;4))),1,0),IF(AND(I99+J99-K99&gt;0,OR('Debt strategy'!$D$10&gt;'Debt strategy'!$D$13,AND('Debt strategy'!$D$10='Debt strategy'!$D$13,1&lt;4))),1,0),IF(AND(O99+P99-Q99&gt;0,OR('Debt strategy'!$D$11&gt;'Debt strategy'!$D$13,AND('Debt strategy'!$D$11='Debt strategy'!$D$13,2&lt;4))),1,0),IF(AND(U99+V99-W99&gt;0,OR('Debt strategy'!$D$12&gt;'Debt strategy'!$D$13,AND('Debt strategy'!$D$12='Debt strategy'!$D$13,3&lt;4))),1,0)))</x:f>
        <x:v>99</x:v>
      </x:c>
      <x:c r="AE99" s="6" t="n">
        <x:f>IF('Debt strategy'!$C$16&gt;0,0,MIN(AA99+AB99-AC99,MAX(0,'Debt strategy'!$C$5-SUM(E99,K99,Q99,W99,AC99)-SUM(IF(F99&lt;AD99,C99+D99-E99,0),IF(L99&lt;AD99,I99+J99-K99,0),IF(R99&lt;AD99,O99+P99-Q99,0),IF(X99&lt;AD99,U99+V99-W99,0)))))</x:f>
        <x:v>0</x:v>
      </x:c>
      <x:c r="AF99" s="6" t="n">
        <x:f>ROUND(MAX(0,AA99+AB99-AC99-AE99),2)</x:f>
        <x:v>0</x:v>
      </x:c>
      <x:c r="AG99" s="6" t="n">
        <x:f>SUM(H99,N99,T99,Z99,AF99)</x:f>
        <x:v>0</x:v>
      </x:c>
      <x:c r="AH99" s="6" t="n">
        <x:f>SUM(D99,J99,P99,V99,AB99)+AH98</x:f>
        <x:v>1220.8400000000001</x:v>
      </x:c>
      <x:c r="AI99" s="2"/>
    </x:row>
    <x:row r="100" ht="23" customHeight="1">
      <x:c r="B100" s="2" t="n">
        <x:f>92</x:f>
        <x:v>92</x:v>
      </x:c>
      <x:c r="C100" s="6" t="n">
        <x:f>H99</x:f>
        <x:v>0</x:v>
      </x:c>
      <x:c r="D100" s="6" t="n">
        <x:f>ROUND(C100*'Debt strategy'!$D$9/12,2)</x:f>
        <x:v>0</x:v>
      </x:c>
      <x:c r="E100" s="6" t="n">
        <x:f>MIN(C100+D100,'Debt strategy'!$E$9)</x:f>
        <x:v>0</x:v>
      </x:c>
      <x:c r="F100" s="27" t="n">
        <x:f>IF(C100+D100-E100&lt;=0,99,1+SUM(IF(AND(I100+J100-K100&gt;0,OR('Debt strategy'!$D$10&gt;'Debt strategy'!$D$9,AND('Debt strategy'!$D$10='Debt strategy'!$D$9,1&lt;0))),1,0),IF(AND(O100+P100-Q100&gt;0,OR('Debt strategy'!$D$11&gt;'Debt strategy'!$D$9,AND('Debt strategy'!$D$11='Debt strategy'!$D$9,2&lt;0))),1,0),IF(AND(U100+V100-W100&gt;0,OR('Debt strategy'!$D$12&gt;'Debt strategy'!$D$9,AND('Debt strategy'!$D$12='Debt strategy'!$D$9,3&lt;0))),1,0),IF(AND(AA100+AB100-AC100&gt;0,OR('Debt strategy'!$D$13&gt;'Debt strategy'!$D$9,AND('Debt strategy'!$D$13='Debt strategy'!$D$9,4&lt;0))),1,0)))</x:f>
        <x:v>99</x:v>
      </x:c>
      <x:c r="G100" s="6" t="n">
        <x:f>IF('Debt strategy'!$C$16&gt;0,0,MIN(C100+D100-E100,MAX(0,'Debt strategy'!$C$5-SUM(E100,K100,Q100,W100,AC100)-SUM(IF(L100&lt;F100,I100+J100-K100,0),IF(R100&lt;F100,O100+P100-Q100,0),IF(X100&lt;F100,U100+V100-W100,0),IF(AD100&lt;F100,AA100+AB100-AC100,0)))))</x:f>
        <x:v>0</x:v>
      </x:c>
      <x:c r="H100" s="6" t="n">
        <x:f>ROUND(MAX(0,C100+D100-E100-G100),2)</x:f>
        <x:v>0</x:v>
      </x:c>
      <x:c r="I100" s="6" t="n">
        <x:f>N99</x:f>
        <x:v>0</x:v>
      </x:c>
      <x:c r="J100" s="6" t="n">
        <x:f>ROUND(I100*'Debt strategy'!$D$10/12,2)</x:f>
        <x:v>0</x:v>
      </x:c>
      <x:c r="K100" s="6" t="n">
        <x:f>MIN(I100+J100,'Debt strategy'!$E$10)</x:f>
        <x:v>0</x:v>
      </x:c>
      <x:c r="L100" s="27" t="n">
        <x:f>IF(I100+J100-K100&lt;=0,99,1+SUM(IF(AND(C100+D100-E100&gt;0,OR('Debt strategy'!$D$9&gt;'Debt strategy'!$D$10,AND('Debt strategy'!$D$9='Debt strategy'!$D$10,0&lt;1))),1,0),IF(AND(O100+P100-Q100&gt;0,OR('Debt strategy'!$D$11&gt;'Debt strategy'!$D$10,AND('Debt strategy'!$D$11='Debt strategy'!$D$10,2&lt;1))),1,0),IF(AND(U100+V100-W100&gt;0,OR('Debt strategy'!$D$12&gt;'Debt strategy'!$D$10,AND('Debt strategy'!$D$12='Debt strategy'!$D$10,3&lt;1))),1,0),IF(AND(AA100+AB100-AC100&gt;0,OR('Debt strategy'!$D$13&gt;'Debt strategy'!$D$10,AND('Debt strategy'!$D$13='Debt strategy'!$D$10,4&lt;1))),1,0)))</x:f>
        <x:v>99</x:v>
      </x:c>
      <x:c r="M100" s="6" t="n">
        <x:f>IF('Debt strategy'!$C$16&gt;0,0,MIN(I100+J100-K100,MAX(0,'Debt strategy'!$C$5-SUM(E100,K100,Q100,W100,AC100)-SUM(IF(F100&lt;L100,C100+D100-E100,0),IF(R100&lt;L100,O100+P100-Q100,0),IF(X100&lt;L100,U100+V100-W100,0),IF(AD100&lt;L100,AA100+AB100-AC100,0)))))</x:f>
        <x:v>0</x:v>
      </x:c>
      <x:c r="N100" s="6" t="n">
        <x:f>ROUND(MAX(0,I100+J100-K100-M100),2)</x:f>
        <x:v>0</x:v>
      </x:c>
      <x:c r="O100" s="6" t="n">
        <x:f>T99</x:f>
        <x:v>0</x:v>
      </x:c>
      <x:c r="P100" s="6" t="n">
        <x:f>ROUND(O100*'Debt strategy'!$D$11/12,2)</x:f>
        <x:v>0</x:v>
      </x:c>
      <x:c r="Q100" s="6" t="n">
        <x:f>MIN(O100+P100,'Debt strategy'!$E$11)</x:f>
        <x:v>0</x:v>
      </x:c>
      <x:c r="R100" s="27" t="n">
        <x:f>IF(O100+P100-Q100&lt;=0,99,1+SUM(IF(AND(C100+D100-E100&gt;0,OR('Debt strategy'!$D$9&gt;'Debt strategy'!$D$11,AND('Debt strategy'!$D$9='Debt strategy'!$D$11,0&lt;2))),1,0),IF(AND(I100+J100-K100&gt;0,OR('Debt strategy'!$D$10&gt;'Debt strategy'!$D$11,AND('Debt strategy'!$D$10='Debt strategy'!$D$11,1&lt;2))),1,0),IF(AND(U100+V100-W100&gt;0,OR('Debt strategy'!$D$12&gt;'Debt strategy'!$D$11,AND('Debt strategy'!$D$12='Debt strategy'!$D$11,3&lt;2))),1,0),IF(AND(AA100+AB100-AC100&gt;0,OR('Debt strategy'!$D$13&gt;'Debt strategy'!$D$11,AND('Debt strategy'!$D$13='Debt strategy'!$D$11,4&lt;2))),1,0)))</x:f>
        <x:v>99</x:v>
      </x:c>
      <x:c r="S100" s="6" t="n">
        <x:f>IF('Debt strategy'!$C$16&gt;0,0,MIN(O100+P100-Q100,MAX(0,'Debt strategy'!$C$5-SUM(E100,K100,Q100,W100,AC100)-SUM(IF(F100&lt;R100,C100+D100-E100,0),IF(L100&lt;R100,I100+J100-K100,0),IF(X100&lt;R100,U100+V100-W100,0),IF(AD100&lt;R100,AA100+AB100-AC100,0)))))</x:f>
        <x:v>0</x:v>
      </x:c>
      <x:c r="T100" s="6" t="n">
        <x:f>ROUND(MAX(0,O100+P100-Q100-S100),2)</x:f>
        <x:v>0</x:v>
      </x:c>
      <x:c r="U100" s="6" t="n">
        <x:f>Z99</x:f>
        <x:v>0</x:v>
      </x:c>
      <x:c r="V100" s="6" t="n">
        <x:f>ROUND(U100*'Debt strategy'!$D$12/12,2)</x:f>
        <x:v>0</x:v>
      </x:c>
      <x:c r="W100" s="6" t="n">
        <x:f>MIN(U100+V100,'Debt strategy'!$E$12)</x:f>
        <x:v>0</x:v>
      </x:c>
      <x:c r="X100" s="27" t="n">
        <x:f>IF(U100+V100-W100&lt;=0,99,1+SUM(IF(AND(C100+D100-E100&gt;0,OR('Debt strategy'!$D$9&gt;'Debt strategy'!$D$12,AND('Debt strategy'!$D$9='Debt strategy'!$D$12,0&lt;3))),1,0),IF(AND(I100+J100-K100&gt;0,OR('Debt strategy'!$D$10&gt;'Debt strategy'!$D$12,AND('Debt strategy'!$D$10='Debt strategy'!$D$12,1&lt;3))),1,0),IF(AND(O100+P100-Q100&gt;0,OR('Debt strategy'!$D$11&gt;'Debt strategy'!$D$12,AND('Debt strategy'!$D$11='Debt strategy'!$D$12,2&lt;3))),1,0),IF(AND(AA100+AB100-AC100&gt;0,OR('Debt strategy'!$D$13&gt;'Debt strategy'!$D$12,AND('Debt strategy'!$D$13='Debt strategy'!$D$12,4&lt;3))),1,0)))</x:f>
        <x:v>99</x:v>
      </x:c>
      <x:c r="Y100" s="6" t="n">
        <x:f>IF('Debt strategy'!$C$16&gt;0,0,MIN(U100+V100-W100,MAX(0,'Debt strategy'!$C$5-SUM(E100,K100,Q100,W100,AC100)-SUM(IF(F100&lt;X100,C100+D100-E100,0),IF(L100&lt;X100,I100+J100-K100,0),IF(R100&lt;X100,O100+P100-Q100,0),IF(AD100&lt;X100,AA100+AB100-AC100,0)))))</x:f>
        <x:v>0</x:v>
      </x:c>
      <x:c r="Z100" s="6" t="n">
        <x:f>ROUND(MAX(0,U100+V100-W100-Y100),2)</x:f>
        <x:v>0</x:v>
      </x:c>
      <x:c r="AA100" s="6" t="n">
        <x:f>AF99</x:f>
        <x:v>0</x:v>
      </x:c>
      <x:c r="AB100" s="6" t="n">
        <x:f>ROUND(AA100*'Debt strategy'!$D$13/12,2)</x:f>
        <x:v>0</x:v>
      </x:c>
      <x:c r="AC100" s="6" t="n">
        <x:f>MIN(AA100+AB100,'Debt strategy'!$E$13)</x:f>
        <x:v>0</x:v>
      </x:c>
      <x:c r="AD100" s="27" t="n">
        <x:f>IF(AA100+AB100-AC100&lt;=0,99,1+SUM(IF(AND(C100+D100-E100&gt;0,OR('Debt strategy'!$D$9&gt;'Debt strategy'!$D$13,AND('Debt strategy'!$D$9='Debt strategy'!$D$13,0&lt;4))),1,0),IF(AND(I100+J100-K100&gt;0,OR('Debt strategy'!$D$10&gt;'Debt strategy'!$D$13,AND('Debt strategy'!$D$10='Debt strategy'!$D$13,1&lt;4))),1,0),IF(AND(O100+P100-Q100&gt;0,OR('Debt strategy'!$D$11&gt;'Debt strategy'!$D$13,AND('Debt strategy'!$D$11='Debt strategy'!$D$13,2&lt;4))),1,0),IF(AND(U100+V100-W100&gt;0,OR('Debt strategy'!$D$12&gt;'Debt strategy'!$D$13,AND('Debt strategy'!$D$12='Debt strategy'!$D$13,3&lt;4))),1,0)))</x:f>
        <x:v>99</x:v>
      </x:c>
      <x:c r="AE100" s="6" t="n">
        <x:f>IF('Debt strategy'!$C$16&gt;0,0,MIN(AA100+AB100-AC100,MAX(0,'Debt strategy'!$C$5-SUM(E100,K100,Q100,W100,AC100)-SUM(IF(F100&lt;AD100,C100+D100-E100,0),IF(L100&lt;AD100,I100+J100-K100,0),IF(R100&lt;AD100,O100+P100-Q100,0),IF(X100&lt;AD100,U100+V100-W100,0)))))</x:f>
        <x:v>0</x:v>
      </x:c>
      <x:c r="AF100" s="6" t="n">
        <x:f>ROUND(MAX(0,AA100+AB100-AC100-AE100),2)</x:f>
        <x:v>0</x:v>
      </x:c>
      <x:c r="AG100" s="6" t="n">
        <x:f>SUM(H100,N100,T100,Z100,AF100)</x:f>
        <x:v>0</x:v>
      </x:c>
      <x:c r="AH100" s="6" t="n">
        <x:f>SUM(D100,J100,P100,V100,AB100)+AH99</x:f>
        <x:v>1220.8400000000001</x:v>
      </x:c>
      <x:c r="AI100" s="2"/>
    </x:row>
    <x:row r="101" ht="23" customHeight="1">
      <x:c r="B101" s="2" t="n">
        <x:f>93</x:f>
        <x:v>93</x:v>
      </x:c>
      <x:c r="C101" s="6" t="n">
        <x:f>H100</x:f>
        <x:v>0</x:v>
      </x:c>
      <x:c r="D101" s="6" t="n">
        <x:f>ROUND(C101*'Debt strategy'!$D$9/12,2)</x:f>
        <x:v>0</x:v>
      </x:c>
      <x:c r="E101" s="6" t="n">
        <x:f>MIN(C101+D101,'Debt strategy'!$E$9)</x:f>
        <x:v>0</x:v>
      </x:c>
      <x:c r="F101" s="27" t="n">
        <x:f>IF(C101+D101-E101&lt;=0,99,1+SUM(IF(AND(I101+J101-K101&gt;0,OR('Debt strategy'!$D$10&gt;'Debt strategy'!$D$9,AND('Debt strategy'!$D$10='Debt strategy'!$D$9,1&lt;0))),1,0),IF(AND(O101+P101-Q101&gt;0,OR('Debt strategy'!$D$11&gt;'Debt strategy'!$D$9,AND('Debt strategy'!$D$11='Debt strategy'!$D$9,2&lt;0))),1,0),IF(AND(U101+V101-W101&gt;0,OR('Debt strategy'!$D$12&gt;'Debt strategy'!$D$9,AND('Debt strategy'!$D$12='Debt strategy'!$D$9,3&lt;0))),1,0),IF(AND(AA101+AB101-AC101&gt;0,OR('Debt strategy'!$D$13&gt;'Debt strategy'!$D$9,AND('Debt strategy'!$D$13='Debt strategy'!$D$9,4&lt;0))),1,0)))</x:f>
        <x:v>99</x:v>
      </x:c>
      <x:c r="G101" s="6" t="n">
        <x:f>IF('Debt strategy'!$C$16&gt;0,0,MIN(C101+D101-E101,MAX(0,'Debt strategy'!$C$5-SUM(E101,K101,Q101,W101,AC101)-SUM(IF(L101&lt;F101,I101+J101-K101,0),IF(R101&lt;F101,O101+P101-Q101,0),IF(X101&lt;F101,U101+V101-W101,0),IF(AD101&lt;F101,AA101+AB101-AC101,0)))))</x:f>
        <x:v>0</x:v>
      </x:c>
      <x:c r="H101" s="6" t="n">
        <x:f>ROUND(MAX(0,C101+D101-E101-G101),2)</x:f>
        <x:v>0</x:v>
      </x:c>
      <x:c r="I101" s="6" t="n">
        <x:f>N100</x:f>
        <x:v>0</x:v>
      </x:c>
      <x:c r="J101" s="6" t="n">
        <x:f>ROUND(I101*'Debt strategy'!$D$10/12,2)</x:f>
        <x:v>0</x:v>
      </x:c>
      <x:c r="K101" s="6" t="n">
        <x:f>MIN(I101+J101,'Debt strategy'!$E$10)</x:f>
        <x:v>0</x:v>
      </x:c>
      <x:c r="L101" s="27" t="n">
        <x:f>IF(I101+J101-K101&lt;=0,99,1+SUM(IF(AND(C101+D101-E101&gt;0,OR('Debt strategy'!$D$9&gt;'Debt strategy'!$D$10,AND('Debt strategy'!$D$9='Debt strategy'!$D$10,0&lt;1))),1,0),IF(AND(O101+P101-Q101&gt;0,OR('Debt strategy'!$D$11&gt;'Debt strategy'!$D$10,AND('Debt strategy'!$D$11='Debt strategy'!$D$10,2&lt;1))),1,0),IF(AND(U101+V101-W101&gt;0,OR('Debt strategy'!$D$12&gt;'Debt strategy'!$D$10,AND('Debt strategy'!$D$12='Debt strategy'!$D$10,3&lt;1))),1,0),IF(AND(AA101+AB101-AC101&gt;0,OR('Debt strategy'!$D$13&gt;'Debt strategy'!$D$10,AND('Debt strategy'!$D$13='Debt strategy'!$D$10,4&lt;1))),1,0)))</x:f>
        <x:v>99</x:v>
      </x:c>
      <x:c r="M101" s="6" t="n">
        <x:f>IF('Debt strategy'!$C$16&gt;0,0,MIN(I101+J101-K101,MAX(0,'Debt strategy'!$C$5-SUM(E101,K101,Q101,W101,AC101)-SUM(IF(F101&lt;L101,C101+D101-E101,0),IF(R101&lt;L101,O101+P101-Q101,0),IF(X101&lt;L101,U101+V101-W101,0),IF(AD101&lt;L101,AA101+AB101-AC101,0)))))</x:f>
        <x:v>0</x:v>
      </x:c>
      <x:c r="N101" s="6" t="n">
        <x:f>ROUND(MAX(0,I101+J101-K101-M101),2)</x:f>
        <x:v>0</x:v>
      </x:c>
      <x:c r="O101" s="6" t="n">
        <x:f>T100</x:f>
        <x:v>0</x:v>
      </x:c>
      <x:c r="P101" s="6" t="n">
        <x:f>ROUND(O101*'Debt strategy'!$D$11/12,2)</x:f>
        <x:v>0</x:v>
      </x:c>
      <x:c r="Q101" s="6" t="n">
        <x:f>MIN(O101+P101,'Debt strategy'!$E$11)</x:f>
        <x:v>0</x:v>
      </x:c>
      <x:c r="R101" s="27" t="n">
        <x:f>IF(O101+P101-Q101&lt;=0,99,1+SUM(IF(AND(C101+D101-E101&gt;0,OR('Debt strategy'!$D$9&gt;'Debt strategy'!$D$11,AND('Debt strategy'!$D$9='Debt strategy'!$D$11,0&lt;2))),1,0),IF(AND(I101+J101-K101&gt;0,OR('Debt strategy'!$D$10&gt;'Debt strategy'!$D$11,AND('Debt strategy'!$D$10='Debt strategy'!$D$11,1&lt;2))),1,0),IF(AND(U101+V101-W101&gt;0,OR('Debt strategy'!$D$12&gt;'Debt strategy'!$D$11,AND('Debt strategy'!$D$12='Debt strategy'!$D$11,3&lt;2))),1,0),IF(AND(AA101+AB101-AC101&gt;0,OR('Debt strategy'!$D$13&gt;'Debt strategy'!$D$11,AND('Debt strategy'!$D$13='Debt strategy'!$D$11,4&lt;2))),1,0)))</x:f>
        <x:v>99</x:v>
      </x:c>
      <x:c r="S101" s="6" t="n">
        <x:f>IF('Debt strategy'!$C$16&gt;0,0,MIN(O101+P101-Q101,MAX(0,'Debt strategy'!$C$5-SUM(E101,K101,Q101,W101,AC101)-SUM(IF(F101&lt;R101,C101+D101-E101,0),IF(L101&lt;R101,I101+J101-K101,0),IF(X101&lt;R101,U101+V101-W101,0),IF(AD101&lt;R101,AA101+AB101-AC101,0)))))</x:f>
        <x:v>0</x:v>
      </x:c>
      <x:c r="T101" s="6" t="n">
        <x:f>ROUND(MAX(0,O101+P101-Q101-S101),2)</x:f>
        <x:v>0</x:v>
      </x:c>
      <x:c r="U101" s="6" t="n">
        <x:f>Z100</x:f>
        <x:v>0</x:v>
      </x:c>
      <x:c r="V101" s="6" t="n">
        <x:f>ROUND(U101*'Debt strategy'!$D$12/12,2)</x:f>
        <x:v>0</x:v>
      </x:c>
      <x:c r="W101" s="6" t="n">
        <x:f>MIN(U101+V101,'Debt strategy'!$E$12)</x:f>
        <x:v>0</x:v>
      </x:c>
      <x:c r="X101" s="27" t="n">
        <x:f>IF(U101+V101-W101&lt;=0,99,1+SUM(IF(AND(C101+D101-E101&gt;0,OR('Debt strategy'!$D$9&gt;'Debt strategy'!$D$12,AND('Debt strategy'!$D$9='Debt strategy'!$D$12,0&lt;3))),1,0),IF(AND(I101+J101-K101&gt;0,OR('Debt strategy'!$D$10&gt;'Debt strategy'!$D$12,AND('Debt strategy'!$D$10='Debt strategy'!$D$12,1&lt;3))),1,0),IF(AND(O101+P101-Q101&gt;0,OR('Debt strategy'!$D$11&gt;'Debt strategy'!$D$12,AND('Debt strategy'!$D$11='Debt strategy'!$D$12,2&lt;3))),1,0),IF(AND(AA101+AB101-AC101&gt;0,OR('Debt strategy'!$D$13&gt;'Debt strategy'!$D$12,AND('Debt strategy'!$D$13='Debt strategy'!$D$12,4&lt;3))),1,0)))</x:f>
        <x:v>99</x:v>
      </x:c>
      <x:c r="Y101" s="6" t="n">
        <x:f>IF('Debt strategy'!$C$16&gt;0,0,MIN(U101+V101-W101,MAX(0,'Debt strategy'!$C$5-SUM(E101,K101,Q101,W101,AC101)-SUM(IF(F101&lt;X101,C101+D101-E101,0),IF(L101&lt;X101,I101+J101-K101,0),IF(R101&lt;X101,O101+P101-Q101,0),IF(AD101&lt;X101,AA101+AB101-AC101,0)))))</x:f>
        <x:v>0</x:v>
      </x:c>
      <x:c r="Z101" s="6" t="n">
        <x:f>ROUND(MAX(0,U101+V101-W101-Y101),2)</x:f>
        <x:v>0</x:v>
      </x:c>
      <x:c r="AA101" s="6" t="n">
        <x:f>AF100</x:f>
        <x:v>0</x:v>
      </x:c>
      <x:c r="AB101" s="6" t="n">
        <x:f>ROUND(AA101*'Debt strategy'!$D$13/12,2)</x:f>
        <x:v>0</x:v>
      </x:c>
      <x:c r="AC101" s="6" t="n">
        <x:f>MIN(AA101+AB101,'Debt strategy'!$E$13)</x:f>
        <x:v>0</x:v>
      </x:c>
      <x:c r="AD101" s="27" t="n">
        <x:f>IF(AA101+AB101-AC101&lt;=0,99,1+SUM(IF(AND(C101+D101-E101&gt;0,OR('Debt strategy'!$D$9&gt;'Debt strategy'!$D$13,AND('Debt strategy'!$D$9='Debt strategy'!$D$13,0&lt;4))),1,0),IF(AND(I101+J101-K101&gt;0,OR('Debt strategy'!$D$10&gt;'Debt strategy'!$D$13,AND('Debt strategy'!$D$10='Debt strategy'!$D$13,1&lt;4))),1,0),IF(AND(O101+P101-Q101&gt;0,OR('Debt strategy'!$D$11&gt;'Debt strategy'!$D$13,AND('Debt strategy'!$D$11='Debt strategy'!$D$13,2&lt;4))),1,0),IF(AND(U101+V101-W101&gt;0,OR('Debt strategy'!$D$12&gt;'Debt strategy'!$D$13,AND('Debt strategy'!$D$12='Debt strategy'!$D$13,3&lt;4))),1,0)))</x:f>
        <x:v>99</x:v>
      </x:c>
      <x:c r="AE101" s="6" t="n">
        <x:f>IF('Debt strategy'!$C$16&gt;0,0,MIN(AA101+AB101-AC101,MAX(0,'Debt strategy'!$C$5-SUM(E101,K101,Q101,W101,AC101)-SUM(IF(F101&lt;AD101,C101+D101-E101,0),IF(L101&lt;AD101,I101+J101-K101,0),IF(R101&lt;AD101,O101+P101-Q101,0),IF(X101&lt;AD101,U101+V101-W101,0)))))</x:f>
        <x:v>0</x:v>
      </x:c>
      <x:c r="AF101" s="6" t="n">
        <x:f>ROUND(MAX(0,AA101+AB101-AC101-AE101),2)</x:f>
        <x:v>0</x:v>
      </x:c>
      <x:c r="AG101" s="6" t="n">
        <x:f>SUM(H101,N101,T101,Z101,AF101)</x:f>
        <x:v>0</x:v>
      </x:c>
      <x:c r="AH101" s="6" t="n">
        <x:f>SUM(D101,J101,P101,V101,AB101)+AH100</x:f>
        <x:v>1220.8400000000001</x:v>
      </x:c>
      <x:c r="AI101" s="2"/>
    </x:row>
    <x:row r="102" ht="23" customHeight="1">
      <x:c r="B102" s="2" t="n">
        <x:f>94</x:f>
        <x:v>94</x:v>
      </x:c>
      <x:c r="C102" s="6" t="n">
        <x:f>H101</x:f>
        <x:v>0</x:v>
      </x:c>
      <x:c r="D102" s="6" t="n">
        <x:f>ROUND(C102*'Debt strategy'!$D$9/12,2)</x:f>
        <x:v>0</x:v>
      </x:c>
      <x:c r="E102" s="6" t="n">
        <x:f>MIN(C102+D102,'Debt strategy'!$E$9)</x:f>
        <x:v>0</x:v>
      </x:c>
      <x:c r="F102" s="27" t="n">
        <x:f>IF(C102+D102-E102&lt;=0,99,1+SUM(IF(AND(I102+J102-K102&gt;0,OR('Debt strategy'!$D$10&gt;'Debt strategy'!$D$9,AND('Debt strategy'!$D$10='Debt strategy'!$D$9,1&lt;0))),1,0),IF(AND(O102+P102-Q102&gt;0,OR('Debt strategy'!$D$11&gt;'Debt strategy'!$D$9,AND('Debt strategy'!$D$11='Debt strategy'!$D$9,2&lt;0))),1,0),IF(AND(U102+V102-W102&gt;0,OR('Debt strategy'!$D$12&gt;'Debt strategy'!$D$9,AND('Debt strategy'!$D$12='Debt strategy'!$D$9,3&lt;0))),1,0),IF(AND(AA102+AB102-AC102&gt;0,OR('Debt strategy'!$D$13&gt;'Debt strategy'!$D$9,AND('Debt strategy'!$D$13='Debt strategy'!$D$9,4&lt;0))),1,0)))</x:f>
        <x:v>99</x:v>
      </x:c>
      <x:c r="G102" s="6" t="n">
        <x:f>IF('Debt strategy'!$C$16&gt;0,0,MIN(C102+D102-E102,MAX(0,'Debt strategy'!$C$5-SUM(E102,K102,Q102,W102,AC102)-SUM(IF(L102&lt;F102,I102+J102-K102,0),IF(R102&lt;F102,O102+P102-Q102,0),IF(X102&lt;F102,U102+V102-W102,0),IF(AD102&lt;F102,AA102+AB102-AC102,0)))))</x:f>
        <x:v>0</x:v>
      </x:c>
      <x:c r="H102" s="6" t="n">
        <x:f>ROUND(MAX(0,C102+D102-E102-G102),2)</x:f>
        <x:v>0</x:v>
      </x:c>
      <x:c r="I102" s="6" t="n">
        <x:f>N101</x:f>
        <x:v>0</x:v>
      </x:c>
      <x:c r="J102" s="6" t="n">
        <x:f>ROUND(I102*'Debt strategy'!$D$10/12,2)</x:f>
        <x:v>0</x:v>
      </x:c>
      <x:c r="K102" s="6" t="n">
        <x:f>MIN(I102+J102,'Debt strategy'!$E$10)</x:f>
        <x:v>0</x:v>
      </x:c>
      <x:c r="L102" s="27" t="n">
        <x:f>IF(I102+J102-K102&lt;=0,99,1+SUM(IF(AND(C102+D102-E102&gt;0,OR('Debt strategy'!$D$9&gt;'Debt strategy'!$D$10,AND('Debt strategy'!$D$9='Debt strategy'!$D$10,0&lt;1))),1,0),IF(AND(O102+P102-Q102&gt;0,OR('Debt strategy'!$D$11&gt;'Debt strategy'!$D$10,AND('Debt strategy'!$D$11='Debt strategy'!$D$10,2&lt;1))),1,0),IF(AND(U102+V102-W102&gt;0,OR('Debt strategy'!$D$12&gt;'Debt strategy'!$D$10,AND('Debt strategy'!$D$12='Debt strategy'!$D$10,3&lt;1))),1,0),IF(AND(AA102+AB102-AC102&gt;0,OR('Debt strategy'!$D$13&gt;'Debt strategy'!$D$10,AND('Debt strategy'!$D$13='Debt strategy'!$D$10,4&lt;1))),1,0)))</x:f>
        <x:v>99</x:v>
      </x:c>
      <x:c r="M102" s="6" t="n">
        <x:f>IF('Debt strategy'!$C$16&gt;0,0,MIN(I102+J102-K102,MAX(0,'Debt strategy'!$C$5-SUM(E102,K102,Q102,W102,AC102)-SUM(IF(F102&lt;L102,C102+D102-E102,0),IF(R102&lt;L102,O102+P102-Q102,0),IF(X102&lt;L102,U102+V102-W102,0),IF(AD102&lt;L102,AA102+AB102-AC102,0)))))</x:f>
        <x:v>0</x:v>
      </x:c>
      <x:c r="N102" s="6" t="n">
        <x:f>ROUND(MAX(0,I102+J102-K102-M102),2)</x:f>
        <x:v>0</x:v>
      </x:c>
      <x:c r="O102" s="6" t="n">
        <x:f>T101</x:f>
        <x:v>0</x:v>
      </x:c>
      <x:c r="P102" s="6" t="n">
        <x:f>ROUND(O102*'Debt strategy'!$D$11/12,2)</x:f>
        <x:v>0</x:v>
      </x:c>
      <x:c r="Q102" s="6" t="n">
        <x:f>MIN(O102+P102,'Debt strategy'!$E$11)</x:f>
        <x:v>0</x:v>
      </x:c>
      <x:c r="R102" s="27" t="n">
        <x:f>IF(O102+P102-Q102&lt;=0,99,1+SUM(IF(AND(C102+D102-E102&gt;0,OR('Debt strategy'!$D$9&gt;'Debt strategy'!$D$11,AND('Debt strategy'!$D$9='Debt strategy'!$D$11,0&lt;2))),1,0),IF(AND(I102+J102-K102&gt;0,OR('Debt strategy'!$D$10&gt;'Debt strategy'!$D$11,AND('Debt strategy'!$D$10='Debt strategy'!$D$11,1&lt;2))),1,0),IF(AND(U102+V102-W102&gt;0,OR('Debt strategy'!$D$12&gt;'Debt strategy'!$D$11,AND('Debt strategy'!$D$12='Debt strategy'!$D$11,3&lt;2))),1,0),IF(AND(AA102+AB102-AC102&gt;0,OR('Debt strategy'!$D$13&gt;'Debt strategy'!$D$11,AND('Debt strategy'!$D$13='Debt strategy'!$D$11,4&lt;2))),1,0)))</x:f>
        <x:v>99</x:v>
      </x:c>
      <x:c r="S102" s="6" t="n">
        <x:f>IF('Debt strategy'!$C$16&gt;0,0,MIN(O102+P102-Q102,MAX(0,'Debt strategy'!$C$5-SUM(E102,K102,Q102,W102,AC102)-SUM(IF(F102&lt;R102,C102+D102-E102,0),IF(L102&lt;R102,I102+J102-K102,0),IF(X102&lt;R102,U102+V102-W102,0),IF(AD102&lt;R102,AA102+AB102-AC102,0)))))</x:f>
        <x:v>0</x:v>
      </x:c>
      <x:c r="T102" s="6" t="n">
        <x:f>ROUND(MAX(0,O102+P102-Q102-S102),2)</x:f>
        <x:v>0</x:v>
      </x:c>
      <x:c r="U102" s="6" t="n">
        <x:f>Z101</x:f>
        <x:v>0</x:v>
      </x:c>
      <x:c r="V102" s="6" t="n">
        <x:f>ROUND(U102*'Debt strategy'!$D$12/12,2)</x:f>
        <x:v>0</x:v>
      </x:c>
      <x:c r="W102" s="6" t="n">
        <x:f>MIN(U102+V102,'Debt strategy'!$E$12)</x:f>
        <x:v>0</x:v>
      </x:c>
      <x:c r="X102" s="27" t="n">
        <x:f>IF(U102+V102-W102&lt;=0,99,1+SUM(IF(AND(C102+D102-E102&gt;0,OR('Debt strategy'!$D$9&gt;'Debt strategy'!$D$12,AND('Debt strategy'!$D$9='Debt strategy'!$D$12,0&lt;3))),1,0),IF(AND(I102+J102-K102&gt;0,OR('Debt strategy'!$D$10&gt;'Debt strategy'!$D$12,AND('Debt strategy'!$D$10='Debt strategy'!$D$12,1&lt;3))),1,0),IF(AND(O102+P102-Q102&gt;0,OR('Debt strategy'!$D$11&gt;'Debt strategy'!$D$12,AND('Debt strategy'!$D$11='Debt strategy'!$D$12,2&lt;3))),1,0),IF(AND(AA102+AB102-AC102&gt;0,OR('Debt strategy'!$D$13&gt;'Debt strategy'!$D$12,AND('Debt strategy'!$D$13='Debt strategy'!$D$12,4&lt;3))),1,0)))</x:f>
        <x:v>99</x:v>
      </x:c>
      <x:c r="Y102" s="6" t="n">
        <x:f>IF('Debt strategy'!$C$16&gt;0,0,MIN(U102+V102-W102,MAX(0,'Debt strategy'!$C$5-SUM(E102,K102,Q102,W102,AC102)-SUM(IF(F102&lt;X102,C102+D102-E102,0),IF(L102&lt;X102,I102+J102-K102,0),IF(R102&lt;X102,O102+P102-Q102,0),IF(AD102&lt;X102,AA102+AB102-AC102,0)))))</x:f>
        <x:v>0</x:v>
      </x:c>
      <x:c r="Z102" s="6" t="n">
        <x:f>ROUND(MAX(0,U102+V102-W102-Y102),2)</x:f>
        <x:v>0</x:v>
      </x:c>
      <x:c r="AA102" s="6" t="n">
        <x:f>AF101</x:f>
        <x:v>0</x:v>
      </x:c>
      <x:c r="AB102" s="6" t="n">
        <x:f>ROUND(AA102*'Debt strategy'!$D$13/12,2)</x:f>
        <x:v>0</x:v>
      </x:c>
      <x:c r="AC102" s="6" t="n">
        <x:f>MIN(AA102+AB102,'Debt strategy'!$E$13)</x:f>
        <x:v>0</x:v>
      </x:c>
      <x:c r="AD102" s="27" t="n">
        <x:f>IF(AA102+AB102-AC102&lt;=0,99,1+SUM(IF(AND(C102+D102-E102&gt;0,OR('Debt strategy'!$D$9&gt;'Debt strategy'!$D$13,AND('Debt strategy'!$D$9='Debt strategy'!$D$13,0&lt;4))),1,0),IF(AND(I102+J102-K102&gt;0,OR('Debt strategy'!$D$10&gt;'Debt strategy'!$D$13,AND('Debt strategy'!$D$10='Debt strategy'!$D$13,1&lt;4))),1,0),IF(AND(O102+P102-Q102&gt;0,OR('Debt strategy'!$D$11&gt;'Debt strategy'!$D$13,AND('Debt strategy'!$D$11='Debt strategy'!$D$13,2&lt;4))),1,0),IF(AND(U102+V102-W102&gt;0,OR('Debt strategy'!$D$12&gt;'Debt strategy'!$D$13,AND('Debt strategy'!$D$12='Debt strategy'!$D$13,3&lt;4))),1,0)))</x:f>
        <x:v>99</x:v>
      </x:c>
      <x:c r="AE102" s="6" t="n">
        <x:f>IF('Debt strategy'!$C$16&gt;0,0,MIN(AA102+AB102-AC102,MAX(0,'Debt strategy'!$C$5-SUM(E102,K102,Q102,W102,AC102)-SUM(IF(F102&lt;AD102,C102+D102-E102,0),IF(L102&lt;AD102,I102+J102-K102,0),IF(R102&lt;AD102,O102+P102-Q102,0),IF(X102&lt;AD102,U102+V102-W102,0)))))</x:f>
        <x:v>0</x:v>
      </x:c>
      <x:c r="AF102" s="6" t="n">
        <x:f>ROUND(MAX(0,AA102+AB102-AC102-AE102),2)</x:f>
        <x:v>0</x:v>
      </x:c>
      <x:c r="AG102" s="6" t="n">
        <x:f>SUM(H102,N102,T102,Z102,AF102)</x:f>
        <x:v>0</x:v>
      </x:c>
      <x:c r="AH102" s="6" t="n">
        <x:f>SUM(D102,J102,P102,V102,AB102)+AH101</x:f>
        <x:v>1220.8400000000001</x:v>
      </x:c>
      <x:c r="AI102" s="2"/>
    </x:row>
    <x:row r="103" ht="23" customHeight="1">
      <x:c r="B103" s="2" t="n">
        <x:f>95</x:f>
        <x:v>95</x:v>
      </x:c>
      <x:c r="C103" s="6" t="n">
        <x:f>H102</x:f>
        <x:v>0</x:v>
      </x:c>
      <x:c r="D103" s="6" t="n">
        <x:f>ROUND(C103*'Debt strategy'!$D$9/12,2)</x:f>
        <x:v>0</x:v>
      </x:c>
      <x:c r="E103" s="6" t="n">
        <x:f>MIN(C103+D103,'Debt strategy'!$E$9)</x:f>
        <x:v>0</x:v>
      </x:c>
      <x:c r="F103" s="27" t="n">
        <x:f>IF(C103+D103-E103&lt;=0,99,1+SUM(IF(AND(I103+J103-K103&gt;0,OR('Debt strategy'!$D$10&gt;'Debt strategy'!$D$9,AND('Debt strategy'!$D$10='Debt strategy'!$D$9,1&lt;0))),1,0),IF(AND(O103+P103-Q103&gt;0,OR('Debt strategy'!$D$11&gt;'Debt strategy'!$D$9,AND('Debt strategy'!$D$11='Debt strategy'!$D$9,2&lt;0))),1,0),IF(AND(U103+V103-W103&gt;0,OR('Debt strategy'!$D$12&gt;'Debt strategy'!$D$9,AND('Debt strategy'!$D$12='Debt strategy'!$D$9,3&lt;0))),1,0),IF(AND(AA103+AB103-AC103&gt;0,OR('Debt strategy'!$D$13&gt;'Debt strategy'!$D$9,AND('Debt strategy'!$D$13='Debt strategy'!$D$9,4&lt;0))),1,0)))</x:f>
        <x:v>99</x:v>
      </x:c>
      <x:c r="G103" s="6" t="n">
        <x:f>IF('Debt strategy'!$C$16&gt;0,0,MIN(C103+D103-E103,MAX(0,'Debt strategy'!$C$5-SUM(E103,K103,Q103,W103,AC103)-SUM(IF(L103&lt;F103,I103+J103-K103,0),IF(R103&lt;F103,O103+P103-Q103,0),IF(X103&lt;F103,U103+V103-W103,0),IF(AD103&lt;F103,AA103+AB103-AC103,0)))))</x:f>
        <x:v>0</x:v>
      </x:c>
      <x:c r="H103" s="6" t="n">
        <x:f>ROUND(MAX(0,C103+D103-E103-G103),2)</x:f>
        <x:v>0</x:v>
      </x:c>
      <x:c r="I103" s="6" t="n">
        <x:f>N102</x:f>
        <x:v>0</x:v>
      </x:c>
      <x:c r="J103" s="6" t="n">
        <x:f>ROUND(I103*'Debt strategy'!$D$10/12,2)</x:f>
        <x:v>0</x:v>
      </x:c>
      <x:c r="K103" s="6" t="n">
        <x:f>MIN(I103+J103,'Debt strategy'!$E$10)</x:f>
        <x:v>0</x:v>
      </x:c>
      <x:c r="L103" s="27" t="n">
        <x:f>IF(I103+J103-K103&lt;=0,99,1+SUM(IF(AND(C103+D103-E103&gt;0,OR('Debt strategy'!$D$9&gt;'Debt strategy'!$D$10,AND('Debt strategy'!$D$9='Debt strategy'!$D$10,0&lt;1))),1,0),IF(AND(O103+P103-Q103&gt;0,OR('Debt strategy'!$D$11&gt;'Debt strategy'!$D$10,AND('Debt strategy'!$D$11='Debt strategy'!$D$10,2&lt;1))),1,0),IF(AND(U103+V103-W103&gt;0,OR('Debt strategy'!$D$12&gt;'Debt strategy'!$D$10,AND('Debt strategy'!$D$12='Debt strategy'!$D$10,3&lt;1))),1,0),IF(AND(AA103+AB103-AC103&gt;0,OR('Debt strategy'!$D$13&gt;'Debt strategy'!$D$10,AND('Debt strategy'!$D$13='Debt strategy'!$D$10,4&lt;1))),1,0)))</x:f>
        <x:v>99</x:v>
      </x:c>
      <x:c r="M103" s="6" t="n">
        <x:f>IF('Debt strategy'!$C$16&gt;0,0,MIN(I103+J103-K103,MAX(0,'Debt strategy'!$C$5-SUM(E103,K103,Q103,W103,AC103)-SUM(IF(F103&lt;L103,C103+D103-E103,0),IF(R103&lt;L103,O103+P103-Q103,0),IF(X103&lt;L103,U103+V103-W103,0),IF(AD103&lt;L103,AA103+AB103-AC103,0)))))</x:f>
        <x:v>0</x:v>
      </x:c>
      <x:c r="N103" s="6" t="n">
        <x:f>ROUND(MAX(0,I103+J103-K103-M103),2)</x:f>
        <x:v>0</x:v>
      </x:c>
      <x:c r="O103" s="6" t="n">
        <x:f>T102</x:f>
        <x:v>0</x:v>
      </x:c>
      <x:c r="P103" s="6" t="n">
        <x:f>ROUND(O103*'Debt strategy'!$D$11/12,2)</x:f>
        <x:v>0</x:v>
      </x:c>
      <x:c r="Q103" s="6" t="n">
        <x:f>MIN(O103+P103,'Debt strategy'!$E$11)</x:f>
        <x:v>0</x:v>
      </x:c>
      <x:c r="R103" s="27" t="n">
        <x:f>IF(O103+P103-Q103&lt;=0,99,1+SUM(IF(AND(C103+D103-E103&gt;0,OR('Debt strategy'!$D$9&gt;'Debt strategy'!$D$11,AND('Debt strategy'!$D$9='Debt strategy'!$D$11,0&lt;2))),1,0),IF(AND(I103+J103-K103&gt;0,OR('Debt strategy'!$D$10&gt;'Debt strategy'!$D$11,AND('Debt strategy'!$D$10='Debt strategy'!$D$11,1&lt;2))),1,0),IF(AND(U103+V103-W103&gt;0,OR('Debt strategy'!$D$12&gt;'Debt strategy'!$D$11,AND('Debt strategy'!$D$12='Debt strategy'!$D$11,3&lt;2))),1,0),IF(AND(AA103+AB103-AC103&gt;0,OR('Debt strategy'!$D$13&gt;'Debt strategy'!$D$11,AND('Debt strategy'!$D$13='Debt strategy'!$D$11,4&lt;2))),1,0)))</x:f>
        <x:v>99</x:v>
      </x:c>
      <x:c r="S103" s="6" t="n">
        <x:f>IF('Debt strategy'!$C$16&gt;0,0,MIN(O103+P103-Q103,MAX(0,'Debt strategy'!$C$5-SUM(E103,K103,Q103,W103,AC103)-SUM(IF(F103&lt;R103,C103+D103-E103,0),IF(L103&lt;R103,I103+J103-K103,0),IF(X103&lt;R103,U103+V103-W103,0),IF(AD103&lt;R103,AA103+AB103-AC103,0)))))</x:f>
        <x:v>0</x:v>
      </x:c>
      <x:c r="T103" s="6" t="n">
        <x:f>ROUND(MAX(0,O103+P103-Q103-S103),2)</x:f>
        <x:v>0</x:v>
      </x:c>
      <x:c r="U103" s="6" t="n">
        <x:f>Z102</x:f>
        <x:v>0</x:v>
      </x:c>
      <x:c r="V103" s="6" t="n">
        <x:f>ROUND(U103*'Debt strategy'!$D$12/12,2)</x:f>
        <x:v>0</x:v>
      </x:c>
      <x:c r="W103" s="6" t="n">
        <x:f>MIN(U103+V103,'Debt strategy'!$E$12)</x:f>
        <x:v>0</x:v>
      </x:c>
      <x:c r="X103" s="27" t="n">
        <x:f>IF(U103+V103-W103&lt;=0,99,1+SUM(IF(AND(C103+D103-E103&gt;0,OR('Debt strategy'!$D$9&gt;'Debt strategy'!$D$12,AND('Debt strategy'!$D$9='Debt strategy'!$D$12,0&lt;3))),1,0),IF(AND(I103+J103-K103&gt;0,OR('Debt strategy'!$D$10&gt;'Debt strategy'!$D$12,AND('Debt strategy'!$D$10='Debt strategy'!$D$12,1&lt;3))),1,0),IF(AND(O103+P103-Q103&gt;0,OR('Debt strategy'!$D$11&gt;'Debt strategy'!$D$12,AND('Debt strategy'!$D$11='Debt strategy'!$D$12,2&lt;3))),1,0),IF(AND(AA103+AB103-AC103&gt;0,OR('Debt strategy'!$D$13&gt;'Debt strategy'!$D$12,AND('Debt strategy'!$D$13='Debt strategy'!$D$12,4&lt;3))),1,0)))</x:f>
        <x:v>99</x:v>
      </x:c>
      <x:c r="Y103" s="6" t="n">
        <x:f>IF('Debt strategy'!$C$16&gt;0,0,MIN(U103+V103-W103,MAX(0,'Debt strategy'!$C$5-SUM(E103,K103,Q103,W103,AC103)-SUM(IF(F103&lt;X103,C103+D103-E103,0),IF(L103&lt;X103,I103+J103-K103,0),IF(R103&lt;X103,O103+P103-Q103,0),IF(AD103&lt;X103,AA103+AB103-AC103,0)))))</x:f>
        <x:v>0</x:v>
      </x:c>
      <x:c r="Z103" s="6" t="n">
        <x:f>ROUND(MAX(0,U103+V103-W103-Y103),2)</x:f>
        <x:v>0</x:v>
      </x:c>
      <x:c r="AA103" s="6" t="n">
        <x:f>AF102</x:f>
        <x:v>0</x:v>
      </x:c>
      <x:c r="AB103" s="6" t="n">
        <x:f>ROUND(AA103*'Debt strategy'!$D$13/12,2)</x:f>
        <x:v>0</x:v>
      </x:c>
      <x:c r="AC103" s="6" t="n">
        <x:f>MIN(AA103+AB103,'Debt strategy'!$E$13)</x:f>
        <x:v>0</x:v>
      </x:c>
      <x:c r="AD103" s="27" t="n">
        <x:f>IF(AA103+AB103-AC103&lt;=0,99,1+SUM(IF(AND(C103+D103-E103&gt;0,OR('Debt strategy'!$D$9&gt;'Debt strategy'!$D$13,AND('Debt strategy'!$D$9='Debt strategy'!$D$13,0&lt;4))),1,0),IF(AND(I103+J103-K103&gt;0,OR('Debt strategy'!$D$10&gt;'Debt strategy'!$D$13,AND('Debt strategy'!$D$10='Debt strategy'!$D$13,1&lt;4))),1,0),IF(AND(O103+P103-Q103&gt;0,OR('Debt strategy'!$D$11&gt;'Debt strategy'!$D$13,AND('Debt strategy'!$D$11='Debt strategy'!$D$13,2&lt;4))),1,0),IF(AND(U103+V103-W103&gt;0,OR('Debt strategy'!$D$12&gt;'Debt strategy'!$D$13,AND('Debt strategy'!$D$12='Debt strategy'!$D$13,3&lt;4))),1,0)))</x:f>
        <x:v>99</x:v>
      </x:c>
      <x:c r="AE103" s="6" t="n">
        <x:f>IF('Debt strategy'!$C$16&gt;0,0,MIN(AA103+AB103-AC103,MAX(0,'Debt strategy'!$C$5-SUM(E103,K103,Q103,W103,AC103)-SUM(IF(F103&lt;AD103,C103+D103-E103,0),IF(L103&lt;AD103,I103+J103-K103,0),IF(R103&lt;AD103,O103+P103-Q103,0),IF(X103&lt;AD103,U103+V103-W103,0)))))</x:f>
        <x:v>0</x:v>
      </x:c>
      <x:c r="AF103" s="6" t="n">
        <x:f>ROUND(MAX(0,AA103+AB103-AC103-AE103),2)</x:f>
        <x:v>0</x:v>
      </x:c>
      <x:c r="AG103" s="6" t="n">
        <x:f>SUM(H103,N103,T103,Z103,AF103)</x:f>
        <x:v>0</x:v>
      </x:c>
      <x:c r="AH103" s="6" t="n">
        <x:f>SUM(D103,J103,P103,V103,AB103)+AH102</x:f>
        <x:v>1220.8400000000001</x:v>
      </x:c>
      <x:c r="AI103" s="2"/>
    </x:row>
    <x:row r="104" ht="23" customHeight="1">
      <x:c r="B104" s="2" t="n">
        <x:f>96</x:f>
        <x:v>96</x:v>
      </x:c>
      <x:c r="C104" s="6" t="n">
        <x:f>H103</x:f>
        <x:v>0</x:v>
      </x:c>
      <x:c r="D104" s="6" t="n">
        <x:f>ROUND(C104*'Debt strategy'!$D$9/12,2)</x:f>
        <x:v>0</x:v>
      </x:c>
      <x:c r="E104" s="6" t="n">
        <x:f>MIN(C104+D104,'Debt strategy'!$E$9)</x:f>
        <x:v>0</x:v>
      </x:c>
      <x:c r="F104" s="27" t="n">
        <x:f>IF(C104+D104-E104&lt;=0,99,1+SUM(IF(AND(I104+J104-K104&gt;0,OR('Debt strategy'!$D$10&gt;'Debt strategy'!$D$9,AND('Debt strategy'!$D$10='Debt strategy'!$D$9,1&lt;0))),1,0),IF(AND(O104+P104-Q104&gt;0,OR('Debt strategy'!$D$11&gt;'Debt strategy'!$D$9,AND('Debt strategy'!$D$11='Debt strategy'!$D$9,2&lt;0))),1,0),IF(AND(U104+V104-W104&gt;0,OR('Debt strategy'!$D$12&gt;'Debt strategy'!$D$9,AND('Debt strategy'!$D$12='Debt strategy'!$D$9,3&lt;0))),1,0),IF(AND(AA104+AB104-AC104&gt;0,OR('Debt strategy'!$D$13&gt;'Debt strategy'!$D$9,AND('Debt strategy'!$D$13='Debt strategy'!$D$9,4&lt;0))),1,0)))</x:f>
        <x:v>99</x:v>
      </x:c>
      <x:c r="G104" s="6" t="n">
        <x:f>IF('Debt strategy'!$C$16&gt;0,0,MIN(C104+D104-E104,MAX(0,'Debt strategy'!$C$5-SUM(E104,K104,Q104,W104,AC104)-SUM(IF(L104&lt;F104,I104+J104-K104,0),IF(R104&lt;F104,O104+P104-Q104,0),IF(X104&lt;F104,U104+V104-W104,0),IF(AD104&lt;F104,AA104+AB104-AC104,0)))))</x:f>
        <x:v>0</x:v>
      </x:c>
      <x:c r="H104" s="6" t="n">
        <x:f>ROUND(MAX(0,C104+D104-E104-G104),2)</x:f>
        <x:v>0</x:v>
      </x:c>
      <x:c r="I104" s="6" t="n">
        <x:f>N103</x:f>
        <x:v>0</x:v>
      </x:c>
      <x:c r="J104" s="6" t="n">
        <x:f>ROUND(I104*'Debt strategy'!$D$10/12,2)</x:f>
        <x:v>0</x:v>
      </x:c>
      <x:c r="K104" s="6" t="n">
        <x:f>MIN(I104+J104,'Debt strategy'!$E$10)</x:f>
        <x:v>0</x:v>
      </x:c>
      <x:c r="L104" s="27" t="n">
        <x:f>IF(I104+J104-K104&lt;=0,99,1+SUM(IF(AND(C104+D104-E104&gt;0,OR('Debt strategy'!$D$9&gt;'Debt strategy'!$D$10,AND('Debt strategy'!$D$9='Debt strategy'!$D$10,0&lt;1))),1,0),IF(AND(O104+P104-Q104&gt;0,OR('Debt strategy'!$D$11&gt;'Debt strategy'!$D$10,AND('Debt strategy'!$D$11='Debt strategy'!$D$10,2&lt;1))),1,0),IF(AND(U104+V104-W104&gt;0,OR('Debt strategy'!$D$12&gt;'Debt strategy'!$D$10,AND('Debt strategy'!$D$12='Debt strategy'!$D$10,3&lt;1))),1,0),IF(AND(AA104+AB104-AC104&gt;0,OR('Debt strategy'!$D$13&gt;'Debt strategy'!$D$10,AND('Debt strategy'!$D$13='Debt strategy'!$D$10,4&lt;1))),1,0)))</x:f>
        <x:v>99</x:v>
      </x:c>
      <x:c r="M104" s="6" t="n">
        <x:f>IF('Debt strategy'!$C$16&gt;0,0,MIN(I104+J104-K104,MAX(0,'Debt strategy'!$C$5-SUM(E104,K104,Q104,W104,AC104)-SUM(IF(F104&lt;L104,C104+D104-E104,0),IF(R104&lt;L104,O104+P104-Q104,0),IF(X104&lt;L104,U104+V104-W104,0),IF(AD104&lt;L104,AA104+AB104-AC104,0)))))</x:f>
        <x:v>0</x:v>
      </x:c>
      <x:c r="N104" s="6" t="n">
        <x:f>ROUND(MAX(0,I104+J104-K104-M104),2)</x:f>
        <x:v>0</x:v>
      </x:c>
      <x:c r="O104" s="6" t="n">
        <x:f>T103</x:f>
        <x:v>0</x:v>
      </x:c>
      <x:c r="P104" s="6" t="n">
        <x:f>ROUND(O104*'Debt strategy'!$D$11/12,2)</x:f>
        <x:v>0</x:v>
      </x:c>
      <x:c r="Q104" s="6" t="n">
        <x:f>MIN(O104+P104,'Debt strategy'!$E$11)</x:f>
        <x:v>0</x:v>
      </x:c>
      <x:c r="R104" s="27" t="n">
        <x:f>IF(O104+P104-Q104&lt;=0,99,1+SUM(IF(AND(C104+D104-E104&gt;0,OR('Debt strategy'!$D$9&gt;'Debt strategy'!$D$11,AND('Debt strategy'!$D$9='Debt strategy'!$D$11,0&lt;2))),1,0),IF(AND(I104+J104-K104&gt;0,OR('Debt strategy'!$D$10&gt;'Debt strategy'!$D$11,AND('Debt strategy'!$D$10='Debt strategy'!$D$11,1&lt;2))),1,0),IF(AND(U104+V104-W104&gt;0,OR('Debt strategy'!$D$12&gt;'Debt strategy'!$D$11,AND('Debt strategy'!$D$12='Debt strategy'!$D$11,3&lt;2))),1,0),IF(AND(AA104+AB104-AC104&gt;0,OR('Debt strategy'!$D$13&gt;'Debt strategy'!$D$11,AND('Debt strategy'!$D$13='Debt strategy'!$D$11,4&lt;2))),1,0)))</x:f>
        <x:v>99</x:v>
      </x:c>
      <x:c r="S104" s="6" t="n">
        <x:f>IF('Debt strategy'!$C$16&gt;0,0,MIN(O104+P104-Q104,MAX(0,'Debt strategy'!$C$5-SUM(E104,K104,Q104,W104,AC104)-SUM(IF(F104&lt;R104,C104+D104-E104,0),IF(L104&lt;R104,I104+J104-K104,0),IF(X104&lt;R104,U104+V104-W104,0),IF(AD104&lt;R104,AA104+AB104-AC104,0)))))</x:f>
        <x:v>0</x:v>
      </x:c>
      <x:c r="T104" s="6" t="n">
        <x:f>ROUND(MAX(0,O104+P104-Q104-S104),2)</x:f>
        <x:v>0</x:v>
      </x:c>
      <x:c r="U104" s="6" t="n">
        <x:f>Z103</x:f>
        <x:v>0</x:v>
      </x:c>
      <x:c r="V104" s="6" t="n">
        <x:f>ROUND(U104*'Debt strategy'!$D$12/12,2)</x:f>
        <x:v>0</x:v>
      </x:c>
      <x:c r="W104" s="6" t="n">
        <x:f>MIN(U104+V104,'Debt strategy'!$E$12)</x:f>
        <x:v>0</x:v>
      </x:c>
      <x:c r="X104" s="27" t="n">
        <x:f>IF(U104+V104-W104&lt;=0,99,1+SUM(IF(AND(C104+D104-E104&gt;0,OR('Debt strategy'!$D$9&gt;'Debt strategy'!$D$12,AND('Debt strategy'!$D$9='Debt strategy'!$D$12,0&lt;3))),1,0),IF(AND(I104+J104-K104&gt;0,OR('Debt strategy'!$D$10&gt;'Debt strategy'!$D$12,AND('Debt strategy'!$D$10='Debt strategy'!$D$12,1&lt;3))),1,0),IF(AND(O104+P104-Q104&gt;0,OR('Debt strategy'!$D$11&gt;'Debt strategy'!$D$12,AND('Debt strategy'!$D$11='Debt strategy'!$D$12,2&lt;3))),1,0),IF(AND(AA104+AB104-AC104&gt;0,OR('Debt strategy'!$D$13&gt;'Debt strategy'!$D$12,AND('Debt strategy'!$D$13='Debt strategy'!$D$12,4&lt;3))),1,0)))</x:f>
        <x:v>99</x:v>
      </x:c>
      <x:c r="Y104" s="6" t="n">
        <x:f>IF('Debt strategy'!$C$16&gt;0,0,MIN(U104+V104-W104,MAX(0,'Debt strategy'!$C$5-SUM(E104,K104,Q104,W104,AC104)-SUM(IF(F104&lt;X104,C104+D104-E104,0),IF(L104&lt;X104,I104+J104-K104,0),IF(R104&lt;X104,O104+P104-Q104,0),IF(AD104&lt;X104,AA104+AB104-AC104,0)))))</x:f>
        <x:v>0</x:v>
      </x:c>
      <x:c r="Z104" s="6" t="n">
        <x:f>ROUND(MAX(0,U104+V104-W104-Y104),2)</x:f>
        <x:v>0</x:v>
      </x:c>
      <x:c r="AA104" s="6" t="n">
        <x:f>AF103</x:f>
        <x:v>0</x:v>
      </x:c>
      <x:c r="AB104" s="6" t="n">
        <x:f>ROUND(AA104*'Debt strategy'!$D$13/12,2)</x:f>
        <x:v>0</x:v>
      </x:c>
      <x:c r="AC104" s="6" t="n">
        <x:f>MIN(AA104+AB104,'Debt strategy'!$E$13)</x:f>
        <x:v>0</x:v>
      </x:c>
      <x:c r="AD104" s="27" t="n">
        <x:f>IF(AA104+AB104-AC104&lt;=0,99,1+SUM(IF(AND(C104+D104-E104&gt;0,OR('Debt strategy'!$D$9&gt;'Debt strategy'!$D$13,AND('Debt strategy'!$D$9='Debt strategy'!$D$13,0&lt;4))),1,0),IF(AND(I104+J104-K104&gt;0,OR('Debt strategy'!$D$10&gt;'Debt strategy'!$D$13,AND('Debt strategy'!$D$10='Debt strategy'!$D$13,1&lt;4))),1,0),IF(AND(O104+P104-Q104&gt;0,OR('Debt strategy'!$D$11&gt;'Debt strategy'!$D$13,AND('Debt strategy'!$D$11='Debt strategy'!$D$13,2&lt;4))),1,0),IF(AND(U104+V104-W104&gt;0,OR('Debt strategy'!$D$12&gt;'Debt strategy'!$D$13,AND('Debt strategy'!$D$12='Debt strategy'!$D$13,3&lt;4))),1,0)))</x:f>
        <x:v>99</x:v>
      </x:c>
      <x:c r="AE104" s="6" t="n">
        <x:f>IF('Debt strategy'!$C$16&gt;0,0,MIN(AA104+AB104-AC104,MAX(0,'Debt strategy'!$C$5-SUM(E104,K104,Q104,W104,AC104)-SUM(IF(F104&lt;AD104,C104+D104-E104,0),IF(L104&lt;AD104,I104+J104-K104,0),IF(R104&lt;AD104,O104+P104-Q104,0),IF(X104&lt;AD104,U104+V104-W104,0)))))</x:f>
        <x:v>0</x:v>
      </x:c>
      <x:c r="AF104" s="6" t="n">
        <x:f>ROUND(MAX(0,AA104+AB104-AC104-AE104),2)</x:f>
        <x:v>0</x:v>
      </x:c>
      <x:c r="AG104" s="6" t="n">
        <x:f>SUM(H104,N104,T104,Z104,AF104)</x:f>
        <x:v>0</x:v>
      </x:c>
      <x:c r="AH104" s="6" t="n">
        <x:f>SUM(D104,J104,P104,V104,AB104)+AH103</x:f>
        <x:v>1220.8400000000001</x:v>
      </x:c>
      <x:c r="AI104" s="2"/>
    </x:row>
    <x:row r="105" ht="23" customHeight="1">
      <x:c r="B105" s="2" t="n">
        <x:f>97</x:f>
        <x:v>97</x:v>
      </x:c>
      <x:c r="C105" s="6" t="n">
        <x:f>H104</x:f>
        <x:v>0</x:v>
      </x:c>
      <x:c r="D105" s="6" t="n">
        <x:f>ROUND(C105*'Debt strategy'!$D$9/12,2)</x:f>
        <x:v>0</x:v>
      </x:c>
      <x:c r="E105" s="6" t="n">
        <x:f>MIN(C105+D105,'Debt strategy'!$E$9)</x:f>
        <x:v>0</x:v>
      </x:c>
      <x:c r="F105" s="27" t="n">
        <x:f>IF(C105+D105-E105&lt;=0,99,1+SUM(IF(AND(I105+J105-K105&gt;0,OR('Debt strategy'!$D$10&gt;'Debt strategy'!$D$9,AND('Debt strategy'!$D$10='Debt strategy'!$D$9,1&lt;0))),1,0),IF(AND(O105+P105-Q105&gt;0,OR('Debt strategy'!$D$11&gt;'Debt strategy'!$D$9,AND('Debt strategy'!$D$11='Debt strategy'!$D$9,2&lt;0))),1,0),IF(AND(U105+V105-W105&gt;0,OR('Debt strategy'!$D$12&gt;'Debt strategy'!$D$9,AND('Debt strategy'!$D$12='Debt strategy'!$D$9,3&lt;0))),1,0),IF(AND(AA105+AB105-AC105&gt;0,OR('Debt strategy'!$D$13&gt;'Debt strategy'!$D$9,AND('Debt strategy'!$D$13='Debt strategy'!$D$9,4&lt;0))),1,0)))</x:f>
        <x:v>99</x:v>
      </x:c>
      <x:c r="G105" s="6" t="n">
        <x:f>IF('Debt strategy'!$C$16&gt;0,0,MIN(C105+D105-E105,MAX(0,'Debt strategy'!$C$5-SUM(E105,K105,Q105,W105,AC105)-SUM(IF(L105&lt;F105,I105+J105-K105,0),IF(R105&lt;F105,O105+P105-Q105,0),IF(X105&lt;F105,U105+V105-W105,0),IF(AD105&lt;F105,AA105+AB105-AC105,0)))))</x:f>
        <x:v>0</x:v>
      </x:c>
      <x:c r="H105" s="6" t="n">
        <x:f>ROUND(MAX(0,C105+D105-E105-G105),2)</x:f>
        <x:v>0</x:v>
      </x:c>
      <x:c r="I105" s="6" t="n">
        <x:f>N104</x:f>
        <x:v>0</x:v>
      </x:c>
      <x:c r="J105" s="6" t="n">
        <x:f>ROUND(I105*'Debt strategy'!$D$10/12,2)</x:f>
        <x:v>0</x:v>
      </x:c>
      <x:c r="K105" s="6" t="n">
        <x:f>MIN(I105+J105,'Debt strategy'!$E$10)</x:f>
        <x:v>0</x:v>
      </x:c>
      <x:c r="L105" s="27" t="n">
        <x:f>IF(I105+J105-K105&lt;=0,99,1+SUM(IF(AND(C105+D105-E105&gt;0,OR('Debt strategy'!$D$9&gt;'Debt strategy'!$D$10,AND('Debt strategy'!$D$9='Debt strategy'!$D$10,0&lt;1))),1,0),IF(AND(O105+P105-Q105&gt;0,OR('Debt strategy'!$D$11&gt;'Debt strategy'!$D$10,AND('Debt strategy'!$D$11='Debt strategy'!$D$10,2&lt;1))),1,0),IF(AND(U105+V105-W105&gt;0,OR('Debt strategy'!$D$12&gt;'Debt strategy'!$D$10,AND('Debt strategy'!$D$12='Debt strategy'!$D$10,3&lt;1))),1,0),IF(AND(AA105+AB105-AC105&gt;0,OR('Debt strategy'!$D$13&gt;'Debt strategy'!$D$10,AND('Debt strategy'!$D$13='Debt strategy'!$D$10,4&lt;1))),1,0)))</x:f>
        <x:v>99</x:v>
      </x:c>
      <x:c r="M105" s="6" t="n">
        <x:f>IF('Debt strategy'!$C$16&gt;0,0,MIN(I105+J105-K105,MAX(0,'Debt strategy'!$C$5-SUM(E105,K105,Q105,W105,AC105)-SUM(IF(F105&lt;L105,C105+D105-E105,0),IF(R105&lt;L105,O105+P105-Q105,0),IF(X105&lt;L105,U105+V105-W105,0),IF(AD105&lt;L105,AA105+AB105-AC105,0)))))</x:f>
        <x:v>0</x:v>
      </x:c>
      <x:c r="N105" s="6" t="n">
        <x:f>ROUND(MAX(0,I105+J105-K105-M105),2)</x:f>
        <x:v>0</x:v>
      </x:c>
      <x:c r="O105" s="6" t="n">
        <x:f>T104</x:f>
        <x:v>0</x:v>
      </x:c>
      <x:c r="P105" s="6" t="n">
        <x:f>ROUND(O105*'Debt strategy'!$D$11/12,2)</x:f>
        <x:v>0</x:v>
      </x:c>
      <x:c r="Q105" s="6" t="n">
        <x:f>MIN(O105+P105,'Debt strategy'!$E$11)</x:f>
        <x:v>0</x:v>
      </x:c>
      <x:c r="R105" s="27" t="n">
        <x:f>IF(O105+P105-Q105&lt;=0,99,1+SUM(IF(AND(C105+D105-E105&gt;0,OR('Debt strategy'!$D$9&gt;'Debt strategy'!$D$11,AND('Debt strategy'!$D$9='Debt strategy'!$D$11,0&lt;2))),1,0),IF(AND(I105+J105-K105&gt;0,OR('Debt strategy'!$D$10&gt;'Debt strategy'!$D$11,AND('Debt strategy'!$D$10='Debt strategy'!$D$11,1&lt;2))),1,0),IF(AND(U105+V105-W105&gt;0,OR('Debt strategy'!$D$12&gt;'Debt strategy'!$D$11,AND('Debt strategy'!$D$12='Debt strategy'!$D$11,3&lt;2))),1,0),IF(AND(AA105+AB105-AC105&gt;0,OR('Debt strategy'!$D$13&gt;'Debt strategy'!$D$11,AND('Debt strategy'!$D$13='Debt strategy'!$D$11,4&lt;2))),1,0)))</x:f>
        <x:v>99</x:v>
      </x:c>
      <x:c r="S105" s="6" t="n">
        <x:f>IF('Debt strategy'!$C$16&gt;0,0,MIN(O105+P105-Q105,MAX(0,'Debt strategy'!$C$5-SUM(E105,K105,Q105,W105,AC105)-SUM(IF(F105&lt;R105,C105+D105-E105,0),IF(L105&lt;R105,I105+J105-K105,0),IF(X105&lt;R105,U105+V105-W105,0),IF(AD105&lt;R105,AA105+AB105-AC105,0)))))</x:f>
        <x:v>0</x:v>
      </x:c>
      <x:c r="T105" s="6" t="n">
        <x:f>ROUND(MAX(0,O105+P105-Q105-S105),2)</x:f>
        <x:v>0</x:v>
      </x:c>
      <x:c r="U105" s="6" t="n">
        <x:f>Z104</x:f>
        <x:v>0</x:v>
      </x:c>
      <x:c r="V105" s="6" t="n">
        <x:f>ROUND(U105*'Debt strategy'!$D$12/12,2)</x:f>
        <x:v>0</x:v>
      </x:c>
      <x:c r="W105" s="6" t="n">
        <x:f>MIN(U105+V105,'Debt strategy'!$E$12)</x:f>
        <x:v>0</x:v>
      </x:c>
      <x:c r="X105" s="27" t="n">
        <x:f>IF(U105+V105-W105&lt;=0,99,1+SUM(IF(AND(C105+D105-E105&gt;0,OR('Debt strategy'!$D$9&gt;'Debt strategy'!$D$12,AND('Debt strategy'!$D$9='Debt strategy'!$D$12,0&lt;3))),1,0),IF(AND(I105+J105-K105&gt;0,OR('Debt strategy'!$D$10&gt;'Debt strategy'!$D$12,AND('Debt strategy'!$D$10='Debt strategy'!$D$12,1&lt;3))),1,0),IF(AND(O105+P105-Q105&gt;0,OR('Debt strategy'!$D$11&gt;'Debt strategy'!$D$12,AND('Debt strategy'!$D$11='Debt strategy'!$D$12,2&lt;3))),1,0),IF(AND(AA105+AB105-AC105&gt;0,OR('Debt strategy'!$D$13&gt;'Debt strategy'!$D$12,AND('Debt strategy'!$D$13='Debt strategy'!$D$12,4&lt;3))),1,0)))</x:f>
        <x:v>99</x:v>
      </x:c>
      <x:c r="Y105" s="6" t="n">
        <x:f>IF('Debt strategy'!$C$16&gt;0,0,MIN(U105+V105-W105,MAX(0,'Debt strategy'!$C$5-SUM(E105,K105,Q105,W105,AC105)-SUM(IF(F105&lt;X105,C105+D105-E105,0),IF(L105&lt;X105,I105+J105-K105,0),IF(R105&lt;X105,O105+P105-Q105,0),IF(AD105&lt;X105,AA105+AB105-AC105,0)))))</x:f>
        <x:v>0</x:v>
      </x:c>
      <x:c r="Z105" s="6" t="n">
        <x:f>ROUND(MAX(0,U105+V105-W105-Y105),2)</x:f>
        <x:v>0</x:v>
      </x:c>
      <x:c r="AA105" s="6" t="n">
        <x:f>AF104</x:f>
        <x:v>0</x:v>
      </x:c>
      <x:c r="AB105" s="6" t="n">
        <x:f>ROUND(AA105*'Debt strategy'!$D$13/12,2)</x:f>
        <x:v>0</x:v>
      </x:c>
      <x:c r="AC105" s="6" t="n">
        <x:f>MIN(AA105+AB105,'Debt strategy'!$E$13)</x:f>
        <x:v>0</x:v>
      </x:c>
      <x:c r="AD105" s="27" t="n">
        <x:f>IF(AA105+AB105-AC105&lt;=0,99,1+SUM(IF(AND(C105+D105-E105&gt;0,OR('Debt strategy'!$D$9&gt;'Debt strategy'!$D$13,AND('Debt strategy'!$D$9='Debt strategy'!$D$13,0&lt;4))),1,0),IF(AND(I105+J105-K105&gt;0,OR('Debt strategy'!$D$10&gt;'Debt strategy'!$D$13,AND('Debt strategy'!$D$10='Debt strategy'!$D$13,1&lt;4))),1,0),IF(AND(O105+P105-Q105&gt;0,OR('Debt strategy'!$D$11&gt;'Debt strategy'!$D$13,AND('Debt strategy'!$D$11='Debt strategy'!$D$13,2&lt;4))),1,0),IF(AND(U105+V105-W105&gt;0,OR('Debt strategy'!$D$12&gt;'Debt strategy'!$D$13,AND('Debt strategy'!$D$12='Debt strategy'!$D$13,3&lt;4))),1,0)))</x:f>
        <x:v>99</x:v>
      </x:c>
      <x:c r="AE105" s="6" t="n">
        <x:f>IF('Debt strategy'!$C$16&gt;0,0,MIN(AA105+AB105-AC105,MAX(0,'Debt strategy'!$C$5-SUM(E105,K105,Q105,W105,AC105)-SUM(IF(F105&lt;AD105,C105+D105-E105,0),IF(L105&lt;AD105,I105+J105-K105,0),IF(R105&lt;AD105,O105+P105-Q105,0),IF(X105&lt;AD105,U105+V105-W105,0)))))</x:f>
        <x:v>0</x:v>
      </x:c>
      <x:c r="AF105" s="6" t="n">
        <x:f>ROUND(MAX(0,AA105+AB105-AC105-AE105),2)</x:f>
        <x:v>0</x:v>
      </x:c>
      <x:c r="AG105" s="6" t="n">
        <x:f>SUM(H105,N105,T105,Z105,AF105)</x:f>
        <x:v>0</x:v>
      </x:c>
      <x:c r="AH105" s="6" t="n">
        <x:f>SUM(D105,J105,P105,V105,AB105)+AH104</x:f>
        <x:v>1220.8400000000001</x:v>
      </x:c>
      <x:c r="AI105" s="2"/>
    </x:row>
    <x:row r="106" ht="23" customHeight="1">
      <x:c r="B106" s="2" t="n">
        <x:f>98</x:f>
        <x:v>98</x:v>
      </x:c>
      <x:c r="C106" s="6" t="n">
        <x:f>H105</x:f>
        <x:v>0</x:v>
      </x:c>
      <x:c r="D106" s="6" t="n">
        <x:f>ROUND(C106*'Debt strategy'!$D$9/12,2)</x:f>
        <x:v>0</x:v>
      </x:c>
      <x:c r="E106" s="6" t="n">
        <x:f>MIN(C106+D106,'Debt strategy'!$E$9)</x:f>
        <x:v>0</x:v>
      </x:c>
      <x:c r="F106" s="27" t="n">
        <x:f>IF(C106+D106-E106&lt;=0,99,1+SUM(IF(AND(I106+J106-K106&gt;0,OR('Debt strategy'!$D$10&gt;'Debt strategy'!$D$9,AND('Debt strategy'!$D$10='Debt strategy'!$D$9,1&lt;0))),1,0),IF(AND(O106+P106-Q106&gt;0,OR('Debt strategy'!$D$11&gt;'Debt strategy'!$D$9,AND('Debt strategy'!$D$11='Debt strategy'!$D$9,2&lt;0))),1,0),IF(AND(U106+V106-W106&gt;0,OR('Debt strategy'!$D$12&gt;'Debt strategy'!$D$9,AND('Debt strategy'!$D$12='Debt strategy'!$D$9,3&lt;0))),1,0),IF(AND(AA106+AB106-AC106&gt;0,OR('Debt strategy'!$D$13&gt;'Debt strategy'!$D$9,AND('Debt strategy'!$D$13='Debt strategy'!$D$9,4&lt;0))),1,0)))</x:f>
        <x:v>99</x:v>
      </x:c>
      <x:c r="G106" s="6" t="n">
        <x:f>IF('Debt strategy'!$C$16&gt;0,0,MIN(C106+D106-E106,MAX(0,'Debt strategy'!$C$5-SUM(E106,K106,Q106,W106,AC106)-SUM(IF(L106&lt;F106,I106+J106-K106,0),IF(R106&lt;F106,O106+P106-Q106,0),IF(X106&lt;F106,U106+V106-W106,0),IF(AD106&lt;F106,AA106+AB106-AC106,0)))))</x:f>
        <x:v>0</x:v>
      </x:c>
      <x:c r="H106" s="6" t="n">
        <x:f>ROUND(MAX(0,C106+D106-E106-G106),2)</x:f>
        <x:v>0</x:v>
      </x:c>
      <x:c r="I106" s="6" t="n">
        <x:f>N105</x:f>
        <x:v>0</x:v>
      </x:c>
      <x:c r="J106" s="6" t="n">
        <x:f>ROUND(I106*'Debt strategy'!$D$10/12,2)</x:f>
        <x:v>0</x:v>
      </x:c>
      <x:c r="K106" s="6" t="n">
        <x:f>MIN(I106+J106,'Debt strategy'!$E$10)</x:f>
        <x:v>0</x:v>
      </x:c>
      <x:c r="L106" s="27" t="n">
        <x:f>IF(I106+J106-K106&lt;=0,99,1+SUM(IF(AND(C106+D106-E106&gt;0,OR('Debt strategy'!$D$9&gt;'Debt strategy'!$D$10,AND('Debt strategy'!$D$9='Debt strategy'!$D$10,0&lt;1))),1,0),IF(AND(O106+P106-Q106&gt;0,OR('Debt strategy'!$D$11&gt;'Debt strategy'!$D$10,AND('Debt strategy'!$D$11='Debt strategy'!$D$10,2&lt;1))),1,0),IF(AND(U106+V106-W106&gt;0,OR('Debt strategy'!$D$12&gt;'Debt strategy'!$D$10,AND('Debt strategy'!$D$12='Debt strategy'!$D$10,3&lt;1))),1,0),IF(AND(AA106+AB106-AC106&gt;0,OR('Debt strategy'!$D$13&gt;'Debt strategy'!$D$10,AND('Debt strategy'!$D$13='Debt strategy'!$D$10,4&lt;1))),1,0)))</x:f>
        <x:v>99</x:v>
      </x:c>
      <x:c r="M106" s="6" t="n">
        <x:f>IF('Debt strategy'!$C$16&gt;0,0,MIN(I106+J106-K106,MAX(0,'Debt strategy'!$C$5-SUM(E106,K106,Q106,W106,AC106)-SUM(IF(F106&lt;L106,C106+D106-E106,0),IF(R106&lt;L106,O106+P106-Q106,0),IF(X106&lt;L106,U106+V106-W106,0),IF(AD106&lt;L106,AA106+AB106-AC106,0)))))</x:f>
        <x:v>0</x:v>
      </x:c>
      <x:c r="N106" s="6" t="n">
        <x:f>ROUND(MAX(0,I106+J106-K106-M106),2)</x:f>
        <x:v>0</x:v>
      </x:c>
      <x:c r="O106" s="6" t="n">
        <x:f>T105</x:f>
        <x:v>0</x:v>
      </x:c>
      <x:c r="P106" s="6" t="n">
        <x:f>ROUND(O106*'Debt strategy'!$D$11/12,2)</x:f>
        <x:v>0</x:v>
      </x:c>
      <x:c r="Q106" s="6" t="n">
        <x:f>MIN(O106+P106,'Debt strategy'!$E$11)</x:f>
        <x:v>0</x:v>
      </x:c>
      <x:c r="R106" s="27" t="n">
        <x:f>IF(O106+P106-Q106&lt;=0,99,1+SUM(IF(AND(C106+D106-E106&gt;0,OR('Debt strategy'!$D$9&gt;'Debt strategy'!$D$11,AND('Debt strategy'!$D$9='Debt strategy'!$D$11,0&lt;2))),1,0),IF(AND(I106+J106-K106&gt;0,OR('Debt strategy'!$D$10&gt;'Debt strategy'!$D$11,AND('Debt strategy'!$D$10='Debt strategy'!$D$11,1&lt;2))),1,0),IF(AND(U106+V106-W106&gt;0,OR('Debt strategy'!$D$12&gt;'Debt strategy'!$D$11,AND('Debt strategy'!$D$12='Debt strategy'!$D$11,3&lt;2))),1,0),IF(AND(AA106+AB106-AC106&gt;0,OR('Debt strategy'!$D$13&gt;'Debt strategy'!$D$11,AND('Debt strategy'!$D$13='Debt strategy'!$D$11,4&lt;2))),1,0)))</x:f>
        <x:v>99</x:v>
      </x:c>
      <x:c r="S106" s="6" t="n">
        <x:f>IF('Debt strategy'!$C$16&gt;0,0,MIN(O106+P106-Q106,MAX(0,'Debt strategy'!$C$5-SUM(E106,K106,Q106,W106,AC106)-SUM(IF(F106&lt;R106,C106+D106-E106,0),IF(L106&lt;R106,I106+J106-K106,0),IF(X106&lt;R106,U106+V106-W106,0),IF(AD106&lt;R106,AA106+AB106-AC106,0)))))</x:f>
        <x:v>0</x:v>
      </x:c>
      <x:c r="T106" s="6" t="n">
        <x:f>ROUND(MAX(0,O106+P106-Q106-S106),2)</x:f>
        <x:v>0</x:v>
      </x:c>
      <x:c r="U106" s="6" t="n">
        <x:f>Z105</x:f>
        <x:v>0</x:v>
      </x:c>
      <x:c r="V106" s="6" t="n">
        <x:f>ROUND(U106*'Debt strategy'!$D$12/12,2)</x:f>
        <x:v>0</x:v>
      </x:c>
      <x:c r="W106" s="6" t="n">
        <x:f>MIN(U106+V106,'Debt strategy'!$E$12)</x:f>
        <x:v>0</x:v>
      </x:c>
      <x:c r="X106" s="27" t="n">
        <x:f>IF(U106+V106-W106&lt;=0,99,1+SUM(IF(AND(C106+D106-E106&gt;0,OR('Debt strategy'!$D$9&gt;'Debt strategy'!$D$12,AND('Debt strategy'!$D$9='Debt strategy'!$D$12,0&lt;3))),1,0),IF(AND(I106+J106-K106&gt;0,OR('Debt strategy'!$D$10&gt;'Debt strategy'!$D$12,AND('Debt strategy'!$D$10='Debt strategy'!$D$12,1&lt;3))),1,0),IF(AND(O106+P106-Q106&gt;0,OR('Debt strategy'!$D$11&gt;'Debt strategy'!$D$12,AND('Debt strategy'!$D$11='Debt strategy'!$D$12,2&lt;3))),1,0),IF(AND(AA106+AB106-AC106&gt;0,OR('Debt strategy'!$D$13&gt;'Debt strategy'!$D$12,AND('Debt strategy'!$D$13='Debt strategy'!$D$12,4&lt;3))),1,0)))</x:f>
        <x:v>99</x:v>
      </x:c>
      <x:c r="Y106" s="6" t="n">
        <x:f>IF('Debt strategy'!$C$16&gt;0,0,MIN(U106+V106-W106,MAX(0,'Debt strategy'!$C$5-SUM(E106,K106,Q106,W106,AC106)-SUM(IF(F106&lt;X106,C106+D106-E106,0),IF(L106&lt;X106,I106+J106-K106,0),IF(R106&lt;X106,O106+P106-Q106,0),IF(AD106&lt;X106,AA106+AB106-AC106,0)))))</x:f>
        <x:v>0</x:v>
      </x:c>
      <x:c r="Z106" s="6" t="n">
        <x:f>ROUND(MAX(0,U106+V106-W106-Y106),2)</x:f>
        <x:v>0</x:v>
      </x:c>
      <x:c r="AA106" s="6" t="n">
        <x:f>AF105</x:f>
        <x:v>0</x:v>
      </x:c>
      <x:c r="AB106" s="6" t="n">
        <x:f>ROUND(AA106*'Debt strategy'!$D$13/12,2)</x:f>
        <x:v>0</x:v>
      </x:c>
      <x:c r="AC106" s="6" t="n">
        <x:f>MIN(AA106+AB106,'Debt strategy'!$E$13)</x:f>
        <x:v>0</x:v>
      </x:c>
      <x:c r="AD106" s="27" t="n">
        <x:f>IF(AA106+AB106-AC106&lt;=0,99,1+SUM(IF(AND(C106+D106-E106&gt;0,OR('Debt strategy'!$D$9&gt;'Debt strategy'!$D$13,AND('Debt strategy'!$D$9='Debt strategy'!$D$13,0&lt;4))),1,0),IF(AND(I106+J106-K106&gt;0,OR('Debt strategy'!$D$10&gt;'Debt strategy'!$D$13,AND('Debt strategy'!$D$10='Debt strategy'!$D$13,1&lt;4))),1,0),IF(AND(O106+P106-Q106&gt;0,OR('Debt strategy'!$D$11&gt;'Debt strategy'!$D$13,AND('Debt strategy'!$D$11='Debt strategy'!$D$13,2&lt;4))),1,0),IF(AND(U106+V106-W106&gt;0,OR('Debt strategy'!$D$12&gt;'Debt strategy'!$D$13,AND('Debt strategy'!$D$12='Debt strategy'!$D$13,3&lt;4))),1,0)))</x:f>
        <x:v>99</x:v>
      </x:c>
      <x:c r="AE106" s="6" t="n">
        <x:f>IF('Debt strategy'!$C$16&gt;0,0,MIN(AA106+AB106-AC106,MAX(0,'Debt strategy'!$C$5-SUM(E106,K106,Q106,W106,AC106)-SUM(IF(F106&lt;AD106,C106+D106-E106,0),IF(L106&lt;AD106,I106+J106-K106,0),IF(R106&lt;AD106,O106+P106-Q106,0),IF(X106&lt;AD106,U106+V106-W106,0)))))</x:f>
        <x:v>0</x:v>
      </x:c>
      <x:c r="AF106" s="6" t="n">
        <x:f>ROUND(MAX(0,AA106+AB106-AC106-AE106),2)</x:f>
        <x:v>0</x:v>
      </x:c>
      <x:c r="AG106" s="6" t="n">
        <x:f>SUM(H106,N106,T106,Z106,AF106)</x:f>
        <x:v>0</x:v>
      </x:c>
      <x:c r="AH106" s="6" t="n">
        <x:f>SUM(D106,J106,P106,V106,AB106)+AH105</x:f>
        <x:v>1220.8400000000001</x:v>
      </x:c>
      <x:c r="AI106" s="2"/>
    </x:row>
    <x:row r="107" ht="23" customHeight="1">
      <x:c r="B107" s="2" t="n">
        <x:f>99</x:f>
        <x:v>99</x:v>
      </x:c>
      <x:c r="C107" s="6" t="n">
        <x:f>H106</x:f>
        <x:v>0</x:v>
      </x:c>
      <x:c r="D107" s="6" t="n">
        <x:f>ROUND(C107*'Debt strategy'!$D$9/12,2)</x:f>
        <x:v>0</x:v>
      </x:c>
      <x:c r="E107" s="6" t="n">
        <x:f>MIN(C107+D107,'Debt strategy'!$E$9)</x:f>
        <x:v>0</x:v>
      </x:c>
      <x:c r="F107" s="27" t="n">
        <x:f>IF(C107+D107-E107&lt;=0,99,1+SUM(IF(AND(I107+J107-K107&gt;0,OR('Debt strategy'!$D$10&gt;'Debt strategy'!$D$9,AND('Debt strategy'!$D$10='Debt strategy'!$D$9,1&lt;0))),1,0),IF(AND(O107+P107-Q107&gt;0,OR('Debt strategy'!$D$11&gt;'Debt strategy'!$D$9,AND('Debt strategy'!$D$11='Debt strategy'!$D$9,2&lt;0))),1,0),IF(AND(U107+V107-W107&gt;0,OR('Debt strategy'!$D$12&gt;'Debt strategy'!$D$9,AND('Debt strategy'!$D$12='Debt strategy'!$D$9,3&lt;0))),1,0),IF(AND(AA107+AB107-AC107&gt;0,OR('Debt strategy'!$D$13&gt;'Debt strategy'!$D$9,AND('Debt strategy'!$D$13='Debt strategy'!$D$9,4&lt;0))),1,0)))</x:f>
        <x:v>99</x:v>
      </x:c>
      <x:c r="G107" s="6" t="n">
        <x:f>IF('Debt strategy'!$C$16&gt;0,0,MIN(C107+D107-E107,MAX(0,'Debt strategy'!$C$5-SUM(E107,K107,Q107,W107,AC107)-SUM(IF(L107&lt;F107,I107+J107-K107,0),IF(R107&lt;F107,O107+P107-Q107,0),IF(X107&lt;F107,U107+V107-W107,0),IF(AD107&lt;F107,AA107+AB107-AC107,0)))))</x:f>
        <x:v>0</x:v>
      </x:c>
      <x:c r="H107" s="6" t="n">
        <x:f>ROUND(MAX(0,C107+D107-E107-G107),2)</x:f>
        <x:v>0</x:v>
      </x:c>
      <x:c r="I107" s="6" t="n">
        <x:f>N106</x:f>
        <x:v>0</x:v>
      </x:c>
      <x:c r="J107" s="6" t="n">
        <x:f>ROUND(I107*'Debt strategy'!$D$10/12,2)</x:f>
        <x:v>0</x:v>
      </x:c>
      <x:c r="K107" s="6" t="n">
        <x:f>MIN(I107+J107,'Debt strategy'!$E$10)</x:f>
        <x:v>0</x:v>
      </x:c>
      <x:c r="L107" s="27" t="n">
        <x:f>IF(I107+J107-K107&lt;=0,99,1+SUM(IF(AND(C107+D107-E107&gt;0,OR('Debt strategy'!$D$9&gt;'Debt strategy'!$D$10,AND('Debt strategy'!$D$9='Debt strategy'!$D$10,0&lt;1))),1,0),IF(AND(O107+P107-Q107&gt;0,OR('Debt strategy'!$D$11&gt;'Debt strategy'!$D$10,AND('Debt strategy'!$D$11='Debt strategy'!$D$10,2&lt;1))),1,0),IF(AND(U107+V107-W107&gt;0,OR('Debt strategy'!$D$12&gt;'Debt strategy'!$D$10,AND('Debt strategy'!$D$12='Debt strategy'!$D$10,3&lt;1))),1,0),IF(AND(AA107+AB107-AC107&gt;0,OR('Debt strategy'!$D$13&gt;'Debt strategy'!$D$10,AND('Debt strategy'!$D$13='Debt strategy'!$D$10,4&lt;1))),1,0)))</x:f>
        <x:v>99</x:v>
      </x:c>
      <x:c r="M107" s="6" t="n">
        <x:f>IF('Debt strategy'!$C$16&gt;0,0,MIN(I107+J107-K107,MAX(0,'Debt strategy'!$C$5-SUM(E107,K107,Q107,W107,AC107)-SUM(IF(F107&lt;L107,C107+D107-E107,0),IF(R107&lt;L107,O107+P107-Q107,0),IF(X107&lt;L107,U107+V107-W107,0),IF(AD107&lt;L107,AA107+AB107-AC107,0)))))</x:f>
        <x:v>0</x:v>
      </x:c>
      <x:c r="N107" s="6" t="n">
        <x:f>ROUND(MAX(0,I107+J107-K107-M107),2)</x:f>
        <x:v>0</x:v>
      </x:c>
      <x:c r="O107" s="6" t="n">
        <x:f>T106</x:f>
        <x:v>0</x:v>
      </x:c>
      <x:c r="P107" s="6" t="n">
        <x:f>ROUND(O107*'Debt strategy'!$D$11/12,2)</x:f>
        <x:v>0</x:v>
      </x:c>
      <x:c r="Q107" s="6" t="n">
        <x:f>MIN(O107+P107,'Debt strategy'!$E$11)</x:f>
        <x:v>0</x:v>
      </x:c>
      <x:c r="R107" s="27" t="n">
        <x:f>IF(O107+P107-Q107&lt;=0,99,1+SUM(IF(AND(C107+D107-E107&gt;0,OR('Debt strategy'!$D$9&gt;'Debt strategy'!$D$11,AND('Debt strategy'!$D$9='Debt strategy'!$D$11,0&lt;2))),1,0),IF(AND(I107+J107-K107&gt;0,OR('Debt strategy'!$D$10&gt;'Debt strategy'!$D$11,AND('Debt strategy'!$D$10='Debt strategy'!$D$11,1&lt;2))),1,0),IF(AND(U107+V107-W107&gt;0,OR('Debt strategy'!$D$12&gt;'Debt strategy'!$D$11,AND('Debt strategy'!$D$12='Debt strategy'!$D$11,3&lt;2))),1,0),IF(AND(AA107+AB107-AC107&gt;0,OR('Debt strategy'!$D$13&gt;'Debt strategy'!$D$11,AND('Debt strategy'!$D$13='Debt strategy'!$D$11,4&lt;2))),1,0)))</x:f>
        <x:v>99</x:v>
      </x:c>
      <x:c r="S107" s="6" t="n">
        <x:f>IF('Debt strategy'!$C$16&gt;0,0,MIN(O107+P107-Q107,MAX(0,'Debt strategy'!$C$5-SUM(E107,K107,Q107,W107,AC107)-SUM(IF(F107&lt;R107,C107+D107-E107,0),IF(L107&lt;R107,I107+J107-K107,0),IF(X107&lt;R107,U107+V107-W107,0),IF(AD107&lt;R107,AA107+AB107-AC107,0)))))</x:f>
        <x:v>0</x:v>
      </x:c>
      <x:c r="T107" s="6" t="n">
        <x:f>ROUND(MAX(0,O107+P107-Q107-S107),2)</x:f>
        <x:v>0</x:v>
      </x:c>
      <x:c r="U107" s="6" t="n">
        <x:f>Z106</x:f>
        <x:v>0</x:v>
      </x:c>
      <x:c r="V107" s="6" t="n">
        <x:f>ROUND(U107*'Debt strategy'!$D$12/12,2)</x:f>
        <x:v>0</x:v>
      </x:c>
      <x:c r="W107" s="6" t="n">
        <x:f>MIN(U107+V107,'Debt strategy'!$E$12)</x:f>
        <x:v>0</x:v>
      </x:c>
      <x:c r="X107" s="27" t="n">
        <x:f>IF(U107+V107-W107&lt;=0,99,1+SUM(IF(AND(C107+D107-E107&gt;0,OR('Debt strategy'!$D$9&gt;'Debt strategy'!$D$12,AND('Debt strategy'!$D$9='Debt strategy'!$D$12,0&lt;3))),1,0),IF(AND(I107+J107-K107&gt;0,OR('Debt strategy'!$D$10&gt;'Debt strategy'!$D$12,AND('Debt strategy'!$D$10='Debt strategy'!$D$12,1&lt;3))),1,0),IF(AND(O107+P107-Q107&gt;0,OR('Debt strategy'!$D$11&gt;'Debt strategy'!$D$12,AND('Debt strategy'!$D$11='Debt strategy'!$D$12,2&lt;3))),1,0),IF(AND(AA107+AB107-AC107&gt;0,OR('Debt strategy'!$D$13&gt;'Debt strategy'!$D$12,AND('Debt strategy'!$D$13='Debt strategy'!$D$12,4&lt;3))),1,0)))</x:f>
        <x:v>99</x:v>
      </x:c>
      <x:c r="Y107" s="6" t="n">
        <x:f>IF('Debt strategy'!$C$16&gt;0,0,MIN(U107+V107-W107,MAX(0,'Debt strategy'!$C$5-SUM(E107,K107,Q107,W107,AC107)-SUM(IF(F107&lt;X107,C107+D107-E107,0),IF(L107&lt;X107,I107+J107-K107,0),IF(R107&lt;X107,O107+P107-Q107,0),IF(AD107&lt;X107,AA107+AB107-AC107,0)))))</x:f>
        <x:v>0</x:v>
      </x:c>
      <x:c r="Z107" s="6" t="n">
        <x:f>ROUND(MAX(0,U107+V107-W107-Y107),2)</x:f>
        <x:v>0</x:v>
      </x:c>
      <x:c r="AA107" s="6" t="n">
        <x:f>AF106</x:f>
        <x:v>0</x:v>
      </x:c>
      <x:c r="AB107" s="6" t="n">
        <x:f>ROUND(AA107*'Debt strategy'!$D$13/12,2)</x:f>
        <x:v>0</x:v>
      </x:c>
      <x:c r="AC107" s="6" t="n">
        <x:f>MIN(AA107+AB107,'Debt strategy'!$E$13)</x:f>
        <x:v>0</x:v>
      </x:c>
      <x:c r="AD107" s="27" t="n">
        <x:f>IF(AA107+AB107-AC107&lt;=0,99,1+SUM(IF(AND(C107+D107-E107&gt;0,OR('Debt strategy'!$D$9&gt;'Debt strategy'!$D$13,AND('Debt strategy'!$D$9='Debt strategy'!$D$13,0&lt;4))),1,0),IF(AND(I107+J107-K107&gt;0,OR('Debt strategy'!$D$10&gt;'Debt strategy'!$D$13,AND('Debt strategy'!$D$10='Debt strategy'!$D$13,1&lt;4))),1,0),IF(AND(O107+P107-Q107&gt;0,OR('Debt strategy'!$D$11&gt;'Debt strategy'!$D$13,AND('Debt strategy'!$D$11='Debt strategy'!$D$13,2&lt;4))),1,0),IF(AND(U107+V107-W107&gt;0,OR('Debt strategy'!$D$12&gt;'Debt strategy'!$D$13,AND('Debt strategy'!$D$12='Debt strategy'!$D$13,3&lt;4))),1,0)))</x:f>
        <x:v>99</x:v>
      </x:c>
      <x:c r="AE107" s="6" t="n">
        <x:f>IF('Debt strategy'!$C$16&gt;0,0,MIN(AA107+AB107-AC107,MAX(0,'Debt strategy'!$C$5-SUM(E107,K107,Q107,W107,AC107)-SUM(IF(F107&lt;AD107,C107+D107-E107,0),IF(L107&lt;AD107,I107+J107-K107,0),IF(R107&lt;AD107,O107+P107-Q107,0),IF(X107&lt;AD107,U107+V107-W107,0)))))</x:f>
        <x:v>0</x:v>
      </x:c>
      <x:c r="AF107" s="6" t="n">
        <x:f>ROUND(MAX(0,AA107+AB107-AC107-AE107),2)</x:f>
        <x:v>0</x:v>
      </x:c>
      <x:c r="AG107" s="6" t="n">
        <x:f>SUM(H107,N107,T107,Z107,AF107)</x:f>
        <x:v>0</x:v>
      </x:c>
      <x:c r="AH107" s="6" t="n">
        <x:f>SUM(D107,J107,P107,V107,AB107)+AH106</x:f>
        <x:v>1220.8400000000001</x:v>
      </x:c>
      <x:c r="AI107" s="2"/>
    </x:row>
    <x:row r="108" ht="23" customHeight="1">
      <x:c r="B108" s="2" t="n">
        <x:f>100</x:f>
        <x:v>100</x:v>
      </x:c>
      <x:c r="C108" s="6" t="n">
        <x:f>H107</x:f>
        <x:v>0</x:v>
      </x:c>
      <x:c r="D108" s="6" t="n">
        <x:f>ROUND(C108*'Debt strategy'!$D$9/12,2)</x:f>
        <x:v>0</x:v>
      </x:c>
      <x:c r="E108" s="6" t="n">
        <x:f>MIN(C108+D108,'Debt strategy'!$E$9)</x:f>
        <x:v>0</x:v>
      </x:c>
      <x:c r="F108" s="27" t="n">
        <x:f>IF(C108+D108-E108&lt;=0,99,1+SUM(IF(AND(I108+J108-K108&gt;0,OR('Debt strategy'!$D$10&gt;'Debt strategy'!$D$9,AND('Debt strategy'!$D$10='Debt strategy'!$D$9,1&lt;0))),1,0),IF(AND(O108+P108-Q108&gt;0,OR('Debt strategy'!$D$11&gt;'Debt strategy'!$D$9,AND('Debt strategy'!$D$11='Debt strategy'!$D$9,2&lt;0))),1,0),IF(AND(U108+V108-W108&gt;0,OR('Debt strategy'!$D$12&gt;'Debt strategy'!$D$9,AND('Debt strategy'!$D$12='Debt strategy'!$D$9,3&lt;0))),1,0),IF(AND(AA108+AB108-AC108&gt;0,OR('Debt strategy'!$D$13&gt;'Debt strategy'!$D$9,AND('Debt strategy'!$D$13='Debt strategy'!$D$9,4&lt;0))),1,0)))</x:f>
        <x:v>99</x:v>
      </x:c>
      <x:c r="G108" s="6" t="n">
        <x:f>IF('Debt strategy'!$C$16&gt;0,0,MIN(C108+D108-E108,MAX(0,'Debt strategy'!$C$5-SUM(E108,K108,Q108,W108,AC108)-SUM(IF(L108&lt;F108,I108+J108-K108,0),IF(R108&lt;F108,O108+P108-Q108,0),IF(X108&lt;F108,U108+V108-W108,0),IF(AD108&lt;F108,AA108+AB108-AC108,0)))))</x:f>
        <x:v>0</x:v>
      </x:c>
      <x:c r="H108" s="6" t="n">
        <x:f>ROUND(MAX(0,C108+D108-E108-G108),2)</x:f>
        <x:v>0</x:v>
      </x:c>
      <x:c r="I108" s="6" t="n">
        <x:f>N107</x:f>
        <x:v>0</x:v>
      </x:c>
      <x:c r="J108" s="6" t="n">
        <x:f>ROUND(I108*'Debt strategy'!$D$10/12,2)</x:f>
        <x:v>0</x:v>
      </x:c>
      <x:c r="K108" s="6" t="n">
        <x:f>MIN(I108+J108,'Debt strategy'!$E$10)</x:f>
        <x:v>0</x:v>
      </x:c>
      <x:c r="L108" s="27" t="n">
        <x:f>IF(I108+J108-K108&lt;=0,99,1+SUM(IF(AND(C108+D108-E108&gt;0,OR('Debt strategy'!$D$9&gt;'Debt strategy'!$D$10,AND('Debt strategy'!$D$9='Debt strategy'!$D$10,0&lt;1))),1,0),IF(AND(O108+P108-Q108&gt;0,OR('Debt strategy'!$D$11&gt;'Debt strategy'!$D$10,AND('Debt strategy'!$D$11='Debt strategy'!$D$10,2&lt;1))),1,0),IF(AND(U108+V108-W108&gt;0,OR('Debt strategy'!$D$12&gt;'Debt strategy'!$D$10,AND('Debt strategy'!$D$12='Debt strategy'!$D$10,3&lt;1))),1,0),IF(AND(AA108+AB108-AC108&gt;0,OR('Debt strategy'!$D$13&gt;'Debt strategy'!$D$10,AND('Debt strategy'!$D$13='Debt strategy'!$D$10,4&lt;1))),1,0)))</x:f>
        <x:v>99</x:v>
      </x:c>
      <x:c r="M108" s="6" t="n">
        <x:f>IF('Debt strategy'!$C$16&gt;0,0,MIN(I108+J108-K108,MAX(0,'Debt strategy'!$C$5-SUM(E108,K108,Q108,W108,AC108)-SUM(IF(F108&lt;L108,C108+D108-E108,0),IF(R108&lt;L108,O108+P108-Q108,0),IF(X108&lt;L108,U108+V108-W108,0),IF(AD108&lt;L108,AA108+AB108-AC108,0)))))</x:f>
        <x:v>0</x:v>
      </x:c>
      <x:c r="N108" s="6" t="n">
        <x:f>ROUND(MAX(0,I108+J108-K108-M108),2)</x:f>
        <x:v>0</x:v>
      </x:c>
      <x:c r="O108" s="6" t="n">
        <x:f>T107</x:f>
        <x:v>0</x:v>
      </x:c>
      <x:c r="P108" s="6" t="n">
        <x:f>ROUND(O108*'Debt strategy'!$D$11/12,2)</x:f>
        <x:v>0</x:v>
      </x:c>
      <x:c r="Q108" s="6" t="n">
        <x:f>MIN(O108+P108,'Debt strategy'!$E$11)</x:f>
        <x:v>0</x:v>
      </x:c>
      <x:c r="R108" s="27" t="n">
        <x:f>IF(O108+P108-Q108&lt;=0,99,1+SUM(IF(AND(C108+D108-E108&gt;0,OR('Debt strategy'!$D$9&gt;'Debt strategy'!$D$11,AND('Debt strategy'!$D$9='Debt strategy'!$D$11,0&lt;2))),1,0),IF(AND(I108+J108-K108&gt;0,OR('Debt strategy'!$D$10&gt;'Debt strategy'!$D$11,AND('Debt strategy'!$D$10='Debt strategy'!$D$11,1&lt;2))),1,0),IF(AND(U108+V108-W108&gt;0,OR('Debt strategy'!$D$12&gt;'Debt strategy'!$D$11,AND('Debt strategy'!$D$12='Debt strategy'!$D$11,3&lt;2))),1,0),IF(AND(AA108+AB108-AC108&gt;0,OR('Debt strategy'!$D$13&gt;'Debt strategy'!$D$11,AND('Debt strategy'!$D$13='Debt strategy'!$D$11,4&lt;2))),1,0)))</x:f>
        <x:v>99</x:v>
      </x:c>
      <x:c r="S108" s="6" t="n">
        <x:f>IF('Debt strategy'!$C$16&gt;0,0,MIN(O108+P108-Q108,MAX(0,'Debt strategy'!$C$5-SUM(E108,K108,Q108,W108,AC108)-SUM(IF(F108&lt;R108,C108+D108-E108,0),IF(L108&lt;R108,I108+J108-K108,0),IF(X108&lt;R108,U108+V108-W108,0),IF(AD108&lt;R108,AA108+AB108-AC108,0)))))</x:f>
        <x:v>0</x:v>
      </x:c>
      <x:c r="T108" s="6" t="n">
        <x:f>ROUND(MAX(0,O108+P108-Q108-S108),2)</x:f>
        <x:v>0</x:v>
      </x:c>
      <x:c r="U108" s="6" t="n">
        <x:f>Z107</x:f>
        <x:v>0</x:v>
      </x:c>
      <x:c r="V108" s="6" t="n">
        <x:f>ROUND(U108*'Debt strategy'!$D$12/12,2)</x:f>
        <x:v>0</x:v>
      </x:c>
      <x:c r="W108" s="6" t="n">
        <x:f>MIN(U108+V108,'Debt strategy'!$E$12)</x:f>
        <x:v>0</x:v>
      </x:c>
      <x:c r="X108" s="27" t="n">
        <x:f>IF(U108+V108-W108&lt;=0,99,1+SUM(IF(AND(C108+D108-E108&gt;0,OR('Debt strategy'!$D$9&gt;'Debt strategy'!$D$12,AND('Debt strategy'!$D$9='Debt strategy'!$D$12,0&lt;3))),1,0),IF(AND(I108+J108-K108&gt;0,OR('Debt strategy'!$D$10&gt;'Debt strategy'!$D$12,AND('Debt strategy'!$D$10='Debt strategy'!$D$12,1&lt;3))),1,0),IF(AND(O108+P108-Q108&gt;0,OR('Debt strategy'!$D$11&gt;'Debt strategy'!$D$12,AND('Debt strategy'!$D$11='Debt strategy'!$D$12,2&lt;3))),1,0),IF(AND(AA108+AB108-AC108&gt;0,OR('Debt strategy'!$D$13&gt;'Debt strategy'!$D$12,AND('Debt strategy'!$D$13='Debt strategy'!$D$12,4&lt;3))),1,0)))</x:f>
        <x:v>99</x:v>
      </x:c>
      <x:c r="Y108" s="6" t="n">
        <x:f>IF('Debt strategy'!$C$16&gt;0,0,MIN(U108+V108-W108,MAX(0,'Debt strategy'!$C$5-SUM(E108,K108,Q108,W108,AC108)-SUM(IF(F108&lt;X108,C108+D108-E108,0),IF(L108&lt;X108,I108+J108-K108,0),IF(R108&lt;X108,O108+P108-Q108,0),IF(AD108&lt;X108,AA108+AB108-AC108,0)))))</x:f>
        <x:v>0</x:v>
      </x:c>
      <x:c r="Z108" s="6" t="n">
        <x:f>ROUND(MAX(0,U108+V108-W108-Y108),2)</x:f>
        <x:v>0</x:v>
      </x:c>
      <x:c r="AA108" s="6" t="n">
        <x:f>AF107</x:f>
        <x:v>0</x:v>
      </x:c>
      <x:c r="AB108" s="6" t="n">
        <x:f>ROUND(AA108*'Debt strategy'!$D$13/12,2)</x:f>
        <x:v>0</x:v>
      </x:c>
      <x:c r="AC108" s="6" t="n">
        <x:f>MIN(AA108+AB108,'Debt strategy'!$E$13)</x:f>
        <x:v>0</x:v>
      </x:c>
      <x:c r="AD108" s="27" t="n">
        <x:f>IF(AA108+AB108-AC108&lt;=0,99,1+SUM(IF(AND(C108+D108-E108&gt;0,OR('Debt strategy'!$D$9&gt;'Debt strategy'!$D$13,AND('Debt strategy'!$D$9='Debt strategy'!$D$13,0&lt;4))),1,0),IF(AND(I108+J108-K108&gt;0,OR('Debt strategy'!$D$10&gt;'Debt strategy'!$D$13,AND('Debt strategy'!$D$10='Debt strategy'!$D$13,1&lt;4))),1,0),IF(AND(O108+P108-Q108&gt;0,OR('Debt strategy'!$D$11&gt;'Debt strategy'!$D$13,AND('Debt strategy'!$D$11='Debt strategy'!$D$13,2&lt;4))),1,0),IF(AND(U108+V108-W108&gt;0,OR('Debt strategy'!$D$12&gt;'Debt strategy'!$D$13,AND('Debt strategy'!$D$12='Debt strategy'!$D$13,3&lt;4))),1,0)))</x:f>
        <x:v>99</x:v>
      </x:c>
      <x:c r="AE108" s="6" t="n">
        <x:f>IF('Debt strategy'!$C$16&gt;0,0,MIN(AA108+AB108-AC108,MAX(0,'Debt strategy'!$C$5-SUM(E108,K108,Q108,W108,AC108)-SUM(IF(F108&lt;AD108,C108+D108-E108,0),IF(L108&lt;AD108,I108+J108-K108,0),IF(R108&lt;AD108,O108+P108-Q108,0),IF(X108&lt;AD108,U108+V108-W108,0)))))</x:f>
        <x:v>0</x:v>
      </x:c>
      <x:c r="AF108" s="6" t="n">
        <x:f>ROUND(MAX(0,AA108+AB108-AC108-AE108),2)</x:f>
        <x:v>0</x:v>
      </x:c>
      <x:c r="AG108" s="6" t="n">
        <x:f>SUM(H108,N108,T108,Z108,AF108)</x:f>
        <x:v>0</x:v>
      </x:c>
      <x:c r="AH108" s="6" t="n">
        <x:f>SUM(D108,J108,P108,V108,AB108)+AH107</x:f>
        <x:v>1220.8400000000001</x:v>
      </x:c>
      <x:c r="AI108" s="2"/>
    </x:row>
    <x:row r="109" ht="23" customHeight="1">
      <x:c r="B109" s="2" t="n">
        <x:f>101</x:f>
        <x:v>101</x:v>
      </x:c>
      <x:c r="C109" s="6" t="n">
        <x:f>H108</x:f>
        <x:v>0</x:v>
      </x:c>
      <x:c r="D109" s="6" t="n">
        <x:f>ROUND(C109*'Debt strategy'!$D$9/12,2)</x:f>
        <x:v>0</x:v>
      </x:c>
      <x:c r="E109" s="6" t="n">
        <x:f>MIN(C109+D109,'Debt strategy'!$E$9)</x:f>
        <x:v>0</x:v>
      </x:c>
      <x:c r="F109" s="27" t="n">
        <x:f>IF(C109+D109-E109&lt;=0,99,1+SUM(IF(AND(I109+J109-K109&gt;0,OR('Debt strategy'!$D$10&gt;'Debt strategy'!$D$9,AND('Debt strategy'!$D$10='Debt strategy'!$D$9,1&lt;0))),1,0),IF(AND(O109+P109-Q109&gt;0,OR('Debt strategy'!$D$11&gt;'Debt strategy'!$D$9,AND('Debt strategy'!$D$11='Debt strategy'!$D$9,2&lt;0))),1,0),IF(AND(U109+V109-W109&gt;0,OR('Debt strategy'!$D$12&gt;'Debt strategy'!$D$9,AND('Debt strategy'!$D$12='Debt strategy'!$D$9,3&lt;0))),1,0),IF(AND(AA109+AB109-AC109&gt;0,OR('Debt strategy'!$D$13&gt;'Debt strategy'!$D$9,AND('Debt strategy'!$D$13='Debt strategy'!$D$9,4&lt;0))),1,0)))</x:f>
        <x:v>99</x:v>
      </x:c>
      <x:c r="G109" s="6" t="n">
        <x:f>IF('Debt strategy'!$C$16&gt;0,0,MIN(C109+D109-E109,MAX(0,'Debt strategy'!$C$5-SUM(E109,K109,Q109,W109,AC109)-SUM(IF(L109&lt;F109,I109+J109-K109,0),IF(R109&lt;F109,O109+P109-Q109,0),IF(X109&lt;F109,U109+V109-W109,0),IF(AD109&lt;F109,AA109+AB109-AC109,0)))))</x:f>
        <x:v>0</x:v>
      </x:c>
      <x:c r="H109" s="6" t="n">
        <x:f>ROUND(MAX(0,C109+D109-E109-G109),2)</x:f>
        <x:v>0</x:v>
      </x:c>
      <x:c r="I109" s="6" t="n">
        <x:f>N108</x:f>
        <x:v>0</x:v>
      </x:c>
      <x:c r="J109" s="6" t="n">
        <x:f>ROUND(I109*'Debt strategy'!$D$10/12,2)</x:f>
        <x:v>0</x:v>
      </x:c>
      <x:c r="K109" s="6" t="n">
        <x:f>MIN(I109+J109,'Debt strategy'!$E$10)</x:f>
        <x:v>0</x:v>
      </x:c>
      <x:c r="L109" s="27" t="n">
        <x:f>IF(I109+J109-K109&lt;=0,99,1+SUM(IF(AND(C109+D109-E109&gt;0,OR('Debt strategy'!$D$9&gt;'Debt strategy'!$D$10,AND('Debt strategy'!$D$9='Debt strategy'!$D$10,0&lt;1))),1,0),IF(AND(O109+P109-Q109&gt;0,OR('Debt strategy'!$D$11&gt;'Debt strategy'!$D$10,AND('Debt strategy'!$D$11='Debt strategy'!$D$10,2&lt;1))),1,0),IF(AND(U109+V109-W109&gt;0,OR('Debt strategy'!$D$12&gt;'Debt strategy'!$D$10,AND('Debt strategy'!$D$12='Debt strategy'!$D$10,3&lt;1))),1,0),IF(AND(AA109+AB109-AC109&gt;0,OR('Debt strategy'!$D$13&gt;'Debt strategy'!$D$10,AND('Debt strategy'!$D$13='Debt strategy'!$D$10,4&lt;1))),1,0)))</x:f>
        <x:v>99</x:v>
      </x:c>
      <x:c r="M109" s="6" t="n">
        <x:f>IF('Debt strategy'!$C$16&gt;0,0,MIN(I109+J109-K109,MAX(0,'Debt strategy'!$C$5-SUM(E109,K109,Q109,W109,AC109)-SUM(IF(F109&lt;L109,C109+D109-E109,0),IF(R109&lt;L109,O109+P109-Q109,0),IF(X109&lt;L109,U109+V109-W109,0),IF(AD109&lt;L109,AA109+AB109-AC109,0)))))</x:f>
        <x:v>0</x:v>
      </x:c>
      <x:c r="N109" s="6" t="n">
        <x:f>ROUND(MAX(0,I109+J109-K109-M109),2)</x:f>
        <x:v>0</x:v>
      </x:c>
      <x:c r="O109" s="6" t="n">
        <x:f>T108</x:f>
        <x:v>0</x:v>
      </x:c>
      <x:c r="P109" s="6" t="n">
        <x:f>ROUND(O109*'Debt strategy'!$D$11/12,2)</x:f>
        <x:v>0</x:v>
      </x:c>
      <x:c r="Q109" s="6" t="n">
        <x:f>MIN(O109+P109,'Debt strategy'!$E$11)</x:f>
        <x:v>0</x:v>
      </x:c>
      <x:c r="R109" s="27" t="n">
        <x:f>IF(O109+P109-Q109&lt;=0,99,1+SUM(IF(AND(C109+D109-E109&gt;0,OR('Debt strategy'!$D$9&gt;'Debt strategy'!$D$11,AND('Debt strategy'!$D$9='Debt strategy'!$D$11,0&lt;2))),1,0),IF(AND(I109+J109-K109&gt;0,OR('Debt strategy'!$D$10&gt;'Debt strategy'!$D$11,AND('Debt strategy'!$D$10='Debt strategy'!$D$11,1&lt;2))),1,0),IF(AND(U109+V109-W109&gt;0,OR('Debt strategy'!$D$12&gt;'Debt strategy'!$D$11,AND('Debt strategy'!$D$12='Debt strategy'!$D$11,3&lt;2))),1,0),IF(AND(AA109+AB109-AC109&gt;0,OR('Debt strategy'!$D$13&gt;'Debt strategy'!$D$11,AND('Debt strategy'!$D$13='Debt strategy'!$D$11,4&lt;2))),1,0)))</x:f>
        <x:v>99</x:v>
      </x:c>
      <x:c r="S109" s="6" t="n">
        <x:f>IF('Debt strategy'!$C$16&gt;0,0,MIN(O109+P109-Q109,MAX(0,'Debt strategy'!$C$5-SUM(E109,K109,Q109,W109,AC109)-SUM(IF(F109&lt;R109,C109+D109-E109,0),IF(L109&lt;R109,I109+J109-K109,0),IF(X109&lt;R109,U109+V109-W109,0),IF(AD109&lt;R109,AA109+AB109-AC109,0)))))</x:f>
        <x:v>0</x:v>
      </x:c>
      <x:c r="T109" s="6" t="n">
        <x:f>ROUND(MAX(0,O109+P109-Q109-S109),2)</x:f>
        <x:v>0</x:v>
      </x:c>
      <x:c r="U109" s="6" t="n">
        <x:f>Z108</x:f>
        <x:v>0</x:v>
      </x:c>
      <x:c r="V109" s="6" t="n">
        <x:f>ROUND(U109*'Debt strategy'!$D$12/12,2)</x:f>
        <x:v>0</x:v>
      </x:c>
      <x:c r="W109" s="6" t="n">
        <x:f>MIN(U109+V109,'Debt strategy'!$E$12)</x:f>
        <x:v>0</x:v>
      </x:c>
      <x:c r="X109" s="27" t="n">
        <x:f>IF(U109+V109-W109&lt;=0,99,1+SUM(IF(AND(C109+D109-E109&gt;0,OR('Debt strategy'!$D$9&gt;'Debt strategy'!$D$12,AND('Debt strategy'!$D$9='Debt strategy'!$D$12,0&lt;3))),1,0),IF(AND(I109+J109-K109&gt;0,OR('Debt strategy'!$D$10&gt;'Debt strategy'!$D$12,AND('Debt strategy'!$D$10='Debt strategy'!$D$12,1&lt;3))),1,0),IF(AND(O109+P109-Q109&gt;0,OR('Debt strategy'!$D$11&gt;'Debt strategy'!$D$12,AND('Debt strategy'!$D$11='Debt strategy'!$D$12,2&lt;3))),1,0),IF(AND(AA109+AB109-AC109&gt;0,OR('Debt strategy'!$D$13&gt;'Debt strategy'!$D$12,AND('Debt strategy'!$D$13='Debt strategy'!$D$12,4&lt;3))),1,0)))</x:f>
        <x:v>99</x:v>
      </x:c>
      <x:c r="Y109" s="6" t="n">
        <x:f>IF('Debt strategy'!$C$16&gt;0,0,MIN(U109+V109-W109,MAX(0,'Debt strategy'!$C$5-SUM(E109,K109,Q109,W109,AC109)-SUM(IF(F109&lt;X109,C109+D109-E109,0),IF(L109&lt;X109,I109+J109-K109,0),IF(R109&lt;X109,O109+P109-Q109,0),IF(AD109&lt;X109,AA109+AB109-AC109,0)))))</x:f>
        <x:v>0</x:v>
      </x:c>
      <x:c r="Z109" s="6" t="n">
        <x:f>ROUND(MAX(0,U109+V109-W109-Y109),2)</x:f>
        <x:v>0</x:v>
      </x:c>
      <x:c r="AA109" s="6" t="n">
        <x:f>AF108</x:f>
        <x:v>0</x:v>
      </x:c>
      <x:c r="AB109" s="6" t="n">
        <x:f>ROUND(AA109*'Debt strategy'!$D$13/12,2)</x:f>
        <x:v>0</x:v>
      </x:c>
      <x:c r="AC109" s="6" t="n">
        <x:f>MIN(AA109+AB109,'Debt strategy'!$E$13)</x:f>
        <x:v>0</x:v>
      </x:c>
      <x:c r="AD109" s="27" t="n">
        <x:f>IF(AA109+AB109-AC109&lt;=0,99,1+SUM(IF(AND(C109+D109-E109&gt;0,OR('Debt strategy'!$D$9&gt;'Debt strategy'!$D$13,AND('Debt strategy'!$D$9='Debt strategy'!$D$13,0&lt;4))),1,0),IF(AND(I109+J109-K109&gt;0,OR('Debt strategy'!$D$10&gt;'Debt strategy'!$D$13,AND('Debt strategy'!$D$10='Debt strategy'!$D$13,1&lt;4))),1,0),IF(AND(O109+P109-Q109&gt;0,OR('Debt strategy'!$D$11&gt;'Debt strategy'!$D$13,AND('Debt strategy'!$D$11='Debt strategy'!$D$13,2&lt;4))),1,0),IF(AND(U109+V109-W109&gt;0,OR('Debt strategy'!$D$12&gt;'Debt strategy'!$D$13,AND('Debt strategy'!$D$12='Debt strategy'!$D$13,3&lt;4))),1,0)))</x:f>
        <x:v>99</x:v>
      </x:c>
      <x:c r="AE109" s="6" t="n">
        <x:f>IF('Debt strategy'!$C$16&gt;0,0,MIN(AA109+AB109-AC109,MAX(0,'Debt strategy'!$C$5-SUM(E109,K109,Q109,W109,AC109)-SUM(IF(F109&lt;AD109,C109+D109-E109,0),IF(L109&lt;AD109,I109+J109-K109,0),IF(R109&lt;AD109,O109+P109-Q109,0),IF(X109&lt;AD109,U109+V109-W109,0)))))</x:f>
        <x:v>0</x:v>
      </x:c>
      <x:c r="AF109" s="6" t="n">
        <x:f>ROUND(MAX(0,AA109+AB109-AC109-AE109),2)</x:f>
        <x:v>0</x:v>
      </x:c>
      <x:c r="AG109" s="6" t="n">
        <x:f>SUM(H109,N109,T109,Z109,AF109)</x:f>
        <x:v>0</x:v>
      </x:c>
      <x:c r="AH109" s="6" t="n">
        <x:f>SUM(D109,J109,P109,V109,AB109)+AH108</x:f>
        <x:v>1220.8400000000001</x:v>
      </x:c>
      <x:c r="AI109" s="2"/>
    </x:row>
    <x:row r="110" ht="23" customHeight="1">
      <x:c r="B110" s="2" t="n">
        <x:f>102</x:f>
        <x:v>102</x:v>
      </x:c>
      <x:c r="C110" s="6" t="n">
        <x:f>H109</x:f>
        <x:v>0</x:v>
      </x:c>
      <x:c r="D110" s="6" t="n">
        <x:f>ROUND(C110*'Debt strategy'!$D$9/12,2)</x:f>
        <x:v>0</x:v>
      </x:c>
      <x:c r="E110" s="6" t="n">
        <x:f>MIN(C110+D110,'Debt strategy'!$E$9)</x:f>
        <x:v>0</x:v>
      </x:c>
      <x:c r="F110" s="27" t="n">
        <x:f>IF(C110+D110-E110&lt;=0,99,1+SUM(IF(AND(I110+J110-K110&gt;0,OR('Debt strategy'!$D$10&gt;'Debt strategy'!$D$9,AND('Debt strategy'!$D$10='Debt strategy'!$D$9,1&lt;0))),1,0),IF(AND(O110+P110-Q110&gt;0,OR('Debt strategy'!$D$11&gt;'Debt strategy'!$D$9,AND('Debt strategy'!$D$11='Debt strategy'!$D$9,2&lt;0))),1,0),IF(AND(U110+V110-W110&gt;0,OR('Debt strategy'!$D$12&gt;'Debt strategy'!$D$9,AND('Debt strategy'!$D$12='Debt strategy'!$D$9,3&lt;0))),1,0),IF(AND(AA110+AB110-AC110&gt;0,OR('Debt strategy'!$D$13&gt;'Debt strategy'!$D$9,AND('Debt strategy'!$D$13='Debt strategy'!$D$9,4&lt;0))),1,0)))</x:f>
        <x:v>99</x:v>
      </x:c>
      <x:c r="G110" s="6" t="n">
        <x:f>IF('Debt strategy'!$C$16&gt;0,0,MIN(C110+D110-E110,MAX(0,'Debt strategy'!$C$5-SUM(E110,K110,Q110,W110,AC110)-SUM(IF(L110&lt;F110,I110+J110-K110,0),IF(R110&lt;F110,O110+P110-Q110,0),IF(X110&lt;F110,U110+V110-W110,0),IF(AD110&lt;F110,AA110+AB110-AC110,0)))))</x:f>
        <x:v>0</x:v>
      </x:c>
      <x:c r="H110" s="6" t="n">
        <x:f>ROUND(MAX(0,C110+D110-E110-G110),2)</x:f>
        <x:v>0</x:v>
      </x:c>
      <x:c r="I110" s="6" t="n">
        <x:f>N109</x:f>
        <x:v>0</x:v>
      </x:c>
      <x:c r="J110" s="6" t="n">
        <x:f>ROUND(I110*'Debt strategy'!$D$10/12,2)</x:f>
        <x:v>0</x:v>
      </x:c>
      <x:c r="K110" s="6" t="n">
        <x:f>MIN(I110+J110,'Debt strategy'!$E$10)</x:f>
        <x:v>0</x:v>
      </x:c>
      <x:c r="L110" s="27" t="n">
        <x:f>IF(I110+J110-K110&lt;=0,99,1+SUM(IF(AND(C110+D110-E110&gt;0,OR('Debt strategy'!$D$9&gt;'Debt strategy'!$D$10,AND('Debt strategy'!$D$9='Debt strategy'!$D$10,0&lt;1))),1,0),IF(AND(O110+P110-Q110&gt;0,OR('Debt strategy'!$D$11&gt;'Debt strategy'!$D$10,AND('Debt strategy'!$D$11='Debt strategy'!$D$10,2&lt;1))),1,0),IF(AND(U110+V110-W110&gt;0,OR('Debt strategy'!$D$12&gt;'Debt strategy'!$D$10,AND('Debt strategy'!$D$12='Debt strategy'!$D$10,3&lt;1))),1,0),IF(AND(AA110+AB110-AC110&gt;0,OR('Debt strategy'!$D$13&gt;'Debt strategy'!$D$10,AND('Debt strategy'!$D$13='Debt strategy'!$D$10,4&lt;1))),1,0)))</x:f>
        <x:v>99</x:v>
      </x:c>
      <x:c r="M110" s="6" t="n">
        <x:f>IF('Debt strategy'!$C$16&gt;0,0,MIN(I110+J110-K110,MAX(0,'Debt strategy'!$C$5-SUM(E110,K110,Q110,W110,AC110)-SUM(IF(F110&lt;L110,C110+D110-E110,0),IF(R110&lt;L110,O110+P110-Q110,0),IF(X110&lt;L110,U110+V110-W110,0),IF(AD110&lt;L110,AA110+AB110-AC110,0)))))</x:f>
        <x:v>0</x:v>
      </x:c>
      <x:c r="N110" s="6" t="n">
        <x:f>ROUND(MAX(0,I110+J110-K110-M110),2)</x:f>
        <x:v>0</x:v>
      </x:c>
      <x:c r="O110" s="6" t="n">
        <x:f>T109</x:f>
        <x:v>0</x:v>
      </x:c>
      <x:c r="P110" s="6" t="n">
        <x:f>ROUND(O110*'Debt strategy'!$D$11/12,2)</x:f>
        <x:v>0</x:v>
      </x:c>
      <x:c r="Q110" s="6" t="n">
        <x:f>MIN(O110+P110,'Debt strategy'!$E$11)</x:f>
        <x:v>0</x:v>
      </x:c>
      <x:c r="R110" s="27" t="n">
        <x:f>IF(O110+P110-Q110&lt;=0,99,1+SUM(IF(AND(C110+D110-E110&gt;0,OR('Debt strategy'!$D$9&gt;'Debt strategy'!$D$11,AND('Debt strategy'!$D$9='Debt strategy'!$D$11,0&lt;2))),1,0),IF(AND(I110+J110-K110&gt;0,OR('Debt strategy'!$D$10&gt;'Debt strategy'!$D$11,AND('Debt strategy'!$D$10='Debt strategy'!$D$11,1&lt;2))),1,0),IF(AND(U110+V110-W110&gt;0,OR('Debt strategy'!$D$12&gt;'Debt strategy'!$D$11,AND('Debt strategy'!$D$12='Debt strategy'!$D$11,3&lt;2))),1,0),IF(AND(AA110+AB110-AC110&gt;0,OR('Debt strategy'!$D$13&gt;'Debt strategy'!$D$11,AND('Debt strategy'!$D$13='Debt strategy'!$D$11,4&lt;2))),1,0)))</x:f>
        <x:v>99</x:v>
      </x:c>
      <x:c r="S110" s="6" t="n">
        <x:f>IF('Debt strategy'!$C$16&gt;0,0,MIN(O110+P110-Q110,MAX(0,'Debt strategy'!$C$5-SUM(E110,K110,Q110,W110,AC110)-SUM(IF(F110&lt;R110,C110+D110-E110,0),IF(L110&lt;R110,I110+J110-K110,0),IF(X110&lt;R110,U110+V110-W110,0),IF(AD110&lt;R110,AA110+AB110-AC110,0)))))</x:f>
        <x:v>0</x:v>
      </x:c>
      <x:c r="T110" s="6" t="n">
        <x:f>ROUND(MAX(0,O110+P110-Q110-S110),2)</x:f>
        <x:v>0</x:v>
      </x:c>
      <x:c r="U110" s="6" t="n">
        <x:f>Z109</x:f>
        <x:v>0</x:v>
      </x:c>
      <x:c r="V110" s="6" t="n">
        <x:f>ROUND(U110*'Debt strategy'!$D$12/12,2)</x:f>
        <x:v>0</x:v>
      </x:c>
      <x:c r="W110" s="6" t="n">
        <x:f>MIN(U110+V110,'Debt strategy'!$E$12)</x:f>
        <x:v>0</x:v>
      </x:c>
      <x:c r="X110" s="27" t="n">
        <x:f>IF(U110+V110-W110&lt;=0,99,1+SUM(IF(AND(C110+D110-E110&gt;0,OR('Debt strategy'!$D$9&gt;'Debt strategy'!$D$12,AND('Debt strategy'!$D$9='Debt strategy'!$D$12,0&lt;3))),1,0),IF(AND(I110+J110-K110&gt;0,OR('Debt strategy'!$D$10&gt;'Debt strategy'!$D$12,AND('Debt strategy'!$D$10='Debt strategy'!$D$12,1&lt;3))),1,0),IF(AND(O110+P110-Q110&gt;0,OR('Debt strategy'!$D$11&gt;'Debt strategy'!$D$12,AND('Debt strategy'!$D$11='Debt strategy'!$D$12,2&lt;3))),1,0),IF(AND(AA110+AB110-AC110&gt;0,OR('Debt strategy'!$D$13&gt;'Debt strategy'!$D$12,AND('Debt strategy'!$D$13='Debt strategy'!$D$12,4&lt;3))),1,0)))</x:f>
        <x:v>99</x:v>
      </x:c>
      <x:c r="Y110" s="6" t="n">
        <x:f>IF('Debt strategy'!$C$16&gt;0,0,MIN(U110+V110-W110,MAX(0,'Debt strategy'!$C$5-SUM(E110,K110,Q110,W110,AC110)-SUM(IF(F110&lt;X110,C110+D110-E110,0),IF(L110&lt;X110,I110+J110-K110,0),IF(R110&lt;X110,O110+P110-Q110,0),IF(AD110&lt;X110,AA110+AB110-AC110,0)))))</x:f>
        <x:v>0</x:v>
      </x:c>
      <x:c r="Z110" s="6" t="n">
        <x:f>ROUND(MAX(0,U110+V110-W110-Y110),2)</x:f>
        <x:v>0</x:v>
      </x:c>
      <x:c r="AA110" s="6" t="n">
        <x:f>AF109</x:f>
        <x:v>0</x:v>
      </x:c>
      <x:c r="AB110" s="6" t="n">
        <x:f>ROUND(AA110*'Debt strategy'!$D$13/12,2)</x:f>
        <x:v>0</x:v>
      </x:c>
      <x:c r="AC110" s="6" t="n">
        <x:f>MIN(AA110+AB110,'Debt strategy'!$E$13)</x:f>
        <x:v>0</x:v>
      </x:c>
      <x:c r="AD110" s="27" t="n">
        <x:f>IF(AA110+AB110-AC110&lt;=0,99,1+SUM(IF(AND(C110+D110-E110&gt;0,OR('Debt strategy'!$D$9&gt;'Debt strategy'!$D$13,AND('Debt strategy'!$D$9='Debt strategy'!$D$13,0&lt;4))),1,0),IF(AND(I110+J110-K110&gt;0,OR('Debt strategy'!$D$10&gt;'Debt strategy'!$D$13,AND('Debt strategy'!$D$10='Debt strategy'!$D$13,1&lt;4))),1,0),IF(AND(O110+P110-Q110&gt;0,OR('Debt strategy'!$D$11&gt;'Debt strategy'!$D$13,AND('Debt strategy'!$D$11='Debt strategy'!$D$13,2&lt;4))),1,0),IF(AND(U110+V110-W110&gt;0,OR('Debt strategy'!$D$12&gt;'Debt strategy'!$D$13,AND('Debt strategy'!$D$12='Debt strategy'!$D$13,3&lt;4))),1,0)))</x:f>
        <x:v>99</x:v>
      </x:c>
      <x:c r="AE110" s="6" t="n">
        <x:f>IF('Debt strategy'!$C$16&gt;0,0,MIN(AA110+AB110-AC110,MAX(0,'Debt strategy'!$C$5-SUM(E110,K110,Q110,W110,AC110)-SUM(IF(F110&lt;AD110,C110+D110-E110,0),IF(L110&lt;AD110,I110+J110-K110,0),IF(R110&lt;AD110,O110+P110-Q110,0),IF(X110&lt;AD110,U110+V110-W110,0)))))</x:f>
        <x:v>0</x:v>
      </x:c>
      <x:c r="AF110" s="6" t="n">
        <x:f>ROUND(MAX(0,AA110+AB110-AC110-AE110),2)</x:f>
        <x:v>0</x:v>
      </x:c>
      <x:c r="AG110" s="6" t="n">
        <x:f>SUM(H110,N110,T110,Z110,AF110)</x:f>
        <x:v>0</x:v>
      </x:c>
      <x:c r="AH110" s="6" t="n">
        <x:f>SUM(D110,J110,P110,V110,AB110)+AH109</x:f>
        <x:v>1220.8400000000001</x:v>
      </x:c>
      <x:c r="AI110" s="2"/>
    </x:row>
    <x:row r="111" ht="23" customHeight="1">
      <x:c r="B111" s="2" t="n">
        <x:f>103</x:f>
        <x:v>103</x:v>
      </x:c>
      <x:c r="C111" s="6" t="n">
        <x:f>H110</x:f>
        <x:v>0</x:v>
      </x:c>
      <x:c r="D111" s="6" t="n">
        <x:f>ROUND(C111*'Debt strategy'!$D$9/12,2)</x:f>
        <x:v>0</x:v>
      </x:c>
      <x:c r="E111" s="6" t="n">
        <x:f>MIN(C111+D111,'Debt strategy'!$E$9)</x:f>
        <x:v>0</x:v>
      </x:c>
      <x:c r="F111" s="27" t="n">
        <x:f>IF(C111+D111-E111&lt;=0,99,1+SUM(IF(AND(I111+J111-K111&gt;0,OR('Debt strategy'!$D$10&gt;'Debt strategy'!$D$9,AND('Debt strategy'!$D$10='Debt strategy'!$D$9,1&lt;0))),1,0),IF(AND(O111+P111-Q111&gt;0,OR('Debt strategy'!$D$11&gt;'Debt strategy'!$D$9,AND('Debt strategy'!$D$11='Debt strategy'!$D$9,2&lt;0))),1,0),IF(AND(U111+V111-W111&gt;0,OR('Debt strategy'!$D$12&gt;'Debt strategy'!$D$9,AND('Debt strategy'!$D$12='Debt strategy'!$D$9,3&lt;0))),1,0),IF(AND(AA111+AB111-AC111&gt;0,OR('Debt strategy'!$D$13&gt;'Debt strategy'!$D$9,AND('Debt strategy'!$D$13='Debt strategy'!$D$9,4&lt;0))),1,0)))</x:f>
        <x:v>99</x:v>
      </x:c>
      <x:c r="G111" s="6" t="n">
        <x:f>IF('Debt strategy'!$C$16&gt;0,0,MIN(C111+D111-E111,MAX(0,'Debt strategy'!$C$5-SUM(E111,K111,Q111,W111,AC111)-SUM(IF(L111&lt;F111,I111+J111-K111,0),IF(R111&lt;F111,O111+P111-Q111,0),IF(X111&lt;F111,U111+V111-W111,0),IF(AD111&lt;F111,AA111+AB111-AC111,0)))))</x:f>
        <x:v>0</x:v>
      </x:c>
      <x:c r="H111" s="6" t="n">
        <x:f>ROUND(MAX(0,C111+D111-E111-G111),2)</x:f>
        <x:v>0</x:v>
      </x:c>
      <x:c r="I111" s="6" t="n">
        <x:f>N110</x:f>
        <x:v>0</x:v>
      </x:c>
      <x:c r="J111" s="6" t="n">
        <x:f>ROUND(I111*'Debt strategy'!$D$10/12,2)</x:f>
        <x:v>0</x:v>
      </x:c>
      <x:c r="K111" s="6" t="n">
        <x:f>MIN(I111+J111,'Debt strategy'!$E$10)</x:f>
        <x:v>0</x:v>
      </x:c>
      <x:c r="L111" s="27" t="n">
        <x:f>IF(I111+J111-K111&lt;=0,99,1+SUM(IF(AND(C111+D111-E111&gt;0,OR('Debt strategy'!$D$9&gt;'Debt strategy'!$D$10,AND('Debt strategy'!$D$9='Debt strategy'!$D$10,0&lt;1))),1,0),IF(AND(O111+P111-Q111&gt;0,OR('Debt strategy'!$D$11&gt;'Debt strategy'!$D$10,AND('Debt strategy'!$D$11='Debt strategy'!$D$10,2&lt;1))),1,0),IF(AND(U111+V111-W111&gt;0,OR('Debt strategy'!$D$12&gt;'Debt strategy'!$D$10,AND('Debt strategy'!$D$12='Debt strategy'!$D$10,3&lt;1))),1,0),IF(AND(AA111+AB111-AC111&gt;0,OR('Debt strategy'!$D$13&gt;'Debt strategy'!$D$10,AND('Debt strategy'!$D$13='Debt strategy'!$D$10,4&lt;1))),1,0)))</x:f>
        <x:v>99</x:v>
      </x:c>
      <x:c r="M111" s="6" t="n">
        <x:f>IF('Debt strategy'!$C$16&gt;0,0,MIN(I111+J111-K111,MAX(0,'Debt strategy'!$C$5-SUM(E111,K111,Q111,W111,AC111)-SUM(IF(F111&lt;L111,C111+D111-E111,0),IF(R111&lt;L111,O111+P111-Q111,0),IF(X111&lt;L111,U111+V111-W111,0),IF(AD111&lt;L111,AA111+AB111-AC111,0)))))</x:f>
        <x:v>0</x:v>
      </x:c>
      <x:c r="N111" s="6" t="n">
        <x:f>ROUND(MAX(0,I111+J111-K111-M111),2)</x:f>
        <x:v>0</x:v>
      </x:c>
      <x:c r="O111" s="6" t="n">
        <x:f>T110</x:f>
        <x:v>0</x:v>
      </x:c>
      <x:c r="P111" s="6" t="n">
        <x:f>ROUND(O111*'Debt strategy'!$D$11/12,2)</x:f>
        <x:v>0</x:v>
      </x:c>
      <x:c r="Q111" s="6" t="n">
        <x:f>MIN(O111+P111,'Debt strategy'!$E$11)</x:f>
        <x:v>0</x:v>
      </x:c>
      <x:c r="R111" s="27" t="n">
        <x:f>IF(O111+P111-Q111&lt;=0,99,1+SUM(IF(AND(C111+D111-E111&gt;0,OR('Debt strategy'!$D$9&gt;'Debt strategy'!$D$11,AND('Debt strategy'!$D$9='Debt strategy'!$D$11,0&lt;2))),1,0),IF(AND(I111+J111-K111&gt;0,OR('Debt strategy'!$D$10&gt;'Debt strategy'!$D$11,AND('Debt strategy'!$D$10='Debt strategy'!$D$11,1&lt;2))),1,0),IF(AND(U111+V111-W111&gt;0,OR('Debt strategy'!$D$12&gt;'Debt strategy'!$D$11,AND('Debt strategy'!$D$12='Debt strategy'!$D$11,3&lt;2))),1,0),IF(AND(AA111+AB111-AC111&gt;0,OR('Debt strategy'!$D$13&gt;'Debt strategy'!$D$11,AND('Debt strategy'!$D$13='Debt strategy'!$D$11,4&lt;2))),1,0)))</x:f>
        <x:v>99</x:v>
      </x:c>
      <x:c r="S111" s="6" t="n">
        <x:f>IF('Debt strategy'!$C$16&gt;0,0,MIN(O111+P111-Q111,MAX(0,'Debt strategy'!$C$5-SUM(E111,K111,Q111,W111,AC111)-SUM(IF(F111&lt;R111,C111+D111-E111,0),IF(L111&lt;R111,I111+J111-K111,0),IF(X111&lt;R111,U111+V111-W111,0),IF(AD111&lt;R111,AA111+AB111-AC111,0)))))</x:f>
        <x:v>0</x:v>
      </x:c>
      <x:c r="T111" s="6" t="n">
        <x:f>ROUND(MAX(0,O111+P111-Q111-S111),2)</x:f>
        <x:v>0</x:v>
      </x:c>
      <x:c r="U111" s="6" t="n">
        <x:f>Z110</x:f>
        <x:v>0</x:v>
      </x:c>
      <x:c r="V111" s="6" t="n">
        <x:f>ROUND(U111*'Debt strategy'!$D$12/12,2)</x:f>
        <x:v>0</x:v>
      </x:c>
      <x:c r="W111" s="6" t="n">
        <x:f>MIN(U111+V111,'Debt strategy'!$E$12)</x:f>
        <x:v>0</x:v>
      </x:c>
      <x:c r="X111" s="27" t="n">
        <x:f>IF(U111+V111-W111&lt;=0,99,1+SUM(IF(AND(C111+D111-E111&gt;0,OR('Debt strategy'!$D$9&gt;'Debt strategy'!$D$12,AND('Debt strategy'!$D$9='Debt strategy'!$D$12,0&lt;3))),1,0),IF(AND(I111+J111-K111&gt;0,OR('Debt strategy'!$D$10&gt;'Debt strategy'!$D$12,AND('Debt strategy'!$D$10='Debt strategy'!$D$12,1&lt;3))),1,0),IF(AND(O111+P111-Q111&gt;0,OR('Debt strategy'!$D$11&gt;'Debt strategy'!$D$12,AND('Debt strategy'!$D$11='Debt strategy'!$D$12,2&lt;3))),1,0),IF(AND(AA111+AB111-AC111&gt;0,OR('Debt strategy'!$D$13&gt;'Debt strategy'!$D$12,AND('Debt strategy'!$D$13='Debt strategy'!$D$12,4&lt;3))),1,0)))</x:f>
        <x:v>99</x:v>
      </x:c>
      <x:c r="Y111" s="6" t="n">
        <x:f>IF('Debt strategy'!$C$16&gt;0,0,MIN(U111+V111-W111,MAX(0,'Debt strategy'!$C$5-SUM(E111,K111,Q111,W111,AC111)-SUM(IF(F111&lt;X111,C111+D111-E111,0),IF(L111&lt;X111,I111+J111-K111,0),IF(R111&lt;X111,O111+P111-Q111,0),IF(AD111&lt;X111,AA111+AB111-AC111,0)))))</x:f>
        <x:v>0</x:v>
      </x:c>
      <x:c r="Z111" s="6" t="n">
        <x:f>ROUND(MAX(0,U111+V111-W111-Y111),2)</x:f>
        <x:v>0</x:v>
      </x:c>
      <x:c r="AA111" s="6" t="n">
        <x:f>AF110</x:f>
        <x:v>0</x:v>
      </x:c>
      <x:c r="AB111" s="6" t="n">
        <x:f>ROUND(AA111*'Debt strategy'!$D$13/12,2)</x:f>
        <x:v>0</x:v>
      </x:c>
      <x:c r="AC111" s="6" t="n">
        <x:f>MIN(AA111+AB111,'Debt strategy'!$E$13)</x:f>
        <x:v>0</x:v>
      </x:c>
      <x:c r="AD111" s="27" t="n">
        <x:f>IF(AA111+AB111-AC111&lt;=0,99,1+SUM(IF(AND(C111+D111-E111&gt;0,OR('Debt strategy'!$D$9&gt;'Debt strategy'!$D$13,AND('Debt strategy'!$D$9='Debt strategy'!$D$13,0&lt;4))),1,0),IF(AND(I111+J111-K111&gt;0,OR('Debt strategy'!$D$10&gt;'Debt strategy'!$D$13,AND('Debt strategy'!$D$10='Debt strategy'!$D$13,1&lt;4))),1,0),IF(AND(O111+P111-Q111&gt;0,OR('Debt strategy'!$D$11&gt;'Debt strategy'!$D$13,AND('Debt strategy'!$D$11='Debt strategy'!$D$13,2&lt;4))),1,0),IF(AND(U111+V111-W111&gt;0,OR('Debt strategy'!$D$12&gt;'Debt strategy'!$D$13,AND('Debt strategy'!$D$12='Debt strategy'!$D$13,3&lt;4))),1,0)))</x:f>
        <x:v>99</x:v>
      </x:c>
      <x:c r="AE111" s="6" t="n">
        <x:f>IF('Debt strategy'!$C$16&gt;0,0,MIN(AA111+AB111-AC111,MAX(0,'Debt strategy'!$C$5-SUM(E111,K111,Q111,W111,AC111)-SUM(IF(F111&lt;AD111,C111+D111-E111,0),IF(L111&lt;AD111,I111+J111-K111,0),IF(R111&lt;AD111,O111+P111-Q111,0),IF(X111&lt;AD111,U111+V111-W111,0)))))</x:f>
        <x:v>0</x:v>
      </x:c>
      <x:c r="AF111" s="6" t="n">
        <x:f>ROUND(MAX(0,AA111+AB111-AC111-AE111),2)</x:f>
        <x:v>0</x:v>
      </x:c>
      <x:c r="AG111" s="6" t="n">
        <x:f>SUM(H111,N111,T111,Z111,AF111)</x:f>
        <x:v>0</x:v>
      </x:c>
      <x:c r="AH111" s="6" t="n">
        <x:f>SUM(D111,J111,P111,V111,AB111)+AH110</x:f>
        <x:v>1220.8400000000001</x:v>
      </x:c>
      <x:c r="AI111" s="2"/>
    </x:row>
    <x:row r="112" ht="23" customHeight="1">
      <x:c r="B112" s="2" t="n">
        <x:f>104</x:f>
        <x:v>104</x:v>
      </x:c>
      <x:c r="C112" s="6" t="n">
        <x:f>H111</x:f>
        <x:v>0</x:v>
      </x:c>
      <x:c r="D112" s="6" t="n">
        <x:f>ROUND(C112*'Debt strategy'!$D$9/12,2)</x:f>
        <x:v>0</x:v>
      </x:c>
      <x:c r="E112" s="6" t="n">
        <x:f>MIN(C112+D112,'Debt strategy'!$E$9)</x:f>
        <x:v>0</x:v>
      </x:c>
      <x:c r="F112" s="27" t="n">
        <x:f>IF(C112+D112-E112&lt;=0,99,1+SUM(IF(AND(I112+J112-K112&gt;0,OR('Debt strategy'!$D$10&gt;'Debt strategy'!$D$9,AND('Debt strategy'!$D$10='Debt strategy'!$D$9,1&lt;0))),1,0),IF(AND(O112+P112-Q112&gt;0,OR('Debt strategy'!$D$11&gt;'Debt strategy'!$D$9,AND('Debt strategy'!$D$11='Debt strategy'!$D$9,2&lt;0))),1,0),IF(AND(U112+V112-W112&gt;0,OR('Debt strategy'!$D$12&gt;'Debt strategy'!$D$9,AND('Debt strategy'!$D$12='Debt strategy'!$D$9,3&lt;0))),1,0),IF(AND(AA112+AB112-AC112&gt;0,OR('Debt strategy'!$D$13&gt;'Debt strategy'!$D$9,AND('Debt strategy'!$D$13='Debt strategy'!$D$9,4&lt;0))),1,0)))</x:f>
        <x:v>99</x:v>
      </x:c>
      <x:c r="G112" s="6" t="n">
        <x:f>IF('Debt strategy'!$C$16&gt;0,0,MIN(C112+D112-E112,MAX(0,'Debt strategy'!$C$5-SUM(E112,K112,Q112,W112,AC112)-SUM(IF(L112&lt;F112,I112+J112-K112,0),IF(R112&lt;F112,O112+P112-Q112,0),IF(X112&lt;F112,U112+V112-W112,0),IF(AD112&lt;F112,AA112+AB112-AC112,0)))))</x:f>
        <x:v>0</x:v>
      </x:c>
      <x:c r="H112" s="6" t="n">
        <x:f>ROUND(MAX(0,C112+D112-E112-G112),2)</x:f>
        <x:v>0</x:v>
      </x:c>
      <x:c r="I112" s="6" t="n">
        <x:f>N111</x:f>
        <x:v>0</x:v>
      </x:c>
      <x:c r="J112" s="6" t="n">
        <x:f>ROUND(I112*'Debt strategy'!$D$10/12,2)</x:f>
        <x:v>0</x:v>
      </x:c>
      <x:c r="K112" s="6" t="n">
        <x:f>MIN(I112+J112,'Debt strategy'!$E$10)</x:f>
        <x:v>0</x:v>
      </x:c>
      <x:c r="L112" s="27" t="n">
        <x:f>IF(I112+J112-K112&lt;=0,99,1+SUM(IF(AND(C112+D112-E112&gt;0,OR('Debt strategy'!$D$9&gt;'Debt strategy'!$D$10,AND('Debt strategy'!$D$9='Debt strategy'!$D$10,0&lt;1))),1,0),IF(AND(O112+P112-Q112&gt;0,OR('Debt strategy'!$D$11&gt;'Debt strategy'!$D$10,AND('Debt strategy'!$D$11='Debt strategy'!$D$10,2&lt;1))),1,0),IF(AND(U112+V112-W112&gt;0,OR('Debt strategy'!$D$12&gt;'Debt strategy'!$D$10,AND('Debt strategy'!$D$12='Debt strategy'!$D$10,3&lt;1))),1,0),IF(AND(AA112+AB112-AC112&gt;0,OR('Debt strategy'!$D$13&gt;'Debt strategy'!$D$10,AND('Debt strategy'!$D$13='Debt strategy'!$D$10,4&lt;1))),1,0)))</x:f>
        <x:v>99</x:v>
      </x:c>
      <x:c r="M112" s="6" t="n">
        <x:f>IF('Debt strategy'!$C$16&gt;0,0,MIN(I112+J112-K112,MAX(0,'Debt strategy'!$C$5-SUM(E112,K112,Q112,W112,AC112)-SUM(IF(F112&lt;L112,C112+D112-E112,0),IF(R112&lt;L112,O112+P112-Q112,0),IF(X112&lt;L112,U112+V112-W112,0),IF(AD112&lt;L112,AA112+AB112-AC112,0)))))</x:f>
        <x:v>0</x:v>
      </x:c>
      <x:c r="N112" s="6" t="n">
        <x:f>ROUND(MAX(0,I112+J112-K112-M112),2)</x:f>
        <x:v>0</x:v>
      </x:c>
      <x:c r="O112" s="6" t="n">
        <x:f>T111</x:f>
        <x:v>0</x:v>
      </x:c>
      <x:c r="P112" s="6" t="n">
        <x:f>ROUND(O112*'Debt strategy'!$D$11/12,2)</x:f>
        <x:v>0</x:v>
      </x:c>
      <x:c r="Q112" s="6" t="n">
        <x:f>MIN(O112+P112,'Debt strategy'!$E$11)</x:f>
        <x:v>0</x:v>
      </x:c>
      <x:c r="R112" s="27" t="n">
        <x:f>IF(O112+P112-Q112&lt;=0,99,1+SUM(IF(AND(C112+D112-E112&gt;0,OR('Debt strategy'!$D$9&gt;'Debt strategy'!$D$11,AND('Debt strategy'!$D$9='Debt strategy'!$D$11,0&lt;2))),1,0),IF(AND(I112+J112-K112&gt;0,OR('Debt strategy'!$D$10&gt;'Debt strategy'!$D$11,AND('Debt strategy'!$D$10='Debt strategy'!$D$11,1&lt;2))),1,0),IF(AND(U112+V112-W112&gt;0,OR('Debt strategy'!$D$12&gt;'Debt strategy'!$D$11,AND('Debt strategy'!$D$12='Debt strategy'!$D$11,3&lt;2))),1,0),IF(AND(AA112+AB112-AC112&gt;0,OR('Debt strategy'!$D$13&gt;'Debt strategy'!$D$11,AND('Debt strategy'!$D$13='Debt strategy'!$D$11,4&lt;2))),1,0)))</x:f>
        <x:v>99</x:v>
      </x:c>
      <x:c r="S112" s="6" t="n">
        <x:f>IF('Debt strategy'!$C$16&gt;0,0,MIN(O112+P112-Q112,MAX(0,'Debt strategy'!$C$5-SUM(E112,K112,Q112,W112,AC112)-SUM(IF(F112&lt;R112,C112+D112-E112,0),IF(L112&lt;R112,I112+J112-K112,0),IF(X112&lt;R112,U112+V112-W112,0),IF(AD112&lt;R112,AA112+AB112-AC112,0)))))</x:f>
        <x:v>0</x:v>
      </x:c>
      <x:c r="T112" s="6" t="n">
        <x:f>ROUND(MAX(0,O112+P112-Q112-S112),2)</x:f>
        <x:v>0</x:v>
      </x:c>
      <x:c r="U112" s="6" t="n">
        <x:f>Z111</x:f>
        <x:v>0</x:v>
      </x:c>
      <x:c r="V112" s="6" t="n">
        <x:f>ROUND(U112*'Debt strategy'!$D$12/12,2)</x:f>
        <x:v>0</x:v>
      </x:c>
      <x:c r="W112" s="6" t="n">
        <x:f>MIN(U112+V112,'Debt strategy'!$E$12)</x:f>
        <x:v>0</x:v>
      </x:c>
      <x:c r="X112" s="27" t="n">
        <x:f>IF(U112+V112-W112&lt;=0,99,1+SUM(IF(AND(C112+D112-E112&gt;0,OR('Debt strategy'!$D$9&gt;'Debt strategy'!$D$12,AND('Debt strategy'!$D$9='Debt strategy'!$D$12,0&lt;3))),1,0),IF(AND(I112+J112-K112&gt;0,OR('Debt strategy'!$D$10&gt;'Debt strategy'!$D$12,AND('Debt strategy'!$D$10='Debt strategy'!$D$12,1&lt;3))),1,0),IF(AND(O112+P112-Q112&gt;0,OR('Debt strategy'!$D$11&gt;'Debt strategy'!$D$12,AND('Debt strategy'!$D$11='Debt strategy'!$D$12,2&lt;3))),1,0),IF(AND(AA112+AB112-AC112&gt;0,OR('Debt strategy'!$D$13&gt;'Debt strategy'!$D$12,AND('Debt strategy'!$D$13='Debt strategy'!$D$12,4&lt;3))),1,0)))</x:f>
        <x:v>99</x:v>
      </x:c>
      <x:c r="Y112" s="6" t="n">
        <x:f>IF('Debt strategy'!$C$16&gt;0,0,MIN(U112+V112-W112,MAX(0,'Debt strategy'!$C$5-SUM(E112,K112,Q112,W112,AC112)-SUM(IF(F112&lt;X112,C112+D112-E112,0),IF(L112&lt;X112,I112+J112-K112,0),IF(R112&lt;X112,O112+P112-Q112,0),IF(AD112&lt;X112,AA112+AB112-AC112,0)))))</x:f>
        <x:v>0</x:v>
      </x:c>
      <x:c r="Z112" s="6" t="n">
        <x:f>ROUND(MAX(0,U112+V112-W112-Y112),2)</x:f>
        <x:v>0</x:v>
      </x:c>
      <x:c r="AA112" s="6" t="n">
        <x:f>AF111</x:f>
        <x:v>0</x:v>
      </x:c>
      <x:c r="AB112" s="6" t="n">
        <x:f>ROUND(AA112*'Debt strategy'!$D$13/12,2)</x:f>
        <x:v>0</x:v>
      </x:c>
      <x:c r="AC112" s="6" t="n">
        <x:f>MIN(AA112+AB112,'Debt strategy'!$E$13)</x:f>
        <x:v>0</x:v>
      </x:c>
      <x:c r="AD112" s="27" t="n">
        <x:f>IF(AA112+AB112-AC112&lt;=0,99,1+SUM(IF(AND(C112+D112-E112&gt;0,OR('Debt strategy'!$D$9&gt;'Debt strategy'!$D$13,AND('Debt strategy'!$D$9='Debt strategy'!$D$13,0&lt;4))),1,0),IF(AND(I112+J112-K112&gt;0,OR('Debt strategy'!$D$10&gt;'Debt strategy'!$D$13,AND('Debt strategy'!$D$10='Debt strategy'!$D$13,1&lt;4))),1,0),IF(AND(O112+P112-Q112&gt;0,OR('Debt strategy'!$D$11&gt;'Debt strategy'!$D$13,AND('Debt strategy'!$D$11='Debt strategy'!$D$13,2&lt;4))),1,0),IF(AND(U112+V112-W112&gt;0,OR('Debt strategy'!$D$12&gt;'Debt strategy'!$D$13,AND('Debt strategy'!$D$12='Debt strategy'!$D$13,3&lt;4))),1,0)))</x:f>
        <x:v>99</x:v>
      </x:c>
      <x:c r="AE112" s="6" t="n">
        <x:f>IF('Debt strategy'!$C$16&gt;0,0,MIN(AA112+AB112-AC112,MAX(0,'Debt strategy'!$C$5-SUM(E112,K112,Q112,W112,AC112)-SUM(IF(F112&lt;AD112,C112+D112-E112,0),IF(L112&lt;AD112,I112+J112-K112,0),IF(R112&lt;AD112,O112+P112-Q112,0),IF(X112&lt;AD112,U112+V112-W112,0)))))</x:f>
        <x:v>0</x:v>
      </x:c>
      <x:c r="AF112" s="6" t="n">
        <x:f>ROUND(MAX(0,AA112+AB112-AC112-AE112),2)</x:f>
        <x:v>0</x:v>
      </x:c>
      <x:c r="AG112" s="6" t="n">
        <x:f>SUM(H112,N112,T112,Z112,AF112)</x:f>
        <x:v>0</x:v>
      </x:c>
      <x:c r="AH112" s="6" t="n">
        <x:f>SUM(D112,J112,P112,V112,AB112)+AH111</x:f>
        <x:v>1220.8400000000001</x:v>
      </x:c>
      <x:c r="AI112" s="2"/>
    </x:row>
    <x:row r="113" ht="23" customHeight="1">
      <x:c r="B113" s="2" t="n">
        <x:f>105</x:f>
        <x:v>105</x:v>
      </x:c>
      <x:c r="C113" s="6" t="n">
        <x:f>H112</x:f>
        <x:v>0</x:v>
      </x:c>
      <x:c r="D113" s="6" t="n">
        <x:f>ROUND(C113*'Debt strategy'!$D$9/12,2)</x:f>
        <x:v>0</x:v>
      </x:c>
      <x:c r="E113" s="6" t="n">
        <x:f>MIN(C113+D113,'Debt strategy'!$E$9)</x:f>
        <x:v>0</x:v>
      </x:c>
      <x:c r="F113" s="27" t="n">
        <x:f>IF(C113+D113-E113&lt;=0,99,1+SUM(IF(AND(I113+J113-K113&gt;0,OR('Debt strategy'!$D$10&gt;'Debt strategy'!$D$9,AND('Debt strategy'!$D$10='Debt strategy'!$D$9,1&lt;0))),1,0),IF(AND(O113+P113-Q113&gt;0,OR('Debt strategy'!$D$11&gt;'Debt strategy'!$D$9,AND('Debt strategy'!$D$11='Debt strategy'!$D$9,2&lt;0))),1,0),IF(AND(U113+V113-W113&gt;0,OR('Debt strategy'!$D$12&gt;'Debt strategy'!$D$9,AND('Debt strategy'!$D$12='Debt strategy'!$D$9,3&lt;0))),1,0),IF(AND(AA113+AB113-AC113&gt;0,OR('Debt strategy'!$D$13&gt;'Debt strategy'!$D$9,AND('Debt strategy'!$D$13='Debt strategy'!$D$9,4&lt;0))),1,0)))</x:f>
        <x:v>99</x:v>
      </x:c>
      <x:c r="G113" s="6" t="n">
        <x:f>IF('Debt strategy'!$C$16&gt;0,0,MIN(C113+D113-E113,MAX(0,'Debt strategy'!$C$5-SUM(E113,K113,Q113,W113,AC113)-SUM(IF(L113&lt;F113,I113+J113-K113,0),IF(R113&lt;F113,O113+P113-Q113,0),IF(X113&lt;F113,U113+V113-W113,0),IF(AD113&lt;F113,AA113+AB113-AC113,0)))))</x:f>
        <x:v>0</x:v>
      </x:c>
      <x:c r="H113" s="6" t="n">
        <x:f>ROUND(MAX(0,C113+D113-E113-G113),2)</x:f>
        <x:v>0</x:v>
      </x:c>
      <x:c r="I113" s="6" t="n">
        <x:f>N112</x:f>
        <x:v>0</x:v>
      </x:c>
      <x:c r="J113" s="6" t="n">
        <x:f>ROUND(I113*'Debt strategy'!$D$10/12,2)</x:f>
        <x:v>0</x:v>
      </x:c>
      <x:c r="K113" s="6" t="n">
        <x:f>MIN(I113+J113,'Debt strategy'!$E$10)</x:f>
        <x:v>0</x:v>
      </x:c>
      <x:c r="L113" s="27" t="n">
        <x:f>IF(I113+J113-K113&lt;=0,99,1+SUM(IF(AND(C113+D113-E113&gt;0,OR('Debt strategy'!$D$9&gt;'Debt strategy'!$D$10,AND('Debt strategy'!$D$9='Debt strategy'!$D$10,0&lt;1))),1,0),IF(AND(O113+P113-Q113&gt;0,OR('Debt strategy'!$D$11&gt;'Debt strategy'!$D$10,AND('Debt strategy'!$D$11='Debt strategy'!$D$10,2&lt;1))),1,0),IF(AND(U113+V113-W113&gt;0,OR('Debt strategy'!$D$12&gt;'Debt strategy'!$D$10,AND('Debt strategy'!$D$12='Debt strategy'!$D$10,3&lt;1))),1,0),IF(AND(AA113+AB113-AC113&gt;0,OR('Debt strategy'!$D$13&gt;'Debt strategy'!$D$10,AND('Debt strategy'!$D$13='Debt strategy'!$D$10,4&lt;1))),1,0)))</x:f>
        <x:v>99</x:v>
      </x:c>
      <x:c r="M113" s="6" t="n">
        <x:f>IF('Debt strategy'!$C$16&gt;0,0,MIN(I113+J113-K113,MAX(0,'Debt strategy'!$C$5-SUM(E113,K113,Q113,W113,AC113)-SUM(IF(F113&lt;L113,C113+D113-E113,0),IF(R113&lt;L113,O113+P113-Q113,0),IF(X113&lt;L113,U113+V113-W113,0),IF(AD113&lt;L113,AA113+AB113-AC113,0)))))</x:f>
        <x:v>0</x:v>
      </x:c>
      <x:c r="N113" s="6" t="n">
        <x:f>ROUND(MAX(0,I113+J113-K113-M113),2)</x:f>
        <x:v>0</x:v>
      </x:c>
      <x:c r="O113" s="6" t="n">
        <x:f>T112</x:f>
        <x:v>0</x:v>
      </x:c>
      <x:c r="P113" s="6" t="n">
        <x:f>ROUND(O113*'Debt strategy'!$D$11/12,2)</x:f>
        <x:v>0</x:v>
      </x:c>
      <x:c r="Q113" s="6" t="n">
        <x:f>MIN(O113+P113,'Debt strategy'!$E$11)</x:f>
        <x:v>0</x:v>
      </x:c>
      <x:c r="R113" s="27" t="n">
        <x:f>IF(O113+P113-Q113&lt;=0,99,1+SUM(IF(AND(C113+D113-E113&gt;0,OR('Debt strategy'!$D$9&gt;'Debt strategy'!$D$11,AND('Debt strategy'!$D$9='Debt strategy'!$D$11,0&lt;2))),1,0),IF(AND(I113+J113-K113&gt;0,OR('Debt strategy'!$D$10&gt;'Debt strategy'!$D$11,AND('Debt strategy'!$D$10='Debt strategy'!$D$11,1&lt;2))),1,0),IF(AND(U113+V113-W113&gt;0,OR('Debt strategy'!$D$12&gt;'Debt strategy'!$D$11,AND('Debt strategy'!$D$12='Debt strategy'!$D$11,3&lt;2))),1,0),IF(AND(AA113+AB113-AC113&gt;0,OR('Debt strategy'!$D$13&gt;'Debt strategy'!$D$11,AND('Debt strategy'!$D$13='Debt strategy'!$D$11,4&lt;2))),1,0)))</x:f>
        <x:v>99</x:v>
      </x:c>
      <x:c r="S113" s="6" t="n">
        <x:f>IF('Debt strategy'!$C$16&gt;0,0,MIN(O113+P113-Q113,MAX(0,'Debt strategy'!$C$5-SUM(E113,K113,Q113,W113,AC113)-SUM(IF(F113&lt;R113,C113+D113-E113,0),IF(L113&lt;R113,I113+J113-K113,0),IF(X113&lt;R113,U113+V113-W113,0),IF(AD113&lt;R113,AA113+AB113-AC113,0)))))</x:f>
        <x:v>0</x:v>
      </x:c>
      <x:c r="T113" s="6" t="n">
        <x:f>ROUND(MAX(0,O113+P113-Q113-S113),2)</x:f>
        <x:v>0</x:v>
      </x:c>
      <x:c r="U113" s="6" t="n">
        <x:f>Z112</x:f>
        <x:v>0</x:v>
      </x:c>
      <x:c r="V113" s="6" t="n">
        <x:f>ROUND(U113*'Debt strategy'!$D$12/12,2)</x:f>
        <x:v>0</x:v>
      </x:c>
      <x:c r="W113" s="6" t="n">
        <x:f>MIN(U113+V113,'Debt strategy'!$E$12)</x:f>
        <x:v>0</x:v>
      </x:c>
      <x:c r="X113" s="27" t="n">
        <x:f>IF(U113+V113-W113&lt;=0,99,1+SUM(IF(AND(C113+D113-E113&gt;0,OR('Debt strategy'!$D$9&gt;'Debt strategy'!$D$12,AND('Debt strategy'!$D$9='Debt strategy'!$D$12,0&lt;3))),1,0),IF(AND(I113+J113-K113&gt;0,OR('Debt strategy'!$D$10&gt;'Debt strategy'!$D$12,AND('Debt strategy'!$D$10='Debt strategy'!$D$12,1&lt;3))),1,0),IF(AND(O113+P113-Q113&gt;0,OR('Debt strategy'!$D$11&gt;'Debt strategy'!$D$12,AND('Debt strategy'!$D$11='Debt strategy'!$D$12,2&lt;3))),1,0),IF(AND(AA113+AB113-AC113&gt;0,OR('Debt strategy'!$D$13&gt;'Debt strategy'!$D$12,AND('Debt strategy'!$D$13='Debt strategy'!$D$12,4&lt;3))),1,0)))</x:f>
        <x:v>99</x:v>
      </x:c>
      <x:c r="Y113" s="6" t="n">
        <x:f>IF('Debt strategy'!$C$16&gt;0,0,MIN(U113+V113-W113,MAX(0,'Debt strategy'!$C$5-SUM(E113,K113,Q113,W113,AC113)-SUM(IF(F113&lt;X113,C113+D113-E113,0),IF(L113&lt;X113,I113+J113-K113,0),IF(R113&lt;X113,O113+P113-Q113,0),IF(AD113&lt;X113,AA113+AB113-AC113,0)))))</x:f>
        <x:v>0</x:v>
      </x:c>
      <x:c r="Z113" s="6" t="n">
        <x:f>ROUND(MAX(0,U113+V113-W113-Y113),2)</x:f>
        <x:v>0</x:v>
      </x:c>
      <x:c r="AA113" s="6" t="n">
        <x:f>AF112</x:f>
        <x:v>0</x:v>
      </x:c>
      <x:c r="AB113" s="6" t="n">
        <x:f>ROUND(AA113*'Debt strategy'!$D$13/12,2)</x:f>
        <x:v>0</x:v>
      </x:c>
      <x:c r="AC113" s="6" t="n">
        <x:f>MIN(AA113+AB113,'Debt strategy'!$E$13)</x:f>
        <x:v>0</x:v>
      </x:c>
      <x:c r="AD113" s="27" t="n">
        <x:f>IF(AA113+AB113-AC113&lt;=0,99,1+SUM(IF(AND(C113+D113-E113&gt;0,OR('Debt strategy'!$D$9&gt;'Debt strategy'!$D$13,AND('Debt strategy'!$D$9='Debt strategy'!$D$13,0&lt;4))),1,0),IF(AND(I113+J113-K113&gt;0,OR('Debt strategy'!$D$10&gt;'Debt strategy'!$D$13,AND('Debt strategy'!$D$10='Debt strategy'!$D$13,1&lt;4))),1,0),IF(AND(O113+P113-Q113&gt;0,OR('Debt strategy'!$D$11&gt;'Debt strategy'!$D$13,AND('Debt strategy'!$D$11='Debt strategy'!$D$13,2&lt;4))),1,0),IF(AND(U113+V113-W113&gt;0,OR('Debt strategy'!$D$12&gt;'Debt strategy'!$D$13,AND('Debt strategy'!$D$12='Debt strategy'!$D$13,3&lt;4))),1,0)))</x:f>
        <x:v>99</x:v>
      </x:c>
      <x:c r="AE113" s="6" t="n">
        <x:f>IF('Debt strategy'!$C$16&gt;0,0,MIN(AA113+AB113-AC113,MAX(0,'Debt strategy'!$C$5-SUM(E113,K113,Q113,W113,AC113)-SUM(IF(F113&lt;AD113,C113+D113-E113,0),IF(L113&lt;AD113,I113+J113-K113,0),IF(R113&lt;AD113,O113+P113-Q113,0),IF(X113&lt;AD113,U113+V113-W113,0)))))</x:f>
        <x:v>0</x:v>
      </x:c>
      <x:c r="AF113" s="6" t="n">
        <x:f>ROUND(MAX(0,AA113+AB113-AC113-AE113),2)</x:f>
        <x:v>0</x:v>
      </x:c>
      <x:c r="AG113" s="6" t="n">
        <x:f>SUM(H113,N113,T113,Z113,AF113)</x:f>
        <x:v>0</x:v>
      </x:c>
      <x:c r="AH113" s="6" t="n">
        <x:f>SUM(D113,J113,P113,V113,AB113)+AH112</x:f>
        <x:v>1220.8400000000001</x:v>
      </x:c>
      <x:c r="AI113" s="2"/>
    </x:row>
    <x:row r="114" ht="23" customHeight="1">
      <x:c r="B114" s="2" t="n">
        <x:f>106</x:f>
        <x:v>106</x:v>
      </x:c>
      <x:c r="C114" s="6" t="n">
        <x:f>H113</x:f>
        <x:v>0</x:v>
      </x:c>
      <x:c r="D114" s="6" t="n">
        <x:f>ROUND(C114*'Debt strategy'!$D$9/12,2)</x:f>
        <x:v>0</x:v>
      </x:c>
      <x:c r="E114" s="6" t="n">
        <x:f>MIN(C114+D114,'Debt strategy'!$E$9)</x:f>
        <x:v>0</x:v>
      </x:c>
      <x:c r="F114" s="27" t="n">
        <x:f>IF(C114+D114-E114&lt;=0,99,1+SUM(IF(AND(I114+J114-K114&gt;0,OR('Debt strategy'!$D$10&gt;'Debt strategy'!$D$9,AND('Debt strategy'!$D$10='Debt strategy'!$D$9,1&lt;0))),1,0),IF(AND(O114+P114-Q114&gt;0,OR('Debt strategy'!$D$11&gt;'Debt strategy'!$D$9,AND('Debt strategy'!$D$11='Debt strategy'!$D$9,2&lt;0))),1,0),IF(AND(U114+V114-W114&gt;0,OR('Debt strategy'!$D$12&gt;'Debt strategy'!$D$9,AND('Debt strategy'!$D$12='Debt strategy'!$D$9,3&lt;0))),1,0),IF(AND(AA114+AB114-AC114&gt;0,OR('Debt strategy'!$D$13&gt;'Debt strategy'!$D$9,AND('Debt strategy'!$D$13='Debt strategy'!$D$9,4&lt;0))),1,0)))</x:f>
        <x:v>99</x:v>
      </x:c>
      <x:c r="G114" s="6" t="n">
        <x:f>IF('Debt strategy'!$C$16&gt;0,0,MIN(C114+D114-E114,MAX(0,'Debt strategy'!$C$5-SUM(E114,K114,Q114,W114,AC114)-SUM(IF(L114&lt;F114,I114+J114-K114,0),IF(R114&lt;F114,O114+P114-Q114,0),IF(X114&lt;F114,U114+V114-W114,0),IF(AD114&lt;F114,AA114+AB114-AC114,0)))))</x:f>
        <x:v>0</x:v>
      </x:c>
      <x:c r="H114" s="6" t="n">
        <x:f>ROUND(MAX(0,C114+D114-E114-G114),2)</x:f>
        <x:v>0</x:v>
      </x:c>
      <x:c r="I114" s="6" t="n">
        <x:f>N113</x:f>
        <x:v>0</x:v>
      </x:c>
      <x:c r="J114" s="6" t="n">
        <x:f>ROUND(I114*'Debt strategy'!$D$10/12,2)</x:f>
        <x:v>0</x:v>
      </x:c>
      <x:c r="K114" s="6" t="n">
        <x:f>MIN(I114+J114,'Debt strategy'!$E$10)</x:f>
        <x:v>0</x:v>
      </x:c>
      <x:c r="L114" s="27" t="n">
        <x:f>IF(I114+J114-K114&lt;=0,99,1+SUM(IF(AND(C114+D114-E114&gt;0,OR('Debt strategy'!$D$9&gt;'Debt strategy'!$D$10,AND('Debt strategy'!$D$9='Debt strategy'!$D$10,0&lt;1))),1,0),IF(AND(O114+P114-Q114&gt;0,OR('Debt strategy'!$D$11&gt;'Debt strategy'!$D$10,AND('Debt strategy'!$D$11='Debt strategy'!$D$10,2&lt;1))),1,0),IF(AND(U114+V114-W114&gt;0,OR('Debt strategy'!$D$12&gt;'Debt strategy'!$D$10,AND('Debt strategy'!$D$12='Debt strategy'!$D$10,3&lt;1))),1,0),IF(AND(AA114+AB114-AC114&gt;0,OR('Debt strategy'!$D$13&gt;'Debt strategy'!$D$10,AND('Debt strategy'!$D$13='Debt strategy'!$D$10,4&lt;1))),1,0)))</x:f>
        <x:v>99</x:v>
      </x:c>
      <x:c r="M114" s="6" t="n">
        <x:f>IF('Debt strategy'!$C$16&gt;0,0,MIN(I114+J114-K114,MAX(0,'Debt strategy'!$C$5-SUM(E114,K114,Q114,W114,AC114)-SUM(IF(F114&lt;L114,C114+D114-E114,0),IF(R114&lt;L114,O114+P114-Q114,0),IF(X114&lt;L114,U114+V114-W114,0),IF(AD114&lt;L114,AA114+AB114-AC114,0)))))</x:f>
        <x:v>0</x:v>
      </x:c>
      <x:c r="N114" s="6" t="n">
        <x:f>ROUND(MAX(0,I114+J114-K114-M114),2)</x:f>
        <x:v>0</x:v>
      </x:c>
      <x:c r="O114" s="6" t="n">
        <x:f>T113</x:f>
        <x:v>0</x:v>
      </x:c>
      <x:c r="P114" s="6" t="n">
        <x:f>ROUND(O114*'Debt strategy'!$D$11/12,2)</x:f>
        <x:v>0</x:v>
      </x:c>
      <x:c r="Q114" s="6" t="n">
        <x:f>MIN(O114+P114,'Debt strategy'!$E$11)</x:f>
        <x:v>0</x:v>
      </x:c>
      <x:c r="R114" s="27" t="n">
        <x:f>IF(O114+P114-Q114&lt;=0,99,1+SUM(IF(AND(C114+D114-E114&gt;0,OR('Debt strategy'!$D$9&gt;'Debt strategy'!$D$11,AND('Debt strategy'!$D$9='Debt strategy'!$D$11,0&lt;2))),1,0),IF(AND(I114+J114-K114&gt;0,OR('Debt strategy'!$D$10&gt;'Debt strategy'!$D$11,AND('Debt strategy'!$D$10='Debt strategy'!$D$11,1&lt;2))),1,0),IF(AND(U114+V114-W114&gt;0,OR('Debt strategy'!$D$12&gt;'Debt strategy'!$D$11,AND('Debt strategy'!$D$12='Debt strategy'!$D$11,3&lt;2))),1,0),IF(AND(AA114+AB114-AC114&gt;0,OR('Debt strategy'!$D$13&gt;'Debt strategy'!$D$11,AND('Debt strategy'!$D$13='Debt strategy'!$D$11,4&lt;2))),1,0)))</x:f>
        <x:v>99</x:v>
      </x:c>
      <x:c r="S114" s="6" t="n">
        <x:f>IF('Debt strategy'!$C$16&gt;0,0,MIN(O114+P114-Q114,MAX(0,'Debt strategy'!$C$5-SUM(E114,K114,Q114,W114,AC114)-SUM(IF(F114&lt;R114,C114+D114-E114,0),IF(L114&lt;R114,I114+J114-K114,0),IF(X114&lt;R114,U114+V114-W114,0),IF(AD114&lt;R114,AA114+AB114-AC114,0)))))</x:f>
        <x:v>0</x:v>
      </x:c>
      <x:c r="T114" s="6" t="n">
        <x:f>ROUND(MAX(0,O114+P114-Q114-S114),2)</x:f>
        <x:v>0</x:v>
      </x:c>
      <x:c r="U114" s="6" t="n">
        <x:f>Z113</x:f>
        <x:v>0</x:v>
      </x:c>
      <x:c r="V114" s="6" t="n">
        <x:f>ROUND(U114*'Debt strategy'!$D$12/12,2)</x:f>
        <x:v>0</x:v>
      </x:c>
      <x:c r="W114" s="6" t="n">
        <x:f>MIN(U114+V114,'Debt strategy'!$E$12)</x:f>
        <x:v>0</x:v>
      </x:c>
      <x:c r="X114" s="27" t="n">
        <x:f>IF(U114+V114-W114&lt;=0,99,1+SUM(IF(AND(C114+D114-E114&gt;0,OR('Debt strategy'!$D$9&gt;'Debt strategy'!$D$12,AND('Debt strategy'!$D$9='Debt strategy'!$D$12,0&lt;3))),1,0),IF(AND(I114+J114-K114&gt;0,OR('Debt strategy'!$D$10&gt;'Debt strategy'!$D$12,AND('Debt strategy'!$D$10='Debt strategy'!$D$12,1&lt;3))),1,0),IF(AND(O114+P114-Q114&gt;0,OR('Debt strategy'!$D$11&gt;'Debt strategy'!$D$12,AND('Debt strategy'!$D$11='Debt strategy'!$D$12,2&lt;3))),1,0),IF(AND(AA114+AB114-AC114&gt;0,OR('Debt strategy'!$D$13&gt;'Debt strategy'!$D$12,AND('Debt strategy'!$D$13='Debt strategy'!$D$12,4&lt;3))),1,0)))</x:f>
        <x:v>99</x:v>
      </x:c>
      <x:c r="Y114" s="6" t="n">
        <x:f>IF('Debt strategy'!$C$16&gt;0,0,MIN(U114+V114-W114,MAX(0,'Debt strategy'!$C$5-SUM(E114,K114,Q114,W114,AC114)-SUM(IF(F114&lt;X114,C114+D114-E114,0),IF(L114&lt;X114,I114+J114-K114,0),IF(R114&lt;X114,O114+P114-Q114,0),IF(AD114&lt;X114,AA114+AB114-AC114,0)))))</x:f>
        <x:v>0</x:v>
      </x:c>
      <x:c r="Z114" s="6" t="n">
        <x:f>ROUND(MAX(0,U114+V114-W114-Y114),2)</x:f>
        <x:v>0</x:v>
      </x:c>
      <x:c r="AA114" s="6" t="n">
        <x:f>AF113</x:f>
        <x:v>0</x:v>
      </x:c>
      <x:c r="AB114" s="6" t="n">
        <x:f>ROUND(AA114*'Debt strategy'!$D$13/12,2)</x:f>
        <x:v>0</x:v>
      </x:c>
      <x:c r="AC114" s="6" t="n">
        <x:f>MIN(AA114+AB114,'Debt strategy'!$E$13)</x:f>
        <x:v>0</x:v>
      </x:c>
      <x:c r="AD114" s="27" t="n">
        <x:f>IF(AA114+AB114-AC114&lt;=0,99,1+SUM(IF(AND(C114+D114-E114&gt;0,OR('Debt strategy'!$D$9&gt;'Debt strategy'!$D$13,AND('Debt strategy'!$D$9='Debt strategy'!$D$13,0&lt;4))),1,0),IF(AND(I114+J114-K114&gt;0,OR('Debt strategy'!$D$10&gt;'Debt strategy'!$D$13,AND('Debt strategy'!$D$10='Debt strategy'!$D$13,1&lt;4))),1,0),IF(AND(O114+P114-Q114&gt;0,OR('Debt strategy'!$D$11&gt;'Debt strategy'!$D$13,AND('Debt strategy'!$D$11='Debt strategy'!$D$13,2&lt;4))),1,0),IF(AND(U114+V114-W114&gt;0,OR('Debt strategy'!$D$12&gt;'Debt strategy'!$D$13,AND('Debt strategy'!$D$12='Debt strategy'!$D$13,3&lt;4))),1,0)))</x:f>
        <x:v>99</x:v>
      </x:c>
      <x:c r="AE114" s="6" t="n">
        <x:f>IF('Debt strategy'!$C$16&gt;0,0,MIN(AA114+AB114-AC114,MAX(0,'Debt strategy'!$C$5-SUM(E114,K114,Q114,W114,AC114)-SUM(IF(F114&lt;AD114,C114+D114-E114,0),IF(L114&lt;AD114,I114+J114-K114,0),IF(R114&lt;AD114,O114+P114-Q114,0),IF(X114&lt;AD114,U114+V114-W114,0)))))</x:f>
        <x:v>0</x:v>
      </x:c>
      <x:c r="AF114" s="6" t="n">
        <x:f>ROUND(MAX(0,AA114+AB114-AC114-AE114),2)</x:f>
        <x:v>0</x:v>
      </x:c>
      <x:c r="AG114" s="6" t="n">
        <x:f>SUM(H114,N114,T114,Z114,AF114)</x:f>
        <x:v>0</x:v>
      </x:c>
      <x:c r="AH114" s="6" t="n">
        <x:f>SUM(D114,J114,P114,V114,AB114)+AH113</x:f>
        <x:v>1220.8400000000001</x:v>
      </x:c>
      <x:c r="AI114" s="2"/>
    </x:row>
    <x:row r="115" ht="23" customHeight="1">
      <x:c r="B115" s="2" t="n">
        <x:f>107</x:f>
        <x:v>107</x:v>
      </x:c>
      <x:c r="C115" s="6" t="n">
        <x:f>H114</x:f>
        <x:v>0</x:v>
      </x:c>
      <x:c r="D115" s="6" t="n">
        <x:f>ROUND(C115*'Debt strategy'!$D$9/12,2)</x:f>
        <x:v>0</x:v>
      </x:c>
      <x:c r="E115" s="6" t="n">
        <x:f>MIN(C115+D115,'Debt strategy'!$E$9)</x:f>
        <x:v>0</x:v>
      </x:c>
      <x:c r="F115" s="27" t="n">
        <x:f>IF(C115+D115-E115&lt;=0,99,1+SUM(IF(AND(I115+J115-K115&gt;0,OR('Debt strategy'!$D$10&gt;'Debt strategy'!$D$9,AND('Debt strategy'!$D$10='Debt strategy'!$D$9,1&lt;0))),1,0),IF(AND(O115+P115-Q115&gt;0,OR('Debt strategy'!$D$11&gt;'Debt strategy'!$D$9,AND('Debt strategy'!$D$11='Debt strategy'!$D$9,2&lt;0))),1,0),IF(AND(U115+V115-W115&gt;0,OR('Debt strategy'!$D$12&gt;'Debt strategy'!$D$9,AND('Debt strategy'!$D$12='Debt strategy'!$D$9,3&lt;0))),1,0),IF(AND(AA115+AB115-AC115&gt;0,OR('Debt strategy'!$D$13&gt;'Debt strategy'!$D$9,AND('Debt strategy'!$D$13='Debt strategy'!$D$9,4&lt;0))),1,0)))</x:f>
        <x:v>99</x:v>
      </x:c>
      <x:c r="G115" s="6" t="n">
        <x:f>IF('Debt strategy'!$C$16&gt;0,0,MIN(C115+D115-E115,MAX(0,'Debt strategy'!$C$5-SUM(E115,K115,Q115,W115,AC115)-SUM(IF(L115&lt;F115,I115+J115-K115,0),IF(R115&lt;F115,O115+P115-Q115,0),IF(X115&lt;F115,U115+V115-W115,0),IF(AD115&lt;F115,AA115+AB115-AC115,0)))))</x:f>
        <x:v>0</x:v>
      </x:c>
      <x:c r="H115" s="6" t="n">
        <x:f>ROUND(MAX(0,C115+D115-E115-G115),2)</x:f>
        <x:v>0</x:v>
      </x:c>
      <x:c r="I115" s="6" t="n">
        <x:f>N114</x:f>
        <x:v>0</x:v>
      </x:c>
      <x:c r="J115" s="6" t="n">
        <x:f>ROUND(I115*'Debt strategy'!$D$10/12,2)</x:f>
        <x:v>0</x:v>
      </x:c>
      <x:c r="K115" s="6" t="n">
        <x:f>MIN(I115+J115,'Debt strategy'!$E$10)</x:f>
        <x:v>0</x:v>
      </x:c>
      <x:c r="L115" s="27" t="n">
        <x:f>IF(I115+J115-K115&lt;=0,99,1+SUM(IF(AND(C115+D115-E115&gt;0,OR('Debt strategy'!$D$9&gt;'Debt strategy'!$D$10,AND('Debt strategy'!$D$9='Debt strategy'!$D$10,0&lt;1))),1,0),IF(AND(O115+P115-Q115&gt;0,OR('Debt strategy'!$D$11&gt;'Debt strategy'!$D$10,AND('Debt strategy'!$D$11='Debt strategy'!$D$10,2&lt;1))),1,0),IF(AND(U115+V115-W115&gt;0,OR('Debt strategy'!$D$12&gt;'Debt strategy'!$D$10,AND('Debt strategy'!$D$12='Debt strategy'!$D$10,3&lt;1))),1,0),IF(AND(AA115+AB115-AC115&gt;0,OR('Debt strategy'!$D$13&gt;'Debt strategy'!$D$10,AND('Debt strategy'!$D$13='Debt strategy'!$D$10,4&lt;1))),1,0)))</x:f>
        <x:v>99</x:v>
      </x:c>
      <x:c r="M115" s="6" t="n">
        <x:f>IF('Debt strategy'!$C$16&gt;0,0,MIN(I115+J115-K115,MAX(0,'Debt strategy'!$C$5-SUM(E115,K115,Q115,W115,AC115)-SUM(IF(F115&lt;L115,C115+D115-E115,0),IF(R115&lt;L115,O115+P115-Q115,0),IF(X115&lt;L115,U115+V115-W115,0),IF(AD115&lt;L115,AA115+AB115-AC115,0)))))</x:f>
        <x:v>0</x:v>
      </x:c>
      <x:c r="N115" s="6" t="n">
        <x:f>ROUND(MAX(0,I115+J115-K115-M115),2)</x:f>
        <x:v>0</x:v>
      </x:c>
      <x:c r="O115" s="6" t="n">
        <x:f>T114</x:f>
        <x:v>0</x:v>
      </x:c>
      <x:c r="P115" s="6" t="n">
        <x:f>ROUND(O115*'Debt strategy'!$D$11/12,2)</x:f>
        <x:v>0</x:v>
      </x:c>
      <x:c r="Q115" s="6" t="n">
        <x:f>MIN(O115+P115,'Debt strategy'!$E$11)</x:f>
        <x:v>0</x:v>
      </x:c>
      <x:c r="R115" s="27" t="n">
        <x:f>IF(O115+P115-Q115&lt;=0,99,1+SUM(IF(AND(C115+D115-E115&gt;0,OR('Debt strategy'!$D$9&gt;'Debt strategy'!$D$11,AND('Debt strategy'!$D$9='Debt strategy'!$D$11,0&lt;2))),1,0),IF(AND(I115+J115-K115&gt;0,OR('Debt strategy'!$D$10&gt;'Debt strategy'!$D$11,AND('Debt strategy'!$D$10='Debt strategy'!$D$11,1&lt;2))),1,0),IF(AND(U115+V115-W115&gt;0,OR('Debt strategy'!$D$12&gt;'Debt strategy'!$D$11,AND('Debt strategy'!$D$12='Debt strategy'!$D$11,3&lt;2))),1,0),IF(AND(AA115+AB115-AC115&gt;0,OR('Debt strategy'!$D$13&gt;'Debt strategy'!$D$11,AND('Debt strategy'!$D$13='Debt strategy'!$D$11,4&lt;2))),1,0)))</x:f>
        <x:v>99</x:v>
      </x:c>
      <x:c r="S115" s="6" t="n">
        <x:f>IF('Debt strategy'!$C$16&gt;0,0,MIN(O115+P115-Q115,MAX(0,'Debt strategy'!$C$5-SUM(E115,K115,Q115,W115,AC115)-SUM(IF(F115&lt;R115,C115+D115-E115,0),IF(L115&lt;R115,I115+J115-K115,0),IF(X115&lt;R115,U115+V115-W115,0),IF(AD115&lt;R115,AA115+AB115-AC115,0)))))</x:f>
        <x:v>0</x:v>
      </x:c>
      <x:c r="T115" s="6" t="n">
        <x:f>ROUND(MAX(0,O115+P115-Q115-S115),2)</x:f>
        <x:v>0</x:v>
      </x:c>
      <x:c r="U115" s="6" t="n">
        <x:f>Z114</x:f>
        <x:v>0</x:v>
      </x:c>
      <x:c r="V115" s="6" t="n">
        <x:f>ROUND(U115*'Debt strategy'!$D$12/12,2)</x:f>
        <x:v>0</x:v>
      </x:c>
      <x:c r="W115" s="6" t="n">
        <x:f>MIN(U115+V115,'Debt strategy'!$E$12)</x:f>
        <x:v>0</x:v>
      </x:c>
      <x:c r="X115" s="27" t="n">
        <x:f>IF(U115+V115-W115&lt;=0,99,1+SUM(IF(AND(C115+D115-E115&gt;0,OR('Debt strategy'!$D$9&gt;'Debt strategy'!$D$12,AND('Debt strategy'!$D$9='Debt strategy'!$D$12,0&lt;3))),1,0),IF(AND(I115+J115-K115&gt;0,OR('Debt strategy'!$D$10&gt;'Debt strategy'!$D$12,AND('Debt strategy'!$D$10='Debt strategy'!$D$12,1&lt;3))),1,0),IF(AND(O115+P115-Q115&gt;0,OR('Debt strategy'!$D$11&gt;'Debt strategy'!$D$12,AND('Debt strategy'!$D$11='Debt strategy'!$D$12,2&lt;3))),1,0),IF(AND(AA115+AB115-AC115&gt;0,OR('Debt strategy'!$D$13&gt;'Debt strategy'!$D$12,AND('Debt strategy'!$D$13='Debt strategy'!$D$12,4&lt;3))),1,0)))</x:f>
        <x:v>99</x:v>
      </x:c>
      <x:c r="Y115" s="6" t="n">
        <x:f>IF('Debt strategy'!$C$16&gt;0,0,MIN(U115+V115-W115,MAX(0,'Debt strategy'!$C$5-SUM(E115,K115,Q115,W115,AC115)-SUM(IF(F115&lt;X115,C115+D115-E115,0),IF(L115&lt;X115,I115+J115-K115,0),IF(R115&lt;X115,O115+P115-Q115,0),IF(AD115&lt;X115,AA115+AB115-AC115,0)))))</x:f>
        <x:v>0</x:v>
      </x:c>
      <x:c r="Z115" s="6" t="n">
        <x:f>ROUND(MAX(0,U115+V115-W115-Y115),2)</x:f>
        <x:v>0</x:v>
      </x:c>
      <x:c r="AA115" s="6" t="n">
        <x:f>AF114</x:f>
        <x:v>0</x:v>
      </x:c>
      <x:c r="AB115" s="6" t="n">
        <x:f>ROUND(AA115*'Debt strategy'!$D$13/12,2)</x:f>
        <x:v>0</x:v>
      </x:c>
      <x:c r="AC115" s="6" t="n">
        <x:f>MIN(AA115+AB115,'Debt strategy'!$E$13)</x:f>
        <x:v>0</x:v>
      </x:c>
      <x:c r="AD115" s="27" t="n">
        <x:f>IF(AA115+AB115-AC115&lt;=0,99,1+SUM(IF(AND(C115+D115-E115&gt;0,OR('Debt strategy'!$D$9&gt;'Debt strategy'!$D$13,AND('Debt strategy'!$D$9='Debt strategy'!$D$13,0&lt;4))),1,0),IF(AND(I115+J115-K115&gt;0,OR('Debt strategy'!$D$10&gt;'Debt strategy'!$D$13,AND('Debt strategy'!$D$10='Debt strategy'!$D$13,1&lt;4))),1,0),IF(AND(O115+P115-Q115&gt;0,OR('Debt strategy'!$D$11&gt;'Debt strategy'!$D$13,AND('Debt strategy'!$D$11='Debt strategy'!$D$13,2&lt;4))),1,0),IF(AND(U115+V115-W115&gt;0,OR('Debt strategy'!$D$12&gt;'Debt strategy'!$D$13,AND('Debt strategy'!$D$12='Debt strategy'!$D$13,3&lt;4))),1,0)))</x:f>
        <x:v>99</x:v>
      </x:c>
      <x:c r="AE115" s="6" t="n">
        <x:f>IF('Debt strategy'!$C$16&gt;0,0,MIN(AA115+AB115-AC115,MAX(0,'Debt strategy'!$C$5-SUM(E115,K115,Q115,W115,AC115)-SUM(IF(F115&lt;AD115,C115+D115-E115,0),IF(L115&lt;AD115,I115+J115-K115,0),IF(R115&lt;AD115,O115+P115-Q115,0),IF(X115&lt;AD115,U115+V115-W115,0)))))</x:f>
        <x:v>0</x:v>
      </x:c>
      <x:c r="AF115" s="6" t="n">
        <x:f>ROUND(MAX(0,AA115+AB115-AC115-AE115),2)</x:f>
        <x:v>0</x:v>
      </x:c>
      <x:c r="AG115" s="6" t="n">
        <x:f>SUM(H115,N115,T115,Z115,AF115)</x:f>
        <x:v>0</x:v>
      </x:c>
      <x:c r="AH115" s="6" t="n">
        <x:f>SUM(D115,J115,P115,V115,AB115)+AH114</x:f>
        <x:v>1220.8400000000001</x:v>
      </x:c>
      <x:c r="AI115" s="2"/>
    </x:row>
    <x:row r="116" ht="23" customHeight="1">
      <x:c r="B116" s="2" t="n">
        <x:f>108</x:f>
        <x:v>108</x:v>
      </x:c>
      <x:c r="C116" s="6" t="n">
        <x:f>H115</x:f>
        <x:v>0</x:v>
      </x:c>
      <x:c r="D116" s="6" t="n">
        <x:f>ROUND(C116*'Debt strategy'!$D$9/12,2)</x:f>
        <x:v>0</x:v>
      </x:c>
      <x:c r="E116" s="6" t="n">
        <x:f>MIN(C116+D116,'Debt strategy'!$E$9)</x:f>
        <x:v>0</x:v>
      </x:c>
      <x:c r="F116" s="27" t="n">
        <x:f>IF(C116+D116-E116&lt;=0,99,1+SUM(IF(AND(I116+J116-K116&gt;0,OR('Debt strategy'!$D$10&gt;'Debt strategy'!$D$9,AND('Debt strategy'!$D$10='Debt strategy'!$D$9,1&lt;0))),1,0),IF(AND(O116+P116-Q116&gt;0,OR('Debt strategy'!$D$11&gt;'Debt strategy'!$D$9,AND('Debt strategy'!$D$11='Debt strategy'!$D$9,2&lt;0))),1,0),IF(AND(U116+V116-W116&gt;0,OR('Debt strategy'!$D$12&gt;'Debt strategy'!$D$9,AND('Debt strategy'!$D$12='Debt strategy'!$D$9,3&lt;0))),1,0),IF(AND(AA116+AB116-AC116&gt;0,OR('Debt strategy'!$D$13&gt;'Debt strategy'!$D$9,AND('Debt strategy'!$D$13='Debt strategy'!$D$9,4&lt;0))),1,0)))</x:f>
        <x:v>99</x:v>
      </x:c>
      <x:c r="G116" s="6" t="n">
        <x:f>IF('Debt strategy'!$C$16&gt;0,0,MIN(C116+D116-E116,MAX(0,'Debt strategy'!$C$5-SUM(E116,K116,Q116,W116,AC116)-SUM(IF(L116&lt;F116,I116+J116-K116,0),IF(R116&lt;F116,O116+P116-Q116,0),IF(X116&lt;F116,U116+V116-W116,0),IF(AD116&lt;F116,AA116+AB116-AC116,0)))))</x:f>
        <x:v>0</x:v>
      </x:c>
      <x:c r="H116" s="6" t="n">
        <x:f>ROUND(MAX(0,C116+D116-E116-G116),2)</x:f>
        <x:v>0</x:v>
      </x:c>
      <x:c r="I116" s="6" t="n">
        <x:f>N115</x:f>
        <x:v>0</x:v>
      </x:c>
      <x:c r="J116" s="6" t="n">
        <x:f>ROUND(I116*'Debt strategy'!$D$10/12,2)</x:f>
        <x:v>0</x:v>
      </x:c>
      <x:c r="K116" s="6" t="n">
        <x:f>MIN(I116+J116,'Debt strategy'!$E$10)</x:f>
        <x:v>0</x:v>
      </x:c>
      <x:c r="L116" s="27" t="n">
        <x:f>IF(I116+J116-K116&lt;=0,99,1+SUM(IF(AND(C116+D116-E116&gt;0,OR('Debt strategy'!$D$9&gt;'Debt strategy'!$D$10,AND('Debt strategy'!$D$9='Debt strategy'!$D$10,0&lt;1))),1,0),IF(AND(O116+P116-Q116&gt;0,OR('Debt strategy'!$D$11&gt;'Debt strategy'!$D$10,AND('Debt strategy'!$D$11='Debt strategy'!$D$10,2&lt;1))),1,0),IF(AND(U116+V116-W116&gt;0,OR('Debt strategy'!$D$12&gt;'Debt strategy'!$D$10,AND('Debt strategy'!$D$12='Debt strategy'!$D$10,3&lt;1))),1,0),IF(AND(AA116+AB116-AC116&gt;0,OR('Debt strategy'!$D$13&gt;'Debt strategy'!$D$10,AND('Debt strategy'!$D$13='Debt strategy'!$D$10,4&lt;1))),1,0)))</x:f>
        <x:v>99</x:v>
      </x:c>
      <x:c r="M116" s="6" t="n">
        <x:f>IF('Debt strategy'!$C$16&gt;0,0,MIN(I116+J116-K116,MAX(0,'Debt strategy'!$C$5-SUM(E116,K116,Q116,W116,AC116)-SUM(IF(F116&lt;L116,C116+D116-E116,0),IF(R116&lt;L116,O116+P116-Q116,0),IF(X116&lt;L116,U116+V116-W116,0),IF(AD116&lt;L116,AA116+AB116-AC116,0)))))</x:f>
        <x:v>0</x:v>
      </x:c>
      <x:c r="N116" s="6" t="n">
        <x:f>ROUND(MAX(0,I116+J116-K116-M116),2)</x:f>
        <x:v>0</x:v>
      </x:c>
      <x:c r="O116" s="6" t="n">
        <x:f>T115</x:f>
        <x:v>0</x:v>
      </x:c>
      <x:c r="P116" s="6" t="n">
        <x:f>ROUND(O116*'Debt strategy'!$D$11/12,2)</x:f>
        <x:v>0</x:v>
      </x:c>
      <x:c r="Q116" s="6" t="n">
        <x:f>MIN(O116+P116,'Debt strategy'!$E$11)</x:f>
        <x:v>0</x:v>
      </x:c>
      <x:c r="R116" s="27" t="n">
        <x:f>IF(O116+P116-Q116&lt;=0,99,1+SUM(IF(AND(C116+D116-E116&gt;0,OR('Debt strategy'!$D$9&gt;'Debt strategy'!$D$11,AND('Debt strategy'!$D$9='Debt strategy'!$D$11,0&lt;2))),1,0),IF(AND(I116+J116-K116&gt;0,OR('Debt strategy'!$D$10&gt;'Debt strategy'!$D$11,AND('Debt strategy'!$D$10='Debt strategy'!$D$11,1&lt;2))),1,0),IF(AND(U116+V116-W116&gt;0,OR('Debt strategy'!$D$12&gt;'Debt strategy'!$D$11,AND('Debt strategy'!$D$12='Debt strategy'!$D$11,3&lt;2))),1,0),IF(AND(AA116+AB116-AC116&gt;0,OR('Debt strategy'!$D$13&gt;'Debt strategy'!$D$11,AND('Debt strategy'!$D$13='Debt strategy'!$D$11,4&lt;2))),1,0)))</x:f>
        <x:v>99</x:v>
      </x:c>
      <x:c r="S116" s="6" t="n">
        <x:f>IF('Debt strategy'!$C$16&gt;0,0,MIN(O116+P116-Q116,MAX(0,'Debt strategy'!$C$5-SUM(E116,K116,Q116,W116,AC116)-SUM(IF(F116&lt;R116,C116+D116-E116,0),IF(L116&lt;R116,I116+J116-K116,0),IF(X116&lt;R116,U116+V116-W116,0),IF(AD116&lt;R116,AA116+AB116-AC116,0)))))</x:f>
        <x:v>0</x:v>
      </x:c>
      <x:c r="T116" s="6" t="n">
        <x:f>ROUND(MAX(0,O116+P116-Q116-S116),2)</x:f>
        <x:v>0</x:v>
      </x:c>
      <x:c r="U116" s="6" t="n">
        <x:f>Z115</x:f>
        <x:v>0</x:v>
      </x:c>
      <x:c r="V116" s="6" t="n">
        <x:f>ROUND(U116*'Debt strategy'!$D$12/12,2)</x:f>
        <x:v>0</x:v>
      </x:c>
      <x:c r="W116" s="6" t="n">
        <x:f>MIN(U116+V116,'Debt strategy'!$E$12)</x:f>
        <x:v>0</x:v>
      </x:c>
      <x:c r="X116" s="27" t="n">
        <x:f>IF(U116+V116-W116&lt;=0,99,1+SUM(IF(AND(C116+D116-E116&gt;0,OR('Debt strategy'!$D$9&gt;'Debt strategy'!$D$12,AND('Debt strategy'!$D$9='Debt strategy'!$D$12,0&lt;3))),1,0),IF(AND(I116+J116-K116&gt;0,OR('Debt strategy'!$D$10&gt;'Debt strategy'!$D$12,AND('Debt strategy'!$D$10='Debt strategy'!$D$12,1&lt;3))),1,0),IF(AND(O116+P116-Q116&gt;0,OR('Debt strategy'!$D$11&gt;'Debt strategy'!$D$12,AND('Debt strategy'!$D$11='Debt strategy'!$D$12,2&lt;3))),1,0),IF(AND(AA116+AB116-AC116&gt;0,OR('Debt strategy'!$D$13&gt;'Debt strategy'!$D$12,AND('Debt strategy'!$D$13='Debt strategy'!$D$12,4&lt;3))),1,0)))</x:f>
        <x:v>99</x:v>
      </x:c>
      <x:c r="Y116" s="6" t="n">
        <x:f>IF('Debt strategy'!$C$16&gt;0,0,MIN(U116+V116-W116,MAX(0,'Debt strategy'!$C$5-SUM(E116,K116,Q116,W116,AC116)-SUM(IF(F116&lt;X116,C116+D116-E116,0),IF(L116&lt;X116,I116+J116-K116,0),IF(R116&lt;X116,O116+P116-Q116,0),IF(AD116&lt;X116,AA116+AB116-AC116,0)))))</x:f>
        <x:v>0</x:v>
      </x:c>
      <x:c r="Z116" s="6" t="n">
        <x:f>ROUND(MAX(0,U116+V116-W116-Y116),2)</x:f>
        <x:v>0</x:v>
      </x:c>
      <x:c r="AA116" s="6" t="n">
        <x:f>AF115</x:f>
        <x:v>0</x:v>
      </x:c>
      <x:c r="AB116" s="6" t="n">
        <x:f>ROUND(AA116*'Debt strategy'!$D$13/12,2)</x:f>
        <x:v>0</x:v>
      </x:c>
      <x:c r="AC116" s="6" t="n">
        <x:f>MIN(AA116+AB116,'Debt strategy'!$E$13)</x:f>
        <x:v>0</x:v>
      </x:c>
      <x:c r="AD116" s="27" t="n">
        <x:f>IF(AA116+AB116-AC116&lt;=0,99,1+SUM(IF(AND(C116+D116-E116&gt;0,OR('Debt strategy'!$D$9&gt;'Debt strategy'!$D$13,AND('Debt strategy'!$D$9='Debt strategy'!$D$13,0&lt;4))),1,0),IF(AND(I116+J116-K116&gt;0,OR('Debt strategy'!$D$10&gt;'Debt strategy'!$D$13,AND('Debt strategy'!$D$10='Debt strategy'!$D$13,1&lt;4))),1,0),IF(AND(O116+P116-Q116&gt;0,OR('Debt strategy'!$D$11&gt;'Debt strategy'!$D$13,AND('Debt strategy'!$D$11='Debt strategy'!$D$13,2&lt;4))),1,0),IF(AND(U116+V116-W116&gt;0,OR('Debt strategy'!$D$12&gt;'Debt strategy'!$D$13,AND('Debt strategy'!$D$12='Debt strategy'!$D$13,3&lt;4))),1,0)))</x:f>
        <x:v>99</x:v>
      </x:c>
      <x:c r="AE116" s="6" t="n">
        <x:f>IF('Debt strategy'!$C$16&gt;0,0,MIN(AA116+AB116-AC116,MAX(0,'Debt strategy'!$C$5-SUM(E116,K116,Q116,W116,AC116)-SUM(IF(F116&lt;AD116,C116+D116-E116,0),IF(L116&lt;AD116,I116+J116-K116,0),IF(R116&lt;AD116,O116+P116-Q116,0),IF(X116&lt;AD116,U116+V116-W116,0)))))</x:f>
        <x:v>0</x:v>
      </x:c>
      <x:c r="AF116" s="6" t="n">
        <x:f>ROUND(MAX(0,AA116+AB116-AC116-AE116),2)</x:f>
        <x:v>0</x:v>
      </x:c>
      <x:c r="AG116" s="6" t="n">
        <x:f>SUM(H116,N116,T116,Z116,AF116)</x:f>
        <x:v>0</x:v>
      </x:c>
      <x:c r="AH116" s="6" t="n">
        <x:f>SUM(D116,J116,P116,V116,AB116)+AH115</x:f>
        <x:v>1220.8400000000001</x:v>
      </x:c>
      <x:c r="AI116" s="2"/>
    </x:row>
    <x:row r="117" ht="23" customHeight="1">
      <x:c r="B117" s="2" t="n">
        <x:f>109</x:f>
        <x:v>109</x:v>
      </x:c>
      <x:c r="C117" s="6" t="n">
        <x:f>H116</x:f>
        <x:v>0</x:v>
      </x:c>
      <x:c r="D117" s="6" t="n">
        <x:f>ROUND(C117*'Debt strategy'!$D$9/12,2)</x:f>
        <x:v>0</x:v>
      </x:c>
      <x:c r="E117" s="6" t="n">
        <x:f>MIN(C117+D117,'Debt strategy'!$E$9)</x:f>
        <x:v>0</x:v>
      </x:c>
      <x:c r="F117" s="27" t="n">
        <x:f>IF(C117+D117-E117&lt;=0,99,1+SUM(IF(AND(I117+J117-K117&gt;0,OR('Debt strategy'!$D$10&gt;'Debt strategy'!$D$9,AND('Debt strategy'!$D$10='Debt strategy'!$D$9,1&lt;0))),1,0),IF(AND(O117+P117-Q117&gt;0,OR('Debt strategy'!$D$11&gt;'Debt strategy'!$D$9,AND('Debt strategy'!$D$11='Debt strategy'!$D$9,2&lt;0))),1,0),IF(AND(U117+V117-W117&gt;0,OR('Debt strategy'!$D$12&gt;'Debt strategy'!$D$9,AND('Debt strategy'!$D$12='Debt strategy'!$D$9,3&lt;0))),1,0),IF(AND(AA117+AB117-AC117&gt;0,OR('Debt strategy'!$D$13&gt;'Debt strategy'!$D$9,AND('Debt strategy'!$D$13='Debt strategy'!$D$9,4&lt;0))),1,0)))</x:f>
        <x:v>99</x:v>
      </x:c>
      <x:c r="G117" s="6" t="n">
        <x:f>IF('Debt strategy'!$C$16&gt;0,0,MIN(C117+D117-E117,MAX(0,'Debt strategy'!$C$5-SUM(E117,K117,Q117,W117,AC117)-SUM(IF(L117&lt;F117,I117+J117-K117,0),IF(R117&lt;F117,O117+P117-Q117,0),IF(X117&lt;F117,U117+V117-W117,0),IF(AD117&lt;F117,AA117+AB117-AC117,0)))))</x:f>
        <x:v>0</x:v>
      </x:c>
      <x:c r="H117" s="6" t="n">
        <x:f>ROUND(MAX(0,C117+D117-E117-G117),2)</x:f>
        <x:v>0</x:v>
      </x:c>
      <x:c r="I117" s="6" t="n">
        <x:f>N116</x:f>
        <x:v>0</x:v>
      </x:c>
      <x:c r="J117" s="6" t="n">
        <x:f>ROUND(I117*'Debt strategy'!$D$10/12,2)</x:f>
        <x:v>0</x:v>
      </x:c>
      <x:c r="K117" s="6" t="n">
        <x:f>MIN(I117+J117,'Debt strategy'!$E$10)</x:f>
        <x:v>0</x:v>
      </x:c>
      <x:c r="L117" s="27" t="n">
        <x:f>IF(I117+J117-K117&lt;=0,99,1+SUM(IF(AND(C117+D117-E117&gt;0,OR('Debt strategy'!$D$9&gt;'Debt strategy'!$D$10,AND('Debt strategy'!$D$9='Debt strategy'!$D$10,0&lt;1))),1,0),IF(AND(O117+P117-Q117&gt;0,OR('Debt strategy'!$D$11&gt;'Debt strategy'!$D$10,AND('Debt strategy'!$D$11='Debt strategy'!$D$10,2&lt;1))),1,0),IF(AND(U117+V117-W117&gt;0,OR('Debt strategy'!$D$12&gt;'Debt strategy'!$D$10,AND('Debt strategy'!$D$12='Debt strategy'!$D$10,3&lt;1))),1,0),IF(AND(AA117+AB117-AC117&gt;0,OR('Debt strategy'!$D$13&gt;'Debt strategy'!$D$10,AND('Debt strategy'!$D$13='Debt strategy'!$D$10,4&lt;1))),1,0)))</x:f>
        <x:v>99</x:v>
      </x:c>
      <x:c r="M117" s="6" t="n">
        <x:f>IF('Debt strategy'!$C$16&gt;0,0,MIN(I117+J117-K117,MAX(0,'Debt strategy'!$C$5-SUM(E117,K117,Q117,W117,AC117)-SUM(IF(F117&lt;L117,C117+D117-E117,0),IF(R117&lt;L117,O117+P117-Q117,0),IF(X117&lt;L117,U117+V117-W117,0),IF(AD117&lt;L117,AA117+AB117-AC117,0)))))</x:f>
        <x:v>0</x:v>
      </x:c>
      <x:c r="N117" s="6" t="n">
        <x:f>ROUND(MAX(0,I117+J117-K117-M117),2)</x:f>
        <x:v>0</x:v>
      </x:c>
      <x:c r="O117" s="6" t="n">
        <x:f>T116</x:f>
        <x:v>0</x:v>
      </x:c>
      <x:c r="P117" s="6" t="n">
        <x:f>ROUND(O117*'Debt strategy'!$D$11/12,2)</x:f>
        <x:v>0</x:v>
      </x:c>
      <x:c r="Q117" s="6" t="n">
        <x:f>MIN(O117+P117,'Debt strategy'!$E$11)</x:f>
        <x:v>0</x:v>
      </x:c>
      <x:c r="R117" s="27" t="n">
        <x:f>IF(O117+P117-Q117&lt;=0,99,1+SUM(IF(AND(C117+D117-E117&gt;0,OR('Debt strategy'!$D$9&gt;'Debt strategy'!$D$11,AND('Debt strategy'!$D$9='Debt strategy'!$D$11,0&lt;2))),1,0),IF(AND(I117+J117-K117&gt;0,OR('Debt strategy'!$D$10&gt;'Debt strategy'!$D$11,AND('Debt strategy'!$D$10='Debt strategy'!$D$11,1&lt;2))),1,0),IF(AND(U117+V117-W117&gt;0,OR('Debt strategy'!$D$12&gt;'Debt strategy'!$D$11,AND('Debt strategy'!$D$12='Debt strategy'!$D$11,3&lt;2))),1,0),IF(AND(AA117+AB117-AC117&gt;0,OR('Debt strategy'!$D$13&gt;'Debt strategy'!$D$11,AND('Debt strategy'!$D$13='Debt strategy'!$D$11,4&lt;2))),1,0)))</x:f>
        <x:v>99</x:v>
      </x:c>
      <x:c r="S117" s="6" t="n">
        <x:f>IF('Debt strategy'!$C$16&gt;0,0,MIN(O117+P117-Q117,MAX(0,'Debt strategy'!$C$5-SUM(E117,K117,Q117,W117,AC117)-SUM(IF(F117&lt;R117,C117+D117-E117,0),IF(L117&lt;R117,I117+J117-K117,0),IF(X117&lt;R117,U117+V117-W117,0),IF(AD117&lt;R117,AA117+AB117-AC117,0)))))</x:f>
        <x:v>0</x:v>
      </x:c>
      <x:c r="T117" s="6" t="n">
        <x:f>ROUND(MAX(0,O117+P117-Q117-S117),2)</x:f>
        <x:v>0</x:v>
      </x:c>
      <x:c r="U117" s="6" t="n">
        <x:f>Z116</x:f>
        <x:v>0</x:v>
      </x:c>
      <x:c r="V117" s="6" t="n">
        <x:f>ROUND(U117*'Debt strategy'!$D$12/12,2)</x:f>
        <x:v>0</x:v>
      </x:c>
      <x:c r="W117" s="6" t="n">
        <x:f>MIN(U117+V117,'Debt strategy'!$E$12)</x:f>
        <x:v>0</x:v>
      </x:c>
      <x:c r="X117" s="27" t="n">
        <x:f>IF(U117+V117-W117&lt;=0,99,1+SUM(IF(AND(C117+D117-E117&gt;0,OR('Debt strategy'!$D$9&gt;'Debt strategy'!$D$12,AND('Debt strategy'!$D$9='Debt strategy'!$D$12,0&lt;3))),1,0),IF(AND(I117+J117-K117&gt;0,OR('Debt strategy'!$D$10&gt;'Debt strategy'!$D$12,AND('Debt strategy'!$D$10='Debt strategy'!$D$12,1&lt;3))),1,0),IF(AND(O117+P117-Q117&gt;0,OR('Debt strategy'!$D$11&gt;'Debt strategy'!$D$12,AND('Debt strategy'!$D$11='Debt strategy'!$D$12,2&lt;3))),1,0),IF(AND(AA117+AB117-AC117&gt;0,OR('Debt strategy'!$D$13&gt;'Debt strategy'!$D$12,AND('Debt strategy'!$D$13='Debt strategy'!$D$12,4&lt;3))),1,0)))</x:f>
        <x:v>99</x:v>
      </x:c>
      <x:c r="Y117" s="6" t="n">
        <x:f>IF('Debt strategy'!$C$16&gt;0,0,MIN(U117+V117-W117,MAX(0,'Debt strategy'!$C$5-SUM(E117,K117,Q117,W117,AC117)-SUM(IF(F117&lt;X117,C117+D117-E117,0),IF(L117&lt;X117,I117+J117-K117,0),IF(R117&lt;X117,O117+P117-Q117,0),IF(AD117&lt;X117,AA117+AB117-AC117,0)))))</x:f>
        <x:v>0</x:v>
      </x:c>
      <x:c r="Z117" s="6" t="n">
        <x:f>ROUND(MAX(0,U117+V117-W117-Y117),2)</x:f>
        <x:v>0</x:v>
      </x:c>
      <x:c r="AA117" s="6" t="n">
        <x:f>AF116</x:f>
        <x:v>0</x:v>
      </x:c>
      <x:c r="AB117" s="6" t="n">
        <x:f>ROUND(AA117*'Debt strategy'!$D$13/12,2)</x:f>
        <x:v>0</x:v>
      </x:c>
      <x:c r="AC117" s="6" t="n">
        <x:f>MIN(AA117+AB117,'Debt strategy'!$E$13)</x:f>
        <x:v>0</x:v>
      </x:c>
      <x:c r="AD117" s="27" t="n">
        <x:f>IF(AA117+AB117-AC117&lt;=0,99,1+SUM(IF(AND(C117+D117-E117&gt;0,OR('Debt strategy'!$D$9&gt;'Debt strategy'!$D$13,AND('Debt strategy'!$D$9='Debt strategy'!$D$13,0&lt;4))),1,0),IF(AND(I117+J117-K117&gt;0,OR('Debt strategy'!$D$10&gt;'Debt strategy'!$D$13,AND('Debt strategy'!$D$10='Debt strategy'!$D$13,1&lt;4))),1,0),IF(AND(O117+P117-Q117&gt;0,OR('Debt strategy'!$D$11&gt;'Debt strategy'!$D$13,AND('Debt strategy'!$D$11='Debt strategy'!$D$13,2&lt;4))),1,0),IF(AND(U117+V117-W117&gt;0,OR('Debt strategy'!$D$12&gt;'Debt strategy'!$D$13,AND('Debt strategy'!$D$12='Debt strategy'!$D$13,3&lt;4))),1,0)))</x:f>
        <x:v>99</x:v>
      </x:c>
      <x:c r="AE117" s="6" t="n">
        <x:f>IF('Debt strategy'!$C$16&gt;0,0,MIN(AA117+AB117-AC117,MAX(0,'Debt strategy'!$C$5-SUM(E117,K117,Q117,W117,AC117)-SUM(IF(F117&lt;AD117,C117+D117-E117,0),IF(L117&lt;AD117,I117+J117-K117,0),IF(R117&lt;AD117,O117+P117-Q117,0),IF(X117&lt;AD117,U117+V117-W117,0)))))</x:f>
        <x:v>0</x:v>
      </x:c>
      <x:c r="AF117" s="6" t="n">
        <x:f>ROUND(MAX(0,AA117+AB117-AC117-AE117),2)</x:f>
        <x:v>0</x:v>
      </x:c>
      <x:c r="AG117" s="6" t="n">
        <x:f>SUM(H117,N117,T117,Z117,AF117)</x:f>
        <x:v>0</x:v>
      </x:c>
      <x:c r="AH117" s="6" t="n">
        <x:f>SUM(D117,J117,P117,V117,AB117)+AH116</x:f>
        <x:v>1220.8400000000001</x:v>
      </x:c>
      <x:c r="AI117" s="2"/>
    </x:row>
    <x:row r="118" ht="23" customHeight="1">
      <x:c r="B118" s="2" t="n">
        <x:f>110</x:f>
        <x:v>110</x:v>
      </x:c>
      <x:c r="C118" s="6" t="n">
        <x:f>H117</x:f>
        <x:v>0</x:v>
      </x:c>
      <x:c r="D118" s="6" t="n">
        <x:f>ROUND(C118*'Debt strategy'!$D$9/12,2)</x:f>
        <x:v>0</x:v>
      </x:c>
      <x:c r="E118" s="6" t="n">
        <x:f>MIN(C118+D118,'Debt strategy'!$E$9)</x:f>
        <x:v>0</x:v>
      </x:c>
      <x:c r="F118" s="27" t="n">
        <x:f>IF(C118+D118-E118&lt;=0,99,1+SUM(IF(AND(I118+J118-K118&gt;0,OR('Debt strategy'!$D$10&gt;'Debt strategy'!$D$9,AND('Debt strategy'!$D$10='Debt strategy'!$D$9,1&lt;0))),1,0),IF(AND(O118+P118-Q118&gt;0,OR('Debt strategy'!$D$11&gt;'Debt strategy'!$D$9,AND('Debt strategy'!$D$11='Debt strategy'!$D$9,2&lt;0))),1,0),IF(AND(U118+V118-W118&gt;0,OR('Debt strategy'!$D$12&gt;'Debt strategy'!$D$9,AND('Debt strategy'!$D$12='Debt strategy'!$D$9,3&lt;0))),1,0),IF(AND(AA118+AB118-AC118&gt;0,OR('Debt strategy'!$D$13&gt;'Debt strategy'!$D$9,AND('Debt strategy'!$D$13='Debt strategy'!$D$9,4&lt;0))),1,0)))</x:f>
        <x:v>99</x:v>
      </x:c>
      <x:c r="G118" s="6" t="n">
        <x:f>IF('Debt strategy'!$C$16&gt;0,0,MIN(C118+D118-E118,MAX(0,'Debt strategy'!$C$5-SUM(E118,K118,Q118,W118,AC118)-SUM(IF(L118&lt;F118,I118+J118-K118,0),IF(R118&lt;F118,O118+P118-Q118,0),IF(X118&lt;F118,U118+V118-W118,0),IF(AD118&lt;F118,AA118+AB118-AC118,0)))))</x:f>
        <x:v>0</x:v>
      </x:c>
      <x:c r="H118" s="6" t="n">
        <x:f>ROUND(MAX(0,C118+D118-E118-G118),2)</x:f>
        <x:v>0</x:v>
      </x:c>
      <x:c r="I118" s="6" t="n">
        <x:f>N117</x:f>
        <x:v>0</x:v>
      </x:c>
      <x:c r="J118" s="6" t="n">
        <x:f>ROUND(I118*'Debt strategy'!$D$10/12,2)</x:f>
        <x:v>0</x:v>
      </x:c>
      <x:c r="K118" s="6" t="n">
        <x:f>MIN(I118+J118,'Debt strategy'!$E$10)</x:f>
        <x:v>0</x:v>
      </x:c>
      <x:c r="L118" s="27" t="n">
        <x:f>IF(I118+J118-K118&lt;=0,99,1+SUM(IF(AND(C118+D118-E118&gt;0,OR('Debt strategy'!$D$9&gt;'Debt strategy'!$D$10,AND('Debt strategy'!$D$9='Debt strategy'!$D$10,0&lt;1))),1,0),IF(AND(O118+P118-Q118&gt;0,OR('Debt strategy'!$D$11&gt;'Debt strategy'!$D$10,AND('Debt strategy'!$D$11='Debt strategy'!$D$10,2&lt;1))),1,0),IF(AND(U118+V118-W118&gt;0,OR('Debt strategy'!$D$12&gt;'Debt strategy'!$D$10,AND('Debt strategy'!$D$12='Debt strategy'!$D$10,3&lt;1))),1,0),IF(AND(AA118+AB118-AC118&gt;0,OR('Debt strategy'!$D$13&gt;'Debt strategy'!$D$10,AND('Debt strategy'!$D$13='Debt strategy'!$D$10,4&lt;1))),1,0)))</x:f>
        <x:v>99</x:v>
      </x:c>
      <x:c r="M118" s="6" t="n">
        <x:f>IF('Debt strategy'!$C$16&gt;0,0,MIN(I118+J118-K118,MAX(0,'Debt strategy'!$C$5-SUM(E118,K118,Q118,W118,AC118)-SUM(IF(F118&lt;L118,C118+D118-E118,0),IF(R118&lt;L118,O118+P118-Q118,0),IF(X118&lt;L118,U118+V118-W118,0),IF(AD118&lt;L118,AA118+AB118-AC118,0)))))</x:f>
        <x:v>0</x:v>
      </x:c>
      <x:c r="N118" s="6" t="n">
        <x:f>ROUND(MAX(0,I118+J118-K118-M118),2)</x:f>
        <x:v>0</x:v>
      </x:c>
      <x:c r="O118" s="6" t="n">
        <x:f>T117</x:f>
        <x:v>0</x:v>
      </x:c>
      <x:c r="P118" s="6" t="n">
        <x:f>ROUND(O118*'Debt strategy'!$D$11/12,2)</x:f>
        <x:v>0</x:v>
      </x:c>
      <x:c r="Q118" s="6" t="n">
        <x:f>MIN(O118+P118,'Debt strategy'!$E$11)</x:f>
        <x:v>0</x:v>
      </x:c>
      <x:c r="R118" s="27" t="n">
        <x:f>IF(O118+P118-Q118&lt;=0,99,1+SUM(IF(AND(C118+D118-E118&gt;0,OR('Debt strategy'!$D$9&gt;'Debt strategy'!$D$11,AND('Debt strategy'!$D$9='Debt strategy'!$D$11,0&lt;2))),1,0),IF(AND(I118+J118-K118&gt;0,OR('Debt strategy'!$D$10&gt;'Debt strategy'!$D$11,AND('Debt strategy'!$D$10='Debt strategy'!$D$11,1&lt;2))),1,0),IF(AND(U118+V118-W118&gt;0,OR('Debt strategy'!$D$12&gt;'Debt strategy'!$D$11,AND('Debt strategy'!$D$12='Debt strategy'!$D$11,3&lt;2))),1,0),IF(AND(AA118+AB118-AC118&gt;0,OR('Debt strategy'!$D$13&gt;'Debt strategy'!$D$11,AND('Debt strategy'!$D$13='Debt strategy'!$D$11,4&lt;2))),1,0)))</x:f>
        <x:v>99</x:v>
      </x:c>
      <x:c r="S118" s="6" t="n">
        <x:f>IF('Debt strategy'!$C$16&gt;0,0,MIN(O118+P118-Q118,MAX(0,'Debt strategy'!$C$5-SUM(E118,K118,Q118,W118,AC118)-SUM(IF(F118&lt;R118,C118+D118-E118,0),IF(L118&lt;R118,I118+J118-K118,0),IF(X118&lt;R118,U118+V118-W118,0),IF(AD118&lt;R118,AA118+AB118-AC118,0)))))</x:f>
        <x:v>0</x:v>
      </x:c>
      <x:c r="T118" s="6" t="n">
        <x:f>ROUND(MAX(0,O118+P118-Q118-S118),2)</x:f>
        <x:v>0</x:v>
      </x:c>
      <x:c r="U118" s="6" t="n">
        <x:f>Z117</x:f>
        <x:v>0</x:v>
      </x:c>
      <x:c r="V118" s="6" t="n">
        <x:f>ROUND(U118*'Debt strategy'!$D$12/12,2)</x:f>
        <x:v>0</x:v>
      </x:c>
      <x:c r="W118" s="6" t="n">
        <x:f>MIN(U118+V118,'Debt strategy'!$E$12)</x:f>
        <x:v>0</x:v>
      </x:c>
      <x:c r="X118" s="27" t="n">
        <x:f>IF(U118+V118-W118&lt;=0,99,1+SUM(IF(AND(C118+D118-E118&gt;0,OR('Debt strategy'!$D$9&gt;'Debt strategy'!$D$12,AND('Debt strategy'!$D$9='Debt strategy'!$D$12,0&lt;3))),1,0),IF(AND(I118+J118-K118&gt;0,OR('Debt strategy'!$D$10&gt;'Debt strategy'!$D$12,AND('Debt strategy'!$D$10='Debt strategy'!$D$12,1&lt;3))),1,0),IF(AND(O118+P118-Q118&gt;0,OR('Debt strategy'!$D$11&gt;'Debt strategy'!$D$12,AND('Debt strategy'!$D$11='Debt strategy'!$D$12,2&lt;3))),1,0),IF(AND(AA118+AB118-AC118&gt;0,OR('Debt strategy'!$D$13&gt;'Debt strategy'!$D$12,AND('Debt strategy'!$D$13='Debt strategy'!$D$12,4&lt;3))),1,0)))</x:f>
        <x:v>99</x:v>
      </x:c>
      <x:c r="Y118" s="6" t="n">
        <x:f>IF('Debt strategy'!$C$16&gt;0,0,MIN(U118+V118-W118,MAX(0,'Debt strategy'!$C$5-SUM(E118,K118,Q118,W118,AC118)-SUM(IF(F118&lt;X118,C118+D118-E118,0),IF(L118&lt;X118,I118+J118-K118,0),IF(R118&lt;X118,O118+P118-Q118,0),IF(AD118&lt;X118,AA118+AB118-AC118,0)))))</x:f>
        <x:v>0</x:v>
      </x:c>
      <x:c r="Z118" s="6" t="n">
        <x:f>ROUND(MAX(0,U118+V118-W118-Y118),2)</x:f>
        <x:v>0</x:v>
      </x:c>
      <x:c r="AA118" s="6" t="n">
        <x:f>AF117</x:f>
        <x:v>0</x:v>
      </x:c>
      <x:c r="AB118" s="6" t="n">
        <x:f>ROUND(AA118*'Debt strategy'!$D$13/12,2)</x:f>
        <x:v>0</x:v>
      </x:c>
      <x:c r="AC118" s="6" t="n">
        <x:f>MIN(AA118+AB118,'Debt strategy'!$E$13)</x:f>
        <x:v>0</x:v>
      </x:c>
      <x:c r="AD118" s="27" t="n">
        <x:f>IF(AA118+AB118-AC118&lt;=0,99,1+SUM(IF(AND(C118+D118-E118&gt;0,OR('Debt strategy'!$D$9&gt;'Debt strategy'!$D$13,AND('Debt strategy'!$D$9='Debt strategy'!$D$13,0&lt;4))),1,0),IF(AND(I118+J118-K118&gt;0,OR('Debt strategy'!$D$10&gt;'Debt strategy'!$D$13,AND('Debt strategy'!$D$10='Debt strategy'!$D$13,1&lt;4))),1,0),IF(AND(O118+P118-Q118&gt;0,OR('Debt strategy'!$D$11&gt;'Debt strategy'!$D$13,AND('Debt strategy'!$D$11='Debt strategy'!$D$13,2&lt;4))),1,0),IF(AND(U118+V118-W118&gt;0,OR('Debt strategy'!$D$12&gt;'Debt strategy'!$D$13,AND('Debt strategy'!$D$12='Debt strategy'!$D$13,3&lt;4))),1,0)))</x:f>
        <x:v>99</x:v>
      </x:c>
      <x:c r="AE118" s="6" t="n">
        <x:f>IF('Debt strategy'!$C$16&gt;0,0,MIN(AA118+AB118-AC118,MAX(0,'Debt strategy'!$C$5-SUM(E118,K118,Q118,W118,AC118)-SUM(IF(F118&lt;AD118,C118+D118-E118,0),IF(L118&lt;AD118,I118+J118-K118,0),IF(R118&lt;AD118,O118+P118-Q118,0),IF(X118&lt;AD118,U118+V118-W118,0)))))</x:f>
        <x:v>0</x:v>
      </x:c>
      <x:c r="AF118" s="6" t="n">
        <x:f>ROUND(MAX(0,AA118+AB118-AC118-AE118),2)</x:f>
        <x:v>0</x:v>
      </x:c>
      <x:c r="AG118" s="6" t="n">
        <x:f>SUM(H118,N118,T118,Z118,AF118)</x:f>
        <x:v>0</x:v>
      </x:c>
      <x:c r="AH118" s="6" t="n">
        <x:f>SUM(D118,J118,P118,V118,AB118)+AH117</x:f>
        <x:v>1220.8400000000001</x:v>
      </x:c>
      <x:c r="AI118" s="2"/>
    </x:row>
    <x:row r="119" ht="23" customHeight="1">
      <x:c r="B119" s="2" t="n">
        <x:f>111</x:f>
        <x:v>111</x:v>
      </x:c>
      <x:c r="C119" s="6" t="n">
        <x:f>H118</x:f>
        <x:v>0</x:v>
      </x:c>
      <x:c r="D119" s="6" t="n">
        <x:f>ROUND(C119*'Debt strategy'!$D$9/12,2)</x:f>
        <x:v>0</x:v>
      </x:c>
      <x:c r="E119" s="6" t="n">
        <x:f>MIN(C119+D119,'Debt strategy'!$E$9)</x:f>
        <x:v>0</x:v>
      </x:c>
      <x:c r="F119" s="27" t="n">
        <x:f>IF(C119+D119-E119&lt;=0,99,1+SUM(IF(AND(I119+J119-K119&gt;0,OR('Debt strategy'!$D$10&gt;'Debt strategy'!$D$9,AND('Debt strategy'!$D$10='Debt strategy'!$D$9,1&lt;0))),1,0),IF(AND(O119+P119-Q119&gt;0,OR('Debt strategy'!$D$11&gt;'Debt strategy'!$D$9,AND('Debt strategy'!$D$11='Debt strategy'!$D$9,2&lt;0))),1,0),IF(AND(U119+V119-W119&gt;0,OR('Debt strategy'!$D$12&gt;'Debt strategy'!$D$9,AND('Debt strategy'!$D$12='Debt strategy'!$D$9,3&lt;0))),1,0),IF(AND(AA119+AB119-AC119&gt;0,OR('Debt strategy'!$D$13&gt;'Debt strategy'!$D$9,AND('Debt strategy'!$D$13='Debt strategy'!$D$9,4&lt;0))),1,0)))</x:f>
        <x:v>99</x:v>
      </x:c>
      <x:c r="G119" s="6" t="n">
        <x:f>IF('Debt strategy'!$C$16&gt;0,0,MIN(C119+D119-E119,MAX(0,'Debt strategy'!$C$5-SUM(E119,K119,Q119,W119,AC119)-SUM(IF(L119&lt;F119,I119+J119-K119,0),IF(R119&lt;F119,O119+P119-Q119,0),IF(X119&lt;F119,U119+V119-W119,0),IF(AD119&lt;F119,AA119+AB119-AC119,0)))))</x:f>
        <x:v>0</x:v>
      </x:c>
      <x:c r="H119" s="6" t="n">
        <x:f>ROUND(MAX(0,C119+D119-E119-G119),2)</x:f>
        <x:v>0</x:v>
      </x:c>
      <x:c r="I119" s="6" t="n">
        <x:f>N118</x:f>
        <x:v>0</x:v>
      </x:c>
      <x:c r="J119" s="6" t="n">
        <x:f>ROUND(I119*'Debt strategy'!$D$10/12,2)</x:f>
        <x:v>0</x:v>
      </x:c>
      <x:c r="K119" s="6" t="n">
        <x:f>MIN(I119+J119,'Debt strategy'!$E$10)</x:f>
        <x:v>0</x:v>
      </x:c>
      <x:c r="L119" s="27" t="n">
        <x:f>IF(I119+J119-K119&lt;=0,99,1+SUM(IF(AND(C119+D119-E119&gt;0,OR('Debt strategy'!$D$9&gt;'Debt strategy'!$D$10,AND('Debt strategy'!$D$9='Debt strategy'!$D$10,0&lt;1))),1,0),IF(AND(O119+P119-Q119&gt;0,OR('Debt strategy'!$D$11&gt;'Debt strategy'!$D$10,AND('Debt strategy'!$D$11='Debt strategy'!$D$10,2&lt;1))),1,0),IF(AND(U119+V119-W119&gt;0,OR('Debt strategy'!$D$12&gt;'Debt strategy'!$D$10,AND('Debt strategy'!$D$12='Debt strategy'!$D$10,3&lt;1))),1,0),IF(AND(AA119+AB119-AC119&gt;0,OR('Debt strategy'!$D$13&gt;'Debt strategy'!$D$10,AND('Debt strategy'!$D$13='Debt strategy'!$D$10,4&lt;1))),1,0)))</x:f>
        <x:v>99</x:v>
      </x:c>
      <x:c r="M119" s="6" t="n">
        <x:f>IF('Debt strategy'!$C$16&gt;0,0,MIN(I119+J119-K119,MAX(0,'Debt strategy'!$C$5-SUM(E119,K119,Q119,W119,AC119)-SUM(IF(F119&lt;L119,C119+D119-E119,0),IF(R119&lt;L119,O119+P119-Q119,0),IF(X119&lt;L119,U119+V119-W119,0),IF(AD119&lt;L119,AA119+AB119-AC119,0)))))</x:f>
        <x:v>0</x:v>
      </x:c>
      <x:c r="N119" s="6" t="n">
        <x:f>ROUND(MAX(0,I119+J119-K119-M119),2)</x:f>
        <x:v>0</x:v>
      </x:c>
      <x:c r="O119" s="6" t="n">
        <x:f>T118</x:f>
        <x:v>0</x:v>
      </x:c>
      <x:c r="P119" s="6" t="n">
        <x:f>ROUND(O119*'Debt strategy'!$D$11/12,2)</x:f>
        <x:v>0</x:v>
      </x:c>
      <x:c r="Q119" s="6" t="n">
        <x:f>MIN(O119+P119,'Debt strategy'!$E$11)</x:f>
        <x:v>0</x:v>
      </x:c>
      <x:c r="R119" s="27" t="n">
        <x:f>IF(O119+P119-Q119&lt;=0,99,1+SUM(IF(AND(C119+D119-E119&gt;0,OR('Debt strategy'!$D$9&gt;'Debt strategy'!$D$11,AND('Debt strategy'!$D$9='Debt strategy'!$D$11,0&lt;2))),1,0),IF(AND(I119+J119-K119&gt;0,OR('Debt strategy'!$D$10&gt;'Debt strategy'!$D$11,AND('Debt strategy'!$D$10='Debt strategy'!$D$11,1&lt;2))),1,0),IF(AND(U119+V119-W119&gt;0,OR('Debt strategy'!$D$12&gt;'Debt strategy'!$D$11,AND('Debt strategy'!$D$12='Debt strategy'!$D$11,3&lt;2))),1,0),IF(AND(AA119+AB119-AC119&gt;0,OR('Debt strategy'!$D$13&gt;'Debt strategy'!$D$11,AND('Debt strategy'!$D$13='Debt strategy'!$D$11,4&lt;2))),1,0)))</x:f>
        <x:v>99</x:v>
      </x:c>
      <x:c r="S119" s="6" t="n">
        <x:f>IF('Debt strategy'!$C$16&gt;0,0,MIN(O119+P119-Q119,MAX(0,'Debt strategy'!$C$5-SUM(E119,K119,Q119,W119,AC119)-SUM(IF(F119&lt;R119,C119+D119-E119,0),IF(L119&lt;R119,I119+J119-K119,0),IF(X119&lt;R119,U119+V119-W119,0),IF(AD119&lt;R119,AA119+AB119-AC119,0)))))</x:f>
        <x:v>0</x:v>
      </x:c>
      <x:c r="T119" s="6" t="n">
        <x:f>ROUND(MAX(0,O119+P119-Q119-S119),2)</x:f>
        <x:v>0</x:v>
      </x:c>
      <x:c r="U119" s="6" t="n">
        <x:f>Z118</x:f>
        <x:v>0</x:v>
      </x:c>
      <x:c r="V119" s="6" t="n">
        <x:f>ROUND(U119*'Debt strategy'!$D$12/12,2)</x:f>
        <x:v>0</x:v>
      </x:c>
      <x:c r="W119" s="6" t="n">
        <x:f>MIN(U119+V119,'Debt strategy'!$E$12)</x:f>
        <x:v>0</x:v>
      </x:c>
      <x:c r="X119" s="27" t="n">
        <x:f>IF(U119+V119-W119&lt;=0,99,1+SUM(IF(AND(C119+D119-E119&gt;0,OR('Debt strategy'!$D$9&gt;'Debt strategy'!$D$12,AND('Debt strategy'!$D$9='Debt strategy'!$D$12,0&lt;3))),1,0),IF(AND(I119+J119-K119&gt;0,OR('Debt strategy'!$D$10&gt;'Debt strategy'!$D$12,AND('Debt strategy'!$D$10='Debt strategy'!$D$12,1&lt;3))),1,0),IF(AND(O119+P119-Q119&gt;0,OR('Debt strategy'!$D$11&gt;'Debt strategy'!$D$12,AND('Debt strategy'!$D$11='Debt strategy'!$D$12,2&lt;3))),1,0),IF(AND(AA119+AB119-AC119&gt;0,OR('Debt strategy'!$D$13&gt;'Debt strategy'!$D$12,AND('Debt strategy'!$D$13='Debt strategy'!$D$12,4&lt;3))),1,0)))</x:f>
        <x:v>99</x:v>
      </x:c>
      <x:c r="Y119" s="6" t="n">
        <x:f>IF('Debt strategy'!$C$16&gt;0,0,MIN(U119+V119-W119,MAX(0,'Debt strategy'!$C$5-SUM(E119,K119,Q119,W119,AC119)-SUM(IF(F119&lt;X119,C119+D119-E119,0),IF(L119&lt;X119,I119+J119-K119,0),IF(R119&lt;X119,O119+P119-Q119,0),IF(AD119&lt;X119,AA119+AB119-AC119,0)))))</x:f>
        <x:v>0</x:v>
      </x:c>
      <x:c r="Z119" s="6" t="n">
        <x:f>ROUND(MAX(0,U119+V119-W119-Y119),2)</x:f>
        <x:v>0</x:v>
      </x:c>
      <x:c r="AA119" s="6" t="n">
        <x:f>AF118</x:f>
        <x:v>0</x:v>
      </x:c>
      <x:c r="AB119" s="6" t="n">
        <x:f>ROUND(AA119*'Debt strategy'!$D$13/12,2)</x:f>
        <x:v>0</x:v>
      </x:c>
      <x:c r="AC119" s="6" t="n">
        <x:f>MIN(AA119+AB119,'Debt strategy'!$E$13)</x:f>
        <x:v>0</x:v>
      </x:c>
      <x:c r="AD119" s="27" t="n">
        <x:f>IF(AA119+AB119-AC119&lt;=0,99,1+SUM(IF(AND(C119+D119-E119&gt;0,OR('Debt strategy'!$D$9&gt;'Debt strategy'!$D$13,AND('Debt strategy'!$D$9='Debt strategy'!$D$13,0&lt;4))),1,0),IF(AND(I119+J119-K119&gt;0,OR('Debt strategy'!$D$10&gt;'Debt strategy'!$D$13,AND('Debt strategy'!$D$10='Debt strategy'!$D$13,1&lt;4))),1,0),IF(AND(O119+P119-Q119&gt;0,OR('Debt strategy'!$D$11&gt;'Debt strategy'!$D$13,AND('Debt strategy'!$D$11='Debt strategy'!$D$13,2&lt;4))),1,0),IF(AND(U119+V119-W119&gt;0,OR('Debt strategy'!$D$12&gt;'Debt strategy'!$D$13,AND('Debt strategy'!$D$12='Debt strategy'!$D$13,3&lt;4))),1,0)))</x:f>
        <x:v>99</x:v>
      </x:c>
      <x:c r="AE119" s="6" t="n">
        <x:f>IF('Debt strategy'!$C$16&gt;0,0,MIN(AA119+AB119-AC119,MAX(0,'Debt strategy'!$C$5-SUM(E119,K119,Q119,W119,AC119)-SUM(IF(F119&lt;AD119,C119+D119-E119,0),IF(L119&lt;AD119,I119+J119-K119,0),IF(R119&lt;AD119,O119+P119-Q119,0),IF(X119&lt;AD119,U119+V119-W119,0)))))</x:f>
        <x:v>0</x:v>
      </x:c>
      <x:c r="AF119" s="6" t="n">
        <x:f>ROUND(MAX(0,AA119+AB119-AC119-AE119),2)</x:f>
        <x:v>0</x:v>
      </x:c>
      <x:c r="AG119" s="6" t="n">
        <x:f>SUM(H119,N119,T119,Z119,AF119)</x:f>
        <x:v>0</x:v>
      </x:c>
      <x:c r="AH119" s="6" t="n">
        <x:f>SUM(D119,J119,P119,V119,AB119)+AH118</x:f>
        <x:v>1220.8400000000001</x:v>
      </x:c>
      <x:c r="AI119" s="2"/>
    </x:row>
    <x:row r="120" ht="23" customHeight="1">
      <x:c r="B120" s="2" t="n">
        <x:f>112</x:f>
        <x:v>112</x:v>
      </x:c>
      <x:c r="C120" s="6" t="n">
        <x:f>H119</x:f>
        <x:v>0</x:v>
      </x:c>
      <x:c r="D120" s="6" t="n">
        <x:f>ROUND(C120*'Debt strategy'!$D$9/12,2)</x:f>
        <x:v>0</x:v>
      </x:c>
      <x:c r="E120" s="6" t="n">
        <x:f>MIN(C120+D120,'Debt strategy'!$E$9)</x:f>
        <x:v>0</x:v>
      </x:c>
      <x:c r="F120" s="27" t="n">
        <x:f>IF(C120+D120-E120&lt;=0,99,1+SUM(IF(AND(I120+J120-K120&gt;0,OR('Debt strategy'!$D$10&gt;'Debt strategy'!$D$9,AND('Debt strategy'!$D$10='Debt strategy'!$D$9,1&lt;0))),1,0),IF(AND(O120+P120-Q120&gt;0,OR('Debt strategy'!$D$11&gt;'Debt strategy'!$D$9,AND('Debt strategy'!$D$11='Debt strategy'!$D$9,2&lt;0))),1,0),IF(AND(U120+V120-W120&gt;0,OR('Debt strategy'!$D$12&gt;'Debt strategy'!$D$9,AND('Debt strategy'!$D$12='Debt strategy'!$D$9,3&lt;0))),1,0),IF(AND(AA120+AB120-AC120&gt;0,OR('Debt strategy'!$D$13&gt;'Debt strategy'!$D$9,AND('Debt strategy'!$D$13='Debt strategy'!$D$9,4&lt;0))),1,0)))</x:f>
        <x:v>99</x:v>
      </x:c>
      <x:c r="G120" s="6" t="n">
        <x:f>IF('Debt strategy'!$C$16&gt;0,0,MIN(C120+D120-E120,MAX(0,'Debt strategy'!$C$5-SUM(E120,K120,Q120,W120,AC120)-SUM(IF(L120&lt;F120,I120+J120-K120,0),IF(R120&lt;F120,O120+P120-Q120,0),IF(X120&lt;F120,U120+V120-W120,0),IF(AD120&lt;F120,AA120+AB120-AC120,0)))))</x:f>
        <x:v>0</x:v>
      </x:c>
      <x:c r="H120" s="6" t="n">
        <x:f>ROUND(MAX(0,C120+D120-E120-G120),2)</x:f>
        <x:v>0</x:v>
      </x:c>
      <x:c r="I120" s="6" t="n">
        <x:f>N119</x:f>
        <x:v>0</x:v>
      </x:c>
      <x:c r="J120" s="6" t="n">
        <x:f>ROUND(I120*'Debt strategy'!$D$10/12,2)</x:f>
        <x:v>0</x:v>
      </x:c>
      <x:c r="K120" s="6" t="n">
        <x:f>MIN(I120+J120,'Debt strategy'!$E$10)</x:f>
        <x:v>0</x:v>
      </x:c>
      <x:c r="L120" s="27" t="n">
        <x:f>IF(I120+J120-K120&lt;=0,99,1+SUM(IF(AND(C120+D120-E120&gt;0,OR('Debt strategy'!$D$9&gt;'Debt strategy'!$D$10,AND('Debt strategy'!$D$9='Debt strategy'!$D$10,0&lt;1))),1,0),IF(AND(O120+P120-Q120&gt;0,OR('Debt strategy'!$D$11&gt;'Debt strategy'!$D$10,AND('Debt strategy'!$D$11='Debt strategy'!$D$10,2&lt;1))),1,0),IF(AND(U120+V120-W120&gt;0,OR('Debt strategy'!$D$12&gt;'Debt strategy'!$D$10,AND('Debt strategy'!$D$12='Debt strategy'!$D$10,3&lt;1))),1,0),IF(AND(AA120+AB120-AC120&gt;0,OR('Debt strategy'!$D$13&gt;'Debt strategy'!$D$10,AND('Debt strategy'!$D$13='Debt strategy'!$D$10,4&lt;1))),1,0)))</x:f>
        <x:v>99</x:v>
      </x:c>
      <x:c r="M120" s="6" t="n">
        <x:f>IF('Debt strategy'!$C$16&gt;0,0,MIN(I120+J120-K120,MAX(0,'Debt strategy'!$C$5-SUM(E120,K120,Q120,W120,AC120)-SUM(IF(F120&lt;L120,C120+D120-E120,0),IF(R120&lt;L120,O120+P120-Q120,0),IF(X120&lt;L120,U120+V120-W120,0),IF(AD120&lt;L120,AA120+AB120-AC120,0)))))</x:f>
        <x:v>0</x:v>
      </x:c>
      <x:c r="N120" s="6" t="n">
        <x:f>ROUND(MAX(0,I120+J120-K120-M120),2)</x:f>
        <x:v>0</x:v>
      </x:c>
      <x:c r="O120" s="6" t="n">
        <x:f>T119</x:f>
        <x:v>0</x:v>
      </x:c>
      <x:c r="P120" s="6" t="n">
        <x:f>ROUND(O120*'Debt strategy'!$D$11/12,2)</x:f>
        <x:v>0</x:v>
      </x:c>
      <x:c r="Q120" s="6" t="n">
        <x:f>MIN(O120+P120,'Debt strategy'!$E$11)</x:f>
        <x:v>0</x:v>
      </x:c>
      <x:c r="R120" s="27" t="n">
        <x:f>IF(O120+P120-Q120&lt;=0,99,1+SUM(IF(AND(C120+D120-E120&gt;0,OR('Debt strategy'!$D$9&gt;'Debt strategy'!$D$11,AND('Debt strategy'!$D$9='Debt strategy'!$D$11,0&lt;2))),1,0),IF(AND(I120+J120-K120&gt;0,OR('Debt strategy'!$D$10&gt;'Debt strategy'!$D$11,AND('Debt strategy'!$D$10='Debt strategy'!$D$11,1&lt;2))),1,0),IF(AND(U120+V120-W120&gt;0,OR('Debt strategy'!$D$12&gt;'Debt strategy'!$D$11,AND('Debt strategy'!$D$12='Debt strategy'!$D$11,3&lt;2))),1,0),IF(AND(AA120+AB120-AC120&gt;0,OR('Debt strategy'!$D$13&gt;'Debt strategy'!$D$11,AND('Debt strategy'!$D$13='Debt strategy'!$D$11,4&lt;2))),1,0)))</x:f>
        <x:v>99</x:v>
      </x:c>
      <x:c r="S120" s="6" t="n">
        <x:f>IF('Debt strategy'!$C$16&gt;0,0,MIN(O120+P120-Q120,MAX(0,'Debt strategy'!$C$5-SUM(E120,K120,Q120,W120,AC120)-SUM(IF(F120&lt;R120,C120+D120-E120,0),IF(L120&lt;R120,I120+J120-K120,0),IF(X120&lt;R120,U120+V120-W120,0),IF(AD120&lt;R120,AA120+AB120-AC120,0)))))</x:f>
        <x:v>0</x:v>
      </x:c>
      <x:c r="T120" s="6" t="n">
        <x:f>ROUND(MAX(0,O120+P120-Q120-S120),2)</x:f>
        <x:v>0</x:v>
      </x:c>
      <x:c r="U120" s="6" t="n">
        <x:f>Z119</x:f>
        <x:v>0</x:v>
      </x:c>
      <x:c r="V120" s="6" t="n">
        <x:f>ROUND(U120*'Debt strategy'!$D$12/12,2)</x:f>
        <x:v>0</x:v>
      </x:c>
      <x:c r="W120" s="6" t="n">
        <x:f>MIN(U120+V120,'Debt strategy'!$E$12)</x:f>
        <x:v>0</x:v>
      </x:c>
      <x:c r="X120" s="27" t="n">
        <x:f>IF(U120+V120-W120&lt;=0,99,1+SUM(IF(AND(C120+D120-E120&gt;0,OR('Debt strategy'!$D$9&gt;'Debt strategy'!$D$12,AND('Debt strategy'!$D$9='Debt strategy'!$D$12,0&lt;3))),1,0),IF(AND(I120+J120-K120&gt;0,OR('Debt strategy'!$D$10&gt;'Debt strategy'!$D$12,AND('Debt strategy'!$D$10='Debt strategy'!$D$12,1&lt;3))),1,0),IF(AND(O120+P120-Q120&gt;0,OR('Debt strategy'!$D$11&gt;'Debt strategy'!$D$12,AND('Debt strategy'!$D$11='Debt strategy'!$D$12,2&lt;3))),1,0),IF(AND(AA120+AB120-AC120&gt;0,OR('Debt strategy'!$D$13&gt;'Debt strategy'!$D$12,AND('Debt strategy'!$D$13='Debt strategy'!$D$12,4&lt;3))),1,0)))</x:f>
        <x:v>99</x:v>
      </x:c>
      <x:c r="Y120" s="6" t="n">
        <x:f>IF('Debt strategy'!$C$16&gt;0,0,MIN(U120+V120-W120,MAX(0,'Debt strategy'!$C$5-SUM(E120,K120,Q120,W120,AC120)-SUM(IF(F120&lt;X120,C120+D120-E120,0),IF(L120&lt;X120,I120+J120-K120,0),IF(R120&lt;X120,O120+P120-Q120,0),IF(AD120&lt;X120,AA120+AB120-AC120,0)))))</x:f>
        <x:v>0</x:v>
      </x:c>
      <x:c r="Z120" s="6" t="n">
        <x:f>ROUND(MAX(0,U120+V120-W120-Y120),2)</x:f>
        <x:v>0</x:v>
      </x:c>
      <x:c r="AA120" s="6" t="n">
        <x:f>AF119</x:f>
        <x:v>0</x:v>
      </x:c>
      <x:c r="AB120" s="6" t="n">
        <x:f>ROUND(AA120*'Debt strategy'!$D$13/12,2)</x:f>
        <x:v>0</x:v>
      </x:c>
      <x:c r="AC120" s="6" t="n">
        <x:f>MIN(AA120+AB120,'Debt strategy'!$E$13)</x:f>
        <x:v>0</x:v>
      </x:c>
      <x:c r="AD120" s="27" t="n">
        <x:f>IF(AA120+AB120-AC120&lt;=0,99,1+SUM(IF(AND(C120+D120-E120&gt;0,OR('Debt strategy'!$D$9&gt;'Debt strategy'!$D$13,AND('Debt strategy'!$D$9='Debt strategy'!$D$13,0&lt;4))),1,0),IF(AND(I120+J120-K120&gt;0,OR('Debt strategy'!$D$10&gt;'Debt strategy'!$D$13,AND('Debt strategy'!$D$10='Debt strategy'!$D$13,1&lt;4))),1,0),IF(AND(O120+P120-Q120&gt;0,OR('Debt strategy'!$D$11&gt;'Debt strategy'!$D$13,AND('Debt strategy'!$D$11='Debt strategy'!$D$13,2&lt;4))),1,0),IF(AND(U120+V120-W120&gt;0,OR('Debt strategy'!$D$12&gt;'Debt strategy'!$D$13,AND('Debt strategy'!$D$12='Debt strategy'!$D$13,3&lt;4))),1,0)))</x:f>
        <x:v>99</x:v>
      </x:c>
      <x:c r="AE120" s="6" t="n">
        <x:f>IF('Debt strategy'!$C$16&gt;0,0,MIN(AA120+AB120-AC120,MAX(0,'Debt strategy'!$C$5-SUM(E120,K120,Q120,W120,AC120)-SUM(IF(F120&lt;AD120,C120+D120-E120,0),IF(L120&lt;AD120,I120+J120-K120,0),IF(R120&lt;AD120,O120+P120-Q120,0),IF(X120&lt;AD120,U120+V120-W120,0)))))</x:f>
        <x:v>0</x:v>
      </x:c>
      <x:c r="AF120" s="6" t="n">
        <x:f>ROUND(MAX(0,AA120+AB120-AC120-AE120),2)</x:f>
        <x:v>0</x:v>
      </x:c>
      <x:c r="AG120" s="6" t="n">
        <x:f>SUM(H120,N120,T120,Z120,AF120)</x:f>
        <x:v>0</x:v>
      </x:c>
      <x:c r="AH120" s="6" t="n">
        <x:f>SUM(D120,J120,P120,V120,AB120)+AH119</x:f>
        <x:v>1220.8400000000001</x:v>
      </x:c>
      <x:c r="AI120" s="2"/>
    </x:row>
    <x:row r="121" ht="23" customHeight="1">
      <x:c r="B121" s="2" t="n">
        <x:f>113</x:f>
        <x:v>113</x:v>
      </x:c>
      <x:c r="C121" s="6" t="n">
        <x:f>H120</x:f>
        <x:v>0</x:v>
      </x:c>
      <x:c r="D121" s="6" t="n">
        <x:f>ROUND(C121*'Debt strategy'!$D$9/12,2)</x:f>
        <x:v>0</x:v>
      </x:c>
      <x:c r="E121" s="6" t="n">
        <x:f>MIN(C121+D121,'Debt strategy'!$E$9)</x:f>
        <x:v>0</x:v>
      </x:c>
      <x:c r="F121" s="27" t="n">
        <x:f>IF(C121+D121-E121&lt;=0,99,1+SUM(IF(AND(I121+J121-K121&gt;0,OR('Debt strategy'!$D$10&gt;'Debt strategy'!$D$9,AND('Debt strategy'!$D$10='Debt strategy'!$D$9,1&lt;0))),1,0),IF(AND(O121+P121-Q121&gt;0,OR('Debt strategy'!$D$11&gt;'Debt strategy'!$D$9,AND('Debt strategy'!$D$11='Debt strategy'!$D$9,2&lt;0))),1,0),IF(AND(U121+V121-W121&gt;0,OR('Debt strategy'!$D$12&gt;'Debt strategy'!$D$9,AND('Debt strategy'!$D$12='Debt strategy'!$D$9,3&lt;0))),1,0),IF(AND(AA121+AB121-AC121&gt;0,OR('Debt strategy'!$D$13&gt;'Debt strategy'!$D$9,AND('Debt strategy'!$D$13='Debt strategy'!$D$9,4&lt;0))),1,0)))</x:f>
        <x:v>99</x:v>
      </x:c>
      <x:c r="G121" s="6" t="n">
        <x:f>IF('Debt strategy'!$C$16&gt;0,0,MIN(C121+D121-E121,MAX(0,'Debt strategy'!$C$5-SUM(E121,K121,Q121,W121,AC121)-SUM(IF(L121&lt;F121,I121+J121-K121,0),IF(R121&lt;F121,O121+P121-Q121,0),IF(X121&lt;F121,U121+V121-W121,0),IF(AD121&lt;F121,AA121+AB121-AC121,0)))))</x:f>
        <x:v>0</x:v>
      </x:c>
      <x:c r="H121" s="6" t="n">
        <x:f>ROUND(MAX(0,C121+D121-E121-G121),2)</x:f>
        <x:v>0</x:v>
      </x:c>
      <x:c r="I121" s="6" t="n">
        <x:f>N120</x:f>
        <x:v>0</x:v>
      </x:c>
      <x:c r="J121" s="6" t="n">
        <x:f>ROUND(I121*'Debt strategy'!$D$10/12,2)</x:f>
        <x:v>0</x:v>
      </x:c>
      <x:c r="K121" s="6" t="n">
        <x:f>MIN(I121+J121,'Debt strategy'!$E$10)</x:f>
        <x:v>0</x:v>
      </x:c>
      <x:c r="L121" s="27" t="n">
        <x:f>IF(I121+J121-K121&lt;=0,99,1+SUM(IF(AND(C121+D121-E121&gt;0,OR('Debt strategy'!$D$9&gt;'Debt strategy'!$D$10,AND('Debt strategy'!$D$9='Debt strategy'!$D$10,0&lt;1))),1,0),IF(AND(O121+P121-Q121&gt;0,OR('Debt strategy'!$D$11&gt;'Debt strategy'!$D$10,AND('Debt strategy'!$D$11='Debt strategy'!$D$10,2&lt;1))),1,0),IF(AND(U121+V121-W121&gt;0,OR('Debt strategy'!$D$12&gt;'Debt strategy'!$D$10,AND('Debt strategy'!$D$12='Debt strategy'!$D$10,3&lt;1))),1,0),IF(AND(AA121+AB121-AC121&gt;0,OR('Debt strategy'!$D$13&gt;'Debt strategy'!$D$10,AND('Debt strategy'!$D$13='Debt strategy'!$D$10,4&lt;1))),1,0)))</x:f>
        <x:v>99</x:v>
      </x:c>
      <x:c r="M121" s="6" t="n">
        <x:f>IF('Debt strategy'!$C$16&gt;0,0,MIN(I121+J121-K121,MAX(0,'Debt strategy'!$C$5-SUM(E121,K121,Q121,W121,AC121)-SUM(IF(F121&lt;L121,C121+D121-E121,0),IF(R121&lt;L121,O121+P121-Q121,0),IF(X121&lt;L121,U121+V121-W121,0),IF(AD121&lt;L121,AA121+AB121-AC121,0)))))</x:f>
        <x:v>0</x:v>
      </x:c>
      <x:c r="N121" s="6" t="n">
        <x:f>ROUND(MAX(0,I121+J121-K121-M121),2)</x:f>
        <x:v>0</x:v>
      </x:c>
      <x:c r="O121" s="6" t="n">
        <x:f>T120</x:f>
        <x:v>0</x:v>
      </x:c>
      <x:c r="P121" s="6" t="n">
        <x:f>ROUND(O121*'Debt strategy'!$D$11/12,2)</x:f>
        <x:v>0</x:v>
      </x:c>
      <x:c r="Q121" s="6" t="n">
        <x:f>MIN(O121+P121,'Debt strategy'!$E$11)</x:f>
        <x:v>0</x:v>
      </x:c>
      <x:c r="R121" s="27" t="n">
        <x:f>IF(O121+P121-Q121&lt;=0,99,1+SUM(IF(AND(C121+D121-E121&gt;0,OR('Debt strategy'!$D$9&gt;'Debt strategy'!$D$11,AND('Debt strategy'!$D$9='Debt strategy'!$D$11,0&lt;2))),1,0),IF(AND(I121+J121-K121&gt;0,OR('Debt strategy'!$D$10&gt;'Debt strategy'!$D$11,AND('Debt strategy'!$D$10='Debt strategy'!$D$11,1&lt;2))),1,0),IF(AND(U121+V121-W121&gt;0,OR('Debt strategy'!$D$12&gt;'Debt strategy'!$D$11,AND('Debt strategy'!$D$12='Debt strategy'!$D$11,3&lt;2))),1,0),IF(AND(AA121+AB121-AC121&gt;0,OR('Debt strategy'!$D$13&gt;'Debt strategy'!$D$11,AND('Debt strategy'!$D$13='Debt strategy'!$D$11,4&lt;2))),1,0)))</x:f>
        <x:v>99</x:v>
      </x:c>
      <x:c r="S121" s="6" t="n">
        <x:f>IF('Debt strategy'!$C$16&gt;0,0,MIN(O121+P121-Q121,MAX(0,'Debt strategy'!$C$5-SUM(E121,K121,Q121,W121,AC121)-SUM(IF(F121&lt;R121,C121+D121-E121,0),IF(L121&lt;R121,I121+J121-K121,0),IF(X121&lt;R121,U121+V121-W121,0),IF(AD121&lt;R121,AA121+AB121-AC121,0)))))</x:f>
        <x:v>0</x:v>
      </x:c>
      <x:c r="T121" s="6" t="n">
        <x:f>ROUND(MAX(0,O121+P121-Q121-S121),2)</x:f>
        <x:v>0</x:v>
      </x:c>
      <x:c r="U121" s="6" t="n">
        <x:f>Z120</x:f>
        <x:v>0</x:v>
      </x:c>
      <x:c r="V121" s="6" t="n">
        <x:f>ROUND(U121*'Debt strategy'!$D$12/12,2)</x:f>
        <x:v>0</x:v>
      </x:c>
      <x:c r="W121" s="6" t="n">
        <x:f>MIN(U121+V121,'Debt strategy'!$E$12)</x:f>
        <x:v>0</x:v>
      </x:c>
      <x:c r="X121" s="27" t="n">
        <x:f>IF(U121+V121-W121&lt;=0,99,1+SUM(IF(AND(C121+D121-E121&gt;0,OR('Debt strategy'!$D$9&gt;'Debt strategy'!$D$12,AND('Debt strategy'!$D$9='Debt strategy'!$D$12,0&lt;3))),1,0),IF(AND(I121+J121-K121&gt;0,OR('Debt strategy'!$D$10&gt;'Debt strategy'!$D$12,AND('Debt strategy'!$D$10='Debt strategy'!$D$12,1&lt;3))),1,0),IF(AND(O121+P121-Q121&gt;0,OR('Debt strategy'!$D$11&gt;'Debt strategy'!$D$12,AND('Debt strategy'!$D$11='Debt strategy'!$D$12,2&lt;3))),1,0),IF(AND(AA121+AB121-AC121&gt;0,OR('Debt strategy'!$D$13&gt;'Debt strategy'!$D$12,AND('Debt strategy'!$D$13='Debt strategy'!$D$12,4&lt;3))),1,0)))</x:f>
        <x:v>99</x:v>
      </x:c>
      <x:c r="Y121" s="6" t="n">
        <x:f>IF('Debt strategy'!$C$16&gt;0,0,MIN(U121+V121-W121,MAX(0,'Debt strategy'!$C$5-SUM(E121,K121,Q121,W121,AC121)-SUM(IF(F121&lt;X121,C121+D121-E121,0),IF(L121&lt;X121,I121+J121-K121,0),IF(R121&lt;X121,O121+P121-Q121,0),IF(AD121&lt;X121,AA121+AB121-AC121,0)))))</x:f>
        <x:v>0</x:v>
      </x:c>
      <x:c r="Z121" s="6" t="n">
        <x:f>ROUND(MAX(0,U121+V121-W121-Y121),2)</x:f>
        <x:v>0</x:v>
      </x:c>
      <x:c r="AA121" s="6" t="n">
        <x:f>AF120</x:f>
        <x:v>0</x:v>
      </x:c>
      <x:c r="AB121" s="6" t="n">
        <x:f>ROUND(AA121*'Debt strategy'!$D$13/12,2)</x:f>
        <x:v>0</x:v>
      </x:c>
      <x:c r="AC121" s="6" t="n">
        <x:f>MIN(AA121+AB121,'Debt strategy'!$E$13)</x:f>
        <x:v>0</x:v>
      </x:c>
      <x:c r="AD121" s="27" t="n">
        <x:f>IF(AA121+AB121-AC121&lt;=0,99,1+SUM(IF(AND(C121+D121-E121&gt;0,OR('Debt strategy'!$D$9&gt;'Debt strategy'!$D$13,AND('Debt strategy'!$D$9='Debt strategy'!$D$13,0&lt;4))),1,0),IF(AND(I121+J121-K121&gt;0,OR('Debt strategy'!$D$10&gt;'Debt strategy'!$D$13,AND('Debt strategy'!$D$10='Debt strategy'!$D$13,1&lt;4))),1,0),IF(AND(O121+P121-Q121&gt;0,OR('Debt strategy'!$D$11&gt;'Debt strategy'!$D$13,AND('Debt strategy'!$D$11='Debt strategy'!$D$13,2&lt;4))),1,0),IF(AND(U121+V121-W121&gt;0,OR('Debt strategy'!$D$12&gt;'Debt strategy'!$D$13,AND('Debt strategy'!$D$12='Debt strategy'!$D$13,3&lt;4))),1,0)))</x:f>
        <x:v>99</x:v>
      </x:c>
      <x:c r="AE121" s="6" t="n">
        <x:f>IF('Debt strategy'!$C$16&gt;0,0,MIN(AA121+AB121-AC121,MAX(0,'Debt strategy'!$C$5-SUM(E121,K121,Q121,W121,AC121)-SUM(IF(F121&lt;AD121,C121+D121-E121,0),IF(L121&lt;AD121,I121+J121-K121,0),IF(R121&lt;AD121,O121+P121-Q121,0),IF(X121&lt;AD121,U121+V121-W121,0)))))</x:f>
        <x:v>0</x:v>
      </x:c>
      <x:c r="AF121" s="6" t="n">
        <x:f>ROUND(MAX(0,AA121+AB121-AC121-AE121),2)</x:f>
        <x:v>0</x:v>
      </x:c>
      <x:c r="AG121" s="6" t="n">
        <x:f>SUM(H121,N121,T121,Z121,AF121)</x:f>
        <x:v>0</x:v>
      </x:c>
      <x:c r="AH121" s="6" t="n">
        <x:f>SUM(D121,J121,P121,V121,AB121)+AH120</x:f>
        <x:v>1220.8400000000001</x:v>
      </x:c>
      <x:c r="AI121" s="2"/>
    </x:row>
    <x:row r="122" ht="23" customHeight="1">
      <x:c r="B122" s="2" t="n">
        <x:f>114</x:f>
        <x:v>114</x:v>
      </x:c>
      <x:c r="C122" s="6" t="n">
        <x:f>H121</x:f>
        <x:v>0</x:v>
      </x:c>
      <x:c r="D122" s="6" t="n">
        <x:f>ROUND(C122*'Debt strategy'!$D$9/12,2)</x:f>
        <x:v>0</x:v>
      </x:c>
      <x:c r="E122" s="6" t="n">
        <x:f>MIN(C122+D122,'Debt strategy'!$E$9)</x:f>
        <x:v>0</x:v>
      </x:c>
      <x:c r="F122" s="27" t="n">
        <x:f>IF(C122+D122-E122&lt;=0,99,1+SUM(IF(AND(I122+J122-K122&gt;0,OR('Debt strategy'!$D$10&gt;'Debt strategy'!$D$9,AND('Debt strategy'!$D$10='Debt strategy'!$D$9,1&lt;0))),1,0),IF(AND(O122+P122-Q122&gt;0,OR('Debt strategy'!$D$11&gt;'Debt strategy'!$D$9,AND('Debt strategy'!$D$11='Debt strategy'!$D$9,2&lt;0))),1,0),IF(AND(U122+V122-W122&gt;0,OR('Debt strategy'!$D$12&gt;'Debt strategy'!$D$9,AND('Debt strategy'!$D$12='Debt strategy'!$D$9,3&lt;0))),1,0),IF(AND(AA122+AB122-AC122&gt;0,OR('Debt strategy'!$D$13&gt;'Debt strategy'!$D$9,AND('Debt strategy'!$D$13='Debt strategy'!$D$9,4&lt;0))),1,0)))</x:f>
        <x:v>99</x:v>
      </x:c>
      <x:c r="G122" s="6" t="n">
        <x:f>IF('Debt strategy'!$C$16&gt;0,0,MIN(C122+D122-E122,MAX(0,'Debt strategy'!$C$5-SUM(E122,K122,Q122,W122,AC122)-SUM(IF(L122&lt;F122,I122+J122-K122,0),IF(R122&lt;F122,O122+P122-Q122,0),IF(X122&lt;F122,U122+V122-W122,0),IF(AD122&lt;F122,AA122+AB122-AC122,0)))))</x:f>
        <x:v>0</x:v>
      </x:c>
      <x:c r="H122" s="6" t="n">
        <x:f>ROUND(MAX(0,C122+D122-E122-G122),2)</x:f>
        <x:v>0</x:v>
      </x:c>
      <x:c r="I122" s="6" t="n">
        <x:f>N121</x:f>
        <x:v>0</x:v>
      </x:c>
      <x:c r="J122" s="6" t="n">
        <x:f>ROUND(I122*'Debt strategy'!$D$10/12,2)</x:f>
        <x:v>0</x:v>
      </x:c>
      <x:c r="K122" s="6" t="n">
        <x:f>MIN(I122+J122,'Debt strategy'!$E$10)</x:f>
        <x:v>0</x:v>
      </x:c>
      <x:c r="L122" s="27" t="n">
        <x:f>IF(I122+J122-K122&lt;=0,99,1+SUM(IF(AND(C122+D122-E122&gt;0,OR('Debt strategy'!$D$9&gt;'Debt strategy'!$D$10,AND('Debt strategy'!$D$9='Debt strategy'!$D$10,0&lt;1))),1,0),IF(AND(O122+P122-Q122&gt;0,OR('Debt strategy'!$D$11&gt;'Debt strategy'!$D$10,AND('Debt strategy'!$D$11='Debt strategy'!$D$10,2&lt;1))),1,0),IF(AND(U122+V122-W122&gt;0,OR('Debt strategy'!$D$12&gt;'Debt strategy'!$D$10,AND('Debt strategy'!$D$12='Debt strategy'!$D$10,3&lt;1))),1,0),IF(AND(AA122+AB122-AC122&gt;0,OR('Debt strategy'!$D$13&gt;'Debt strategy'!$D$10,AND('Debt strategy'!$D$13='Debt strategy'!$D$10,4&lt;1))),1,0)))</x:f>
        <x:v>99</x:v>
      </x:c>
      <x:c r="M122" s="6" t="n">
        <x:f>IF('Debt strategy'!$C$16&gt;0,0,MIN(I122+J122-K122,MAX(0,'Debt strategy'!$C$5-SUM(E122,K122,Q122,W122,AC122)-SUM(IF(F122&lt;L122,C122+D122-E122,0),IF(R122&lt;L122,O122+P122-Q122,0),IF(X122&lt;L122,U122+V122-W122,0),IF(AD122&lt;L122,AA122+AB122-AC122,0)))))</x:f>
        <x:v>0</x:v>
      </x:c>
      <x:c r="N122" s="6" t="n">
        <x:f>ROUND(MAX(0,I122+J122-K122-M122),2)</x:f>
        <x:v>0</x:v>
      </x:c>
      <x:c r="O122" s="6" t="n">
        <x:f>T121</x:f>
        <x:v>0</x:v>
      </x:c>
      <x:c r="P122" s="6" t="n">
        <x:f>ROUND(O122*'Debt strategy'!$D$11/12,2)</x:f>
        <x:v>0</x:v>
      </x:c>
      <x:c r="Q122" s="6" t="n">
        <x:f>MIN(O122+P122,'Debt strategy'!$E$11)</x:f>
        <x:v>0</x:v>
      </x:c>
      <x:c r="R122" s="27" t="n">
        <x:f>IF(O122+P122-Q122&lt;=0,99,1+SUM(IF(AND(C122+D122-E122&gt;0,OR('Debt strategy'!$D$9&gt;'Debt strategy'!$D$11,AND('Debt strategy'!$D$9='Debt strategy'!$D$11,0&lt;2))),1,0),IF(AND(I122+J122-K122&gt;0,OR('Debt strategy'!$D$10&gt;'Debt strategy'!$D$11,AND('Debt strategy'!$D$10='Debt strategy'!$D$11,1&lt;2))),1,0),IF(AND(U122+V122-W122&gt;0,OR('Debt strategy'!$D$12&gt;'Debt strategy'!$D$11,AND('Debt strategy'!$D$12='Debt strategy'!$D$11,3&lt;2))),1,0),IF(AND(AA122+AB122-AC122&gt;0,OR('Debt strategy'!$D$13&gt;'Debt strategy'!$D$11,AND('Debt strategy'!$D$13='Debt strategy'!$D$11,4&lt;2))),1,0)))</x:f>
        <x:v>99</x:v>
      </x:c>
      <x:c r="S122" s="6" t="n">
        <x:f>IF('Debt strategy'!$C$16&gt;0,0,MIN(O122+P122-Q122,MAX(0,'Debt strategy'!$C$5-SUM(E122,K122,Q122,W122,AC122)-SUM(IF(F122&lt;R122,C122+D122-E122,0),IF(L122&lt;R122,I122+J122-K122,0),IF(X122&lt;R122,U122+V122-W122,0),IF(AD122&lt;R122,AA122+AB122-AC122,0)))))</x:f>
        <x:v>0</x:v>
      </x:c>
      <x:c r="T122" s="6" t="n">
        <x:f>ROUND(MAX(0,O122+P122-Q122-S122),2)</x:f>
        <x:v>0</x:v>
      </x:c>
      <x:c r="U122" s="6" t="n">
        <x:f>Z121</x:f>
        <x:v>0</x:v>
      </x:c>
      <x:c r="V122" s="6" t="n">
        <x:f>ROUND(U122*'Debt strategy'!$D$12/12,2)</x:f>
        <x:v>0</x:v>
      </x:c>
      <x:c r="W122" s="6" t="n">
        <x:f>MIN(U122+V122,'Debt strategy'!$E$12)</x:f>
        <x:v>0</x:v>
      </x:c>
      <x:c r="X122" s="27" t="n">
        <x:f>IF(U122+V122-W122&lt;=0,99,1+SUM(IF(AND(C122+D122-E122&gt;0,OR('Debt strategy'!$D$9&gt;'Debt strategy'!$D$12,AND('Debt strategy'!$D$9='Debt strategy'!$D$12,0&lt;3))),1,0),IF(AND(I122+J122-K122&gt;0,OR('Debt strategy'!$D$10&gt;'Debt strategy'!$D$12,AND('Debt strategy'!$D$10='Debt strategy'!$D$12,1&lt;3))),1,0),IF(AND(O122+P122-Q122&gt;0,OR('Debt strategy'!$D$11&gt;'Debt strategy'!$D$12,AND('Debt strategy'!$D$11='Debt strategy'!$D$12,2&lt;3))),1,0),IF(AND(AA122+AB122-AC122&gt;0,OR('Debt strategy'!$D$13&gt;'Debt strategy'!$D$12,AND('Debt strategy'!$D$13='Debt strategy'!$D$12,4&lt;3))),1,0)))</x:f>
        <x:v>99</x:v>
      </x:c>
      <x:c r="Y122" s="6" t="n">
        <x:f>IF('Debt strategy'!$C$16&gt;0,0,MIN(U122+V122-W122,MAX(0,'Debt strategy'!$C$5-SUM(E122,K122,Q122,W122,AC122)-SUM(IF(F122&lt;X122,C122+D122-E122,0),IF(L122&lt;X122,I122+J122-K122,0),IF(R122&lt;X122,O122+P122-Q122,0),IF(AD122&lt;X122,AA122+AB122-AC122,0)))))</x:f>
        <x:v>0</x:v>
      </x:c>
      <x:c r="Z122" s="6" t="n">
        <x:f>ROUND(MAX(0,U122+V122-W122-Y122),2)</x:f>
        <x:v>0</x:v>
      </x:c>
      <x:c r="AA122" s="6" t="n">
        <x:f>AF121</x:f>
        <x:v>0</x:v>
      </x:c>
      <x:c r="AB122" s="6" t="n">
        <x:f>ROUND(AA122*'Debt strategy'!$D$13/12,2)</x:f>
        <x:v>0</x:v>
      </x:c>
      <x:c r="AC122" s="6" t="n">
        <x:f>MIN(AA122+AB122,'Debt strategy'!$E$13)</x:f>
        <x:v>0</x:v>
      </x:c>
      <x:c r="AD122" s="27" t="n">
        <x:f>IF(AA122+AB122-AC122&lt;=0,99,1+SUM(IF(AND(C122+D122-E122&gt;0,OR('Debt strategy'!$D$9&gt;'Debt strategy'!$D$13,AND('Debt strategy'!$D$9='Debt strategy'!$D$13,0&lt;4))),1,0),IF(AND(I122+J122-K122&gt;0,OR('Debt strategy'!$D$10&gt;'Debt strategy'!$D$13,AND('Debt strategy'!$D$10='Debt strategy'!$D$13,1&lt;4))),1,0),IF(AND(O122+P122-Q122&gt;0,OR('Debt strategy'!$D$11&gt;'Debt strategy'!$D$13,AND('Debt strategy'!$D$11='Debt strategy'!$D$13,2&lt;4))),1,0),IF(AND(U122+V122-W122&gt;0,OR('Debt strategy'!$D$12&gt;'Debt strategy'!$D$13,AND('Debt strategy'!$D$12='Debt strategy'!$D$13,3&lt;4))),1,0)))</x:f>
        <x:v>99</x:v>
      </x:c>
      <x:c r="AE122" s="6" t="n">
        <x:f>IF('Debt strategy'!$C$16&gt;0,0,MIN(AA122+AB122-AC122,MAX(0,'Debt strategy'!$C$5-SUM(E122,K122,Q122,W122,AC122)-SUM(IF(F122&lt;AD122,C122+D122-E122,0),IF(L122&lt;AD122,I122+J122-K122,0),IF(R122&lt;AD122,O122+P122-Q122,0),IF(X122&lt;AD122,U122+V122-W122,0)))))</x:f>
        <x:v>0</x:v>
      </x:c>
      <x:c r="AF122" s="6" t="n">
        <x:f>ROUND(MAX(0,AA122+AB122-AC122-AE122),2)</x:f>
        <x:v>0</x:v>
      </x:c>
      <x:c r="AG122" s="6" t="n">
        <x:f>SUM(H122,N122,T122,Z122,AF122)</x:f>
        <x:v>0</x:v>
      </x:c>
      <x:c r="AH122" s="6" t="n">
        <x:f>SUM(D122,J122,P122,V122,AB122)+AH121</x:f>
        <x:v>1220.8400000000001</x:v>
      </x:c>
      <x:c r="AI122" s="2"/>
    </x:row>
    <x:row r="123" ht="23" customHeight="1">
      <x:c r="B123" s="2" t="n">
        <x:f>115</x:f>
        <x:v>115</x:v>
      </x:c>
      <x:c r="C123" s="6" t="n">
        <x:f>H122</x:f>
        <x:v>0</x:v>
      </x:c>
      <x:c r="D123" s="6" t="n">
        <x:f>ROUND(C123*'Debt strategy'!$D$9/12,2)</x:f>
        <x:v>0</x:v>
      </x:c>
      <x:c r="E123" s="6" t="n">
        <x:f>MIN(C123+D123,'Debt strategy'!$E$9)</x:f>
        <x:v>0</x:v>
      </x:c>
      <x:c r="F123" s="27" t="n">
        <x:f>IF(C123+D123-E123&lt;=0,99,1+SUM(IF(AND(I123+J123-K123&gt;0,OR('Debt strategy'!$D$10&gt;'Debt strategy'!$D$9,AND('Debt strategy'!$D$10='Debt strategy'!$D$9,1&lt;0))),1,0),IF(AND(O123+P123-Q123&gt;0,OR('Debt strategy'!$D$11&gt;'Debt strategy'!$D$9,AND('Debt strategy'!$D$11='Debt strategy'!$D$9,2&lt;0))),1,0),IF(AND(U123+V123-W123&gt;0,OR('Debt strategy'!$D$12&gt;'Debt strategy'!$D$9,AND('Debt strategy'!$D$12='Debt strategy'!$D$9,3&lt;0))),1,0),IF(AND(AA123+AB123-AC123&gt;0,OR('Debt strategy'!$D$13&gt;'Debt strategy'!$D$9,AND('Debt strategy'!$D$13='Debt strategy'!$D$9,4&lt;0))),1,0)))</x:f>
        <x:v>99</x:v>
      </x:c>
      <x:c r="G123" s="6" t="n">
        <x:f>IF('Debt strategy'!$C$16&gt;0,0,MIN(C123+D123-E123,MAX(0,'Debt strategy'!$C$5-SUM(E123,K123,Q123,W123,AC123)-SUM(IF(L123&lt;F123,I123+J123-K123,0),IF(R123&lt;F123,O123+P123-Q123,0),IF(X123&lt;F123,U123+V123-W123,0),IF(AD123&lt;F123,AA123+AB123-AC123,0)))))</x:f>
        <x:v>0</x:v>
      </x:c>
      <x:c r="H123" s="6" t="n">
        <x:f>ROUND(MAX(0,C123+D123-E123-G123),2)</x:f>
        <x:v>0</x:v>
      </x:c>
      <x:c r="I123" s="6" t="n">
        <x:f>N122</x:f>
        <x:v>0</x:v>
      </x:c>
      <x:c r="J123" s="6" t="n">
        <x:f>ROUND(I123*'Debt strategy'!$D$10/12,2)</x:f>
        <x:v>0</x:v>
      </x:c>
      <x:c r="K123" s="6" t="n">
        <x:f>MIN(I123+J123,'Debt strategy'!$E$10)</x:f>
        <x:v>0</x:v>
      </x:c>
      <x:c r="L123" s="27" t="n">
        <x:f>IF(I123+J123-K123&lt;=0,99,1+SUM(IF(AND(C123+D123-E123&gt;0,OR('Debt strategy'!$D$9&gt;'Debt strategy'!$D$10,AND('Debt strategy'!$D$9='Debt strategy'!$D$10,0&lt;1))),1,0),IF(AND(O123+P123-Q123&gt;0,OR('Debt strategy'!$D$11&gt;'Debt strategy'!$D$10,AND('Debt strategy'!$D$11='Debt strategy'!$D$10,2&lt;1))),1,0),IF(AND(U123+V123-W123&gt;0,OR('Debt strategy'!$D$12&gt;'Debt strategy'!$D$10,AND('Debt strategy'!$D$12='Debt strategy'!$D$10,3&lt;1))),1,0),IF(AND(AA123+AB123-AC123&gt;0,OR('Debt strategy'!$D$13&gt;'Debt strategy'!$D$10,AND('Debt strategy'!$D$13='Debt strategy'!$D$10,4&lt;1))),1,0)))</x:f>
        <x:v>99</x:v>
      </x:c>
      <x:c r="M123" s="6" t="n">
        <x:f>IF('Debt strategy'!$C$16&gt;0,0,MIN(I123+J123-K123,MAX(0,'Debt strategy'!$C$5-SUM(E123,K123,Q123,W123,AC123)-SUM(IF(F123&lt;L123,C123+D123-E123,0),IF(R123&lt;L123,O123+P123-Q123,0),IF(X123&lt;L123,U123+V123-W123,0),IF(AD123&lt;L123,AA123+AB123-AC123,0)))))</x:f>
        <x:v>0</x:v>
      </x:c>
      <x:c r="N123" s="6" t="n">
        <x:f>ROUND(MAX(0,I123+J123-K123-M123),2)</x:f>
        <x:v>0</x:v>
      </x:c>
      <x:c r="O123" s="6" t="n">
        <x:f>T122</x:f>
        <x:v>0</x:v>
      </x:c>
      <x:c r="P123" s="6" t="n">
        <x:f>ROUND(O123*'Debt strategy'!$D$11/12,2)</x:f>
        <x:v>0</x:v>
      </x:c>
      <x:c r="Q123" s="6" t="n">
        <x:f>MIN(O123+P123,'Debt strategy'!$E$11)</x:f>
        <x:v>0</x:v>
      </x:c>
      <x:c r="R123" s="27" t="n">
        <x:f>IF(O123+P123-Q123&lt;=0,99,1+SUM(IF(AND(C123+D123-E123&gt;0,OR('Debt strategy'!$D$9&gt;'Debt strategy'!$D$11,AND('Debt strategy'!$D$9='Debt strategy'!$D$11,0&lt;2))),1,0),IF(AND(I123+J123-K123&gt;0,OR('Debt strategy'!$D$10&gt;'Debt strategy'!$D$11,AND('Debt strategy'!$D$10='Debt strategy'!$D$11,1&lt;2))),1,0),IF(AND(U123+V123-W123&gt;0,OR('Debt strategy'!$D$12&gt;'Debt strategy'!$D$11,AND('Debt strategy'!$D$12='Debt strategy'!$D$11,3&lt;2))),1,0),IF(AND(AA123+AB123-AC123&gt;0,OR('Debt strategy'!$D$13&gt;'Debt strategy'!$D$11,AND('Debt strategy'!$D$13='Debt strategy'!$D$11,4&lt;2))),1,0)))</x:f>
        <x:v>99</x:v>
      </x:c>
      <x:c r="S123" s="6" t="n">
        <x:f>IF('Debt strategy'!$C$16&gt;0,0,MIN(O123+P123-Q123,MAX(0,'Debt strategy'!$C$5-SUM(E123,K123,Q123,W123,AC123)-SUM(IF(F123&lt;R123,C123+D123-E123,0),IF(L123&lt;R123,I123+J123-K123,0),IF(X123&lt;R123,U123+V123-W123,0),IF(AD123&lt;R123,AA123+AB123-AC123,0)))))</x:f>
        <x:v>0</x:v>
      </x:c>
      <x:c r="T123" s="6" t="n">
        <x:f>ROUND(MAX(0,O123+P123-Q123-S123),2)</x:f>
        <x:v>0</x:v>
      </x:c>
      <x:c r="U123" s="6" t="n">
        <x:f>Z122</x:f>
        <x:v>0</x:v>
      </x:c>
      <x:c r="V123" s="6" t="n">
        <x:f>ROUND(U123*'Debt strategy'!$D$12/12,2)</x:f>
        <x:v>0</x:v>
      </x:c>
      <x:c r="W123" s="6" t="n">
        <x:f>MIN(U123+V123,'Debt strategy'!$E$12)</x:f>
        <x:v>0</x:v>
      </x:c>
      <x:c r="X123" s="27" t="n">
        <x:f>IF(U123+V123-W123&lt;=0,99,1+SUM(IF(AND(C123+D123-E123&gt;0,OR('Debt strategy'!$D$9&gt;'Debt strategy'!$D$12,AND('Debt strategy'!$D$9='Debt strategy'!$D$12,0&lt;3))),1,0),IF(AND(I123+J123-K123&gt;0,OR('Debt strategy'!$D$10&gt;'Debt strategy'!$D$12,AND('Debt strategy'!$D$10='Debt strategy'!$D$12,1&lt;3))),1,0),IF(AND(O123+P123-Q123&gt;0,OR('Debt strategy'!$D$11&gt;'Debt strategy'!$D$12,AND('Debt strategy'!$D$11='Debt strategy'!$D$12,2&lt;3))),1,0),IF(AND(AA123+AB123-AC123&gt;0,OR('Debt strategy'!$D$13&gt;'Debt strategy'!$D$12,AND('Debt strategy'!$D$13='Debt strategy'!$D$12,4&lt;3))),1,0)))</x:f>
        <x:v>99</x:v>
      </x:c>
      <x:c r="Y123" s="6" t="n">
        <x:f>IF('Debt strategy'!$C$16&gt;0,0,MIN(U123+V123-W123,MAX(0,'Debt strategy'!$C$5-SUM(E123,K123,Q123,W123,AC123)-SUM(IF(F123&lt;X123,C123+D123-E123,0),IF(L123&lt;X123,I123+J123-K123,0),IF(R123&lt;X123,O123+P123-Q123,0),IF(AD123&lt;X123,AA123+AB123-AC123,0)))))</x:f>
        <x:v>0</x:v>
      </x:c>
      <x:c r="Z123" s="6" t="n">
        <x:f>ROUND(MAX(0,U123+V123-W123-Y123),2)</x:f>
        <x:v>0</x:v>
      </x:c>
      <x:c r="AA123" s="6" t="n">
        <x:f>AF122</x:f>
        <x:v>0</x:v>
      </x:c>
      <x:c r="AB123" s="6" t="n">
        <x:f>ROUND(AA123*'Debt strategy'!$D$13/12,2)</x:f>
        <x:v>0</x:v>
      </x:c>
      <x:c r="AC123" s="6" t="n">
        <x:f>MIN(AA123+AB123,'Debt strategy'!$E$13)</x:f>
        <x:v>0</x:v>
      </x:c>
      <x:c r="AD123" s="27" t="n">
        <x:f>IF(AA123+AB123-AC123&lt;=0,99,1+SUM(IF(AND(C123+D123-E123&gt;0,OR('Debt strategy'!$D$9&gt;'Debt strategy'!$D$13,AND('Debt strategy'!$D$9='Debt strategy'!$D$13,0&lt;4))),1,0),IF(AND(I123+J123-K123&gt;0,OR('Debt strategy'!$D$10&gt;'Debt strategy'!$D$13,AND('Debt strategy'!$D$10='Debt strategy'!$D$13,1&lt;4))),1,0),IF(AND(O123+P123-Q123&gt;0,OR('Debt strategy'!$D$11&gt;'Debt strategy'!$D$13,AND('Debt strategy'!$D$11='Debt strategy'!$D$13,2&lt;4))),1,0),IF(AND(U123+V123-W123&gt;0,OR('Debt strategy'!$D$12&gt;'Debt strategy'!$D$13,AND('Debt strategy'!$D$12='Debt strategy'!$D$13,3&lt;4))),1,0)))</x:f>
        <x:v>99</x:v>
      </x:c>
      <x:c r="AE123" s="6" t="n">
        <x:f>IF('Debt strategy'!$C$16&gt;0,0,MIN(AA123+AB123-AC123,MAX(0,'Debt strategy'!$C$5-SUM(E123,K123,Q123,W123,AC123)-SUM(IF(F123&lt;AD123,C123+D123-E123,0),IF(L123&lt;AD123,I123+J123-K123,0),IF(R123&lt;AD123,O123+P123-Q123,0),IF(X123&lt;AD123,U123+V123-W123,0)))))</x:f>
        <x:v>0</x:v>
      </x:c>
      <x:c r="AF123" s="6" t="n">
        <x:f>ROUND(MAX(0,AA123+AB123-AC123-AE123),2)</x:f>
        <x:v>0</x:v>
      </x:c>
      <x:c r="AG123" s="6" t="n">
        <x:f>SUM(H123,N123,T123,Z123,AF123)</x:f>
        <x:v>0</x:v>
      </x:c>
      <x:c r="AH123" s="6" t="n">
        <x:f>SUM(D123,J123,P123,V123,AB123)+AH122</x:f>
        <x:v>1220.8400000000001</x:v>
      </x:c>
      <x:c r="AI123" s="2"/>
    </x:row>
    <x:row r="124" ht="23" customHeight="1">
      <x:c r="B124" s="2" t="n">
        <x:f>116</x:f>
        <x:v>116</x:v>
      </x:c>
      <x:c r="C124" s="6" t="n">
        <x:f>H123</x:f>
        <x:v>0</x:v>
      </x:c>
      <x:c r="D124" s="6" t="n">
        <x:f>ROUND(C124*'Debt strategy'!$D$9/12,2)</x:f>
        <x:v>0</x:v>
      </x:c>
      <x:c r="E124" s="6" t="n">
        <x:f>MIN(C124+D124,'Debt strategy'!$E$9)</x:f>
        <x:v>0</x:v>
      </x:c>
      <x:c r="F124" s="27" t="n">
        <x:f>IF(C124+D124-E124&lt;=0,99,1+SUM(IF(AND(I124+J124-K124&gt;0,OR('Debt strategy'!$D$10&gt;'Debt strategy'!$D$9,AND('Debt strategy'!$D$10='Debt strategy'!$D$9,1&lt;0))),1,0),IF(AND(O124+P124-Q124&gt;0,OR('Debt strategy'!$D$11&gt;'Debt strategy'!$D$9,AND('Debt strategy'!$D$11='Debt strategy'!$D$9,2&lt;0))),1,0),IF(AND(U124+V124-W124&gt;0,OR('Debt strategy'!$D$12&gt;'Debt strategy'!$D$9,AND('Debt strategy'!$D$12='Debt strategy'!$D$9,3&lt;0))),1,0),IF(AND(AA124+AB124-AC124&gt;0,OR('Debt strategy'!$D$13&gt;'Debt strategy'!$D$9,AND('Debt strategy'!$D$13='Debt strategy'!$D$9,4&lt;0))),1,0)))</x:f>
        <x:v>99</x:v>
      </x:c>
      <x:c r="G124" s="6" t="n">
        <x:f>IF('Debt strategy'!$C$16&gt;0,0,MIN(C124+D124-E124,MAX(0,'Debt strategy'!$C$5-SUM(E124,K124,Q124,W124,AC124)-SUM(IF(L124&lt;F124,I124+J124-K124,0),IF(R124&lt;F124,O124+P124-Q124,0),IF(X124&lt;F124,U124+V124-W124,0),IF(AD124&lt;F124,AA124+AB124-AC124,0)))))</x:f>
        <x:v>0</x:v>
      </x:c>
      <x:c r="H124" s="6" t="n">
        <x:f>ROUND(MAX(0,C124+D124-E124-G124),2)</x:f>
        <x:v>0</x:v>
      </x:c>
      <x:c r="I124" s="6" t="n">
        <x:f>N123</x:f>
        <x:v>0</x:v>
      </x:c>
      <x:c r="J124" s="6" t="n">
        <x:f>ROUND(I124*'Debt strategy'!$D$10/12,2)</x:f>
        <x:v>0</x:v>
      </x:c>
      <x:c r="K124" s="6" t="n">
        <x:f>MIN(I124+J124,'Debt strategy'!$E$10)</x:f>
        <x:v>0</x:v>
      </x:c>
      <x:c r="L124" s="27" t="n">
        <x:f>IF(I124+J124-K124&lt;=0,99,1+SUM(IF(AND(C124+D124-E124&gt;0,OR('Debt strategy'!$D$9&gt;'Debt strategy'!$D$10,AND('Debt strategy'!$D$9='Debt strategy'!$D$10,0&lt;1))),1,0),IF(AND(O124+P124-Q124&gt;0,OR('Debt strategy'!$D$11&gt;'Debt strategy'!$D$10,AND('Debt strategy'!$D$11='Debt strategy'!$D$10,2&lt;1))),1,0),IF(AND(U124+V124-W124&gt;0,OR('Debt strategy'!$D$12&gt;'Debt strategy'!$D$10,AND('Debt strategy'!$D$12='Debt strategy'!$D$10,3&lt;1))),1,0),IF(AND(AA124+AB124-AC124&gt;0,OR('Debt strategy'!$D$13&gt;'Debt strategy'!$D$10,AND('Debt strategy'!$D$13='Debt strategy'!$D$10,4&lt;1))),1,0)))</x:f>
        <x:v>99</x:v>
      </x:c>
      <x:c r="M124" s="6" t="n">
        <x:f>IF('Debt strategy'!$C$16&gt;0,0,MIN(I124+J124-K124,MAX(0,'Debt strategy'!$C$5-SUM(E124,K124,Q124,W124,AC124)-SUM(IF(F124&lt;L124,C124+D124-E124,0),IF(R124&lt;L124,O124+P124-Q124,0),IF(X124&lt;L124,U124+V124-W124,0),IF(AD124&lt;L124,AA124+AB124-AC124,0)))))</x:f>
        <x:v>0</x:v>
      </x:c>
      <x:c r="N124" s="6" t="n">
        <x:f>ROUND(MAX(0,I124+J124-K124-M124),2)</x:f>
        <x:v>0</x:v>
      </x:c>
      <x:c r="O124" s="6" t="n">
        <x:f>T123</x:f>
        <x:v>0</x:v>
      </x:c>
      <x:c r="P124" s="6" t="n">
        <x:f>ROUND(O124*'Debt strategy'!$D$11/12,2)</x:f>
        <x:v>0</x:v>
      </x:c>
      <x:c r="Q124" s="6" t="n">
        <x:f>MIN(O124+P124,'Debt strategy'!$E$11)</x:f>
        <x:v>0</x:v>
      </x:c>
      <x:c r="R124" s="27" t="n">
        <x:f>IF(O124+P124-Q124&lt;=0,99,1+SUM(IF(AND(C124+D124-E124&gt;0,OR('Debt strategy'!$D$9&gt;'Debt strategy'!$D$11,AND('Debt strategy'!$D$9='Debt strategy'!$D$11,0&lt;2))),1,0),IF(AND(I124+J124-K124&gt;0,OR('Debt strategy'!$D$10&gt;'Debt strategy'!$D$11,AND('Debt strategy'!$D$10='Debt strategy'!$D$11,1&lt;2))),1,0),IF(AND(U124+V124-W124&gt;0,OR('Debt strategy'!$D$12&gt;'Debt strategy'!$D$11,AND('Debt strategy'!$D$12='Debt strategy'!$D$11,3&lt;2))),1,0),IF(AND(AA124+AB124-AC124&gt;0,OR('Debt strategy'!$D$13&gt;'Debt strategy'!$D$11,AND('Debt strategy'!$D$13='Debt strategy'!$D$11,4&lt;2))),1,0)))</x:f>
        <x:v>99</x:v>
      </x:c>
      <x:c r="S124" s="6" t="n">
        <x:f>IF('Debt strategy'!$C$16&gt;0,0,MIN(O124+P124-Q124,MAX(0,'Debt strategy'!$C$5-SUM(E124,K124,Q124,W124,AC124)-SUM(IF(F124&lt;R124,C124+D124-E124,0),IF(L124&lt;R124,I124+J124-K124,0),IF(X124&lt;R124,U124+V124-W124,0),IF(AD124&lt;R124,AA124+AB124-AC124,0)))))</x:f>
        <x:v>0</x:v>
      </x:c>
      <x:c r="T124" s="6" t="n">
        <x:f>ROUND(MAX(0,O124+P124-Q124-S124),2)</x:f>
        <x:v>0</x:v>
      </x:c>
      <x:c r="U124" s="6" t="n">
        <x:f>Z123</x:f>
        <x:v>0</x:v>
      </x:c>
      <x:c r="V124" s="6" t="n">
        <x:f>ROUND(U124*'Debt strategy'!$D$12/12,2)</x:f>
        <x:v>0</x:v>
      </x:c>
      <x:c r="W124" s="6" t="n">
        <x:f>MIN(U124+V124,'Debt strategy'!$E$12)</x:f>
        <x:v>0</x:v>
      </x:c>
      <x:c r="X124" s="27" t="n">
        <x:f>IF(U124+V124-W124&lt;=0,99,1+SUM(IF(AND(C124+D124-E124&gt;0,OR('Debt strategy'!$D$9&gt;'Debt strategy'!$D$12,AND('Debt strategy'!$D$9='Debt strategy'!$D$12,0&lt;3))),1,0),IF(AND(I124+J124-K124&gt;0,OR('Debt strategy'!$D$10&gt;'Debt strategy'!$D$12,AND('Debt strategy'!$D$10='Debt strategy'!$D$12,1&lt;3))),1,0),IF(AND(O124+P124-Q124&gt;0,OR('Debt strategy'!$D$11&gt;'Debt strategy'!$D$12,AND('Debt strategy'!$D$11='Debt strategy'!$D$12,2&lt;3))),1,0),IF(AND(AA124+AB124-AC124&gt;0,OR('Debt strategy'!$D$13&gt;'Debt strategy'!$D$12,AND('Debt strategy'!$D$13='Debt strategy'!$D$12,4&lt;3))),1,0)))</x:f>
        <x:v>99</x:v>
      </x:c>
      <x:c r="Y124" s="6" t="n">
        <x:f>IF('Debt strategy'!$C$16&gt;0,0,MIN(U124+V124-W124,MAX(0,'Debt strategy'!$C$5-SUM(E124,K124,Q124,W124,AC124)-SUM(IF(F124&lt;X124,C124+D124-E124,0),IF(L124&lt;X124,I124+J124-K124,0),IF(R124&lt;X124,O124+P124-Q124,0),IF(AD124&lt;X124,AA124+AB124-AC124,0)))))</x:f>
        <x:v>0</x:v>
      </x:c>
      <x:c r="Z124" s="6" t="n">
        <x:f>ROUND(MAX(0,U124+V124-W124-Y124),2)</x:f>
        <x:v>0</x:v>
      </x:c>
      <x:c r="AA124" s="6" t="n">
        <x:f>AF123</x:f>
        <x:v>0</x:v>
      </x:c>
      <x:c r="AB124" s="6" t="n">
        <x:f>ROUND(AA124*'Debt strategy'!$D$13/12,2)</x:f>
        <x:v>0</x:v>
      </x:c>
      <x:c r="AC124" s="6" t="n">
        <x:f>MIN(AA124+AB124,'Debt strategy'!$E$13)</x:f>
        <x:v>0</x:v>
      </x:c>
      <x:c r="AD124" s="27" t="n">
        <x:f>IF(AA124+AB124-AC124&lt;=0,99,1+SUM(IF(AND(C124+D124-E124&gt;0,OR('Debt strategy'!$D$9&gt;'Debt strategy'!$D$13,AND('Debt strategy'!$D$9='Debt strategy'!$D$13,0&lt;4))),1,0),IF(AND(I124+J124-K124&gt;0,OR('Debt strategy'!$D$10&gt;'Debt strategy'!$D$13,AND('Debt strategy'!$D$10='Debt strategy'!$D$13,1&lt;4))),1,0),IF(AND(O124+P124-Q124&gt;0,OR('Debt strategy'!$D$11&gt;'Debt strategy'!$D$13,AND('Debt strategy'!$D$11='Debt strategy'!$D$13,2&lt;4))),1,0),IF(AND(U124+V124-W124&gt;0,OR('Debt strategy'!$D$12&gt;'Debt strategy'!$D$13,AND('Debt strategy'!$D$12='Debt strategy'!$D$13,3&lt;4))),1,0)))</x:f>
        <x:v>99</x:v>
      </x:c>
      <x:c r="AE124" s="6" t="n">
        <x:f>IF('Debt strategy'!$C$16&gt;0,0,MIN(AA124+AB124-AC124,MAX(0,'Debt strategy'!$C$5-SUM(E124,K124,Q124,W124,AC124)-SUM(IF(F124&lt;AD124,C124+D124-E124,0),IF(L124&lt;AD124,I124+J124-K124,0),IF(R124&lt;AD124,O124+P124-Q124,0),IF(X124&lt;AD124,U124+V124-W124,0)))))</x:f>
        <x:v>0</x:v>
      </x:c>
      <x:c r="AF124" s="6" t="n">
        <x:f>ROUND(MAX(0,AA124+AB124-AC124-AE124),2)</x:f>
        <x:v>0</x:v>
      </x:c>
      <x:c r="AG124" s="6" t="n">
        <x:f>SUM(H124,N124,T124,Z124,AF124)</x:f>
        <x:v>0</x:v>
      </x:c>
      <x:c r="AH124" s="6" t="n">
        <x:f>SUM(D124,J124,P124,V124,AB124)+AH123</x:f>
        <x:v>1220.8400000000001</x:v>
      </x:c>
      <x:c r="AI124" s="2"/>
    </x:row>
    <x:row r="125" ht="23" customHeight="1">
      <x:c r="B125" s="2" t="n">
        <x:f>117</x:f>
        <x:v>117</x:v>
      </x:c>
      <x:c r="C125" s="6" t="n">
        <x:f>H124</x:f>
        <x:v>0</x:v>
      </x:c>
      <x:c r="D125" s="6" t="n">
        <x:f>ROUND(C125*'Debt strategy'!$D$9/12,2)</x:f>
        <x:v>0</x:v>
      </x:c>
      <x:c r="E125" s="6" t="n">
        <x:f>MIN(C125+D125,'Debt strategy'!$E$9)</x:f>
        <x:v>0</x:v>
      </x:c>
      <x:c r="F125" s="27" t="n">
        <x:f>IF(C125+D125-E125&lt;=0,99,1+SUM(IF(AND(I125+J125-K125&gt;0,OR('Debt strategy'!$D$10&gt;'Debt strategy'!$D$9,AND('Debt strategy'!$D$10='Debt strategy'!$D$9,1&lt;0))),1,0),IF(AND(O125+P125-Q125&gt;0,OR('Debt strategy'!$D$11&gt;'Debt strategy'!$D$9,AND('Debt strategy'!$D$11='Debt strategy'!$D$9,2&lt;0))),1,0),IF(AND(U125+V125-W125&gt;0,OR('Debt strategy'!$D$12&gt;'Debt strategy'!$D$9,AND('Debt strategy'!$D$12='Debt strategy'!$D$9,3&lt;0))),1,0),IF(AND(AA125+AB125-AC125&gt;0,OR('Debt strategy'!$D$13&gt;'Debt strategy'!$D$9,AND('Debt strategy'!$D$13='Debt strategy'!$D$9,4&lt;0))),1,0)))</x:f>
        <x:v>99</x:v>
      </x:c>
      <x:c r="G125" s="6" t="n">
        <x:f>IF('Debt strategy'!$C$16&gt;0,0,MIN(C125+D125-E125,MAX(0,'Debt strategy'!$C$5-SUM(E125,K125,Q125,W125,AC125)-SUM(IF(L125&lt;F125,I125+J125-K125,0),IF(R125&lt;F125,O125+P125-Q125,0),IF(X125&lt;F125,U125+V125-W125,0),IF(AD125&lt;F125,AA125+AB125-AC125,0)))))</x:f>
        <x:v>0</x:v>
      </x:c>
      <x:c r="H125" s="6" t="n">
        <x:f>ROUND(MAX(0,C125+D125-E125-G125),2)</x:f>
        <x:v>0</x:v>
      </x:c>
      <x:c r="I125" s="6" t="n">
        <x:f>N124</x:f>
        <x:v>0</x:v>
      </x:c>
      <x:c r="J125" s="6" t="n">
        <x:f>ROUND(I125*'Debt strategy'!$D$10/12,2)</x:f>
        <x:v>0</x:v>
      </x:c>
      <x:c r="K125" s="6" t="n">
        <x:f>MIN(I125+J125,'Debt strategy'!$E$10)</x:f>
        <x:v>0</x:v>
      </x:c>
      <x:c r="L125" s="27" t="n">
        <x:f>IF(I125+J125-K125&lt;=0,99,1+SUM(IF(AND(C125+D125-E125&gt;0,OR('Debt strategy'!$D$9&gt;'Debt strategy'!$D$10,AND('Debt strategy'!$D$9='Debt strategy'!$D$10,0&lt;1))),1,0),IF(AND(O125+P125-Q125&gt;0,OR('Debt strategy'!$D$11&gt;'Debt strategy'!$D$10,AND('Debt strategy'!$D$11='Debt strategy'!$D$10,2&lt;1))),1,0),IF(AND(U125+V125-W125&gt;0,OR('Debt strategy'!$D$12&gt;'Debt strategy'!$D$10,AND('Debt strategy'!$D$12='Debt strategy'!$D$10,3&lt;1))),1,0),IF(AND(AA125+AB125-AC125&gt;0,OR('Debt strategy'!$D$13&gt;'Debt strategy'!$D$10,AND('Debt strategy'!$D$13='Debt strategy'!$D$10,4&lt;1))),1,0)))</x:f>
        <x:v>99</x:v>
      </x:c>
      <x:c r="M125" s="6" t="n">
        <x:f>IF('Debt strategy'!$C$16&gt;0,0,MIN(I125+J125-K125,MAX(0,'Debt strategy'!$C$5-SUM(E125,K125,Q125,W125,AC125)-SUM(IF(F125&lt;L125,C125+D125-E125,0),IF(R125&lt;L125,O125+P125-Q125,0),IF(X125&lt;L125,U125+V125-W125,0),IF(AD125&lt;L125,AA125+AB125-AC125,0)))))</x:f>
        <x:v>0</x:v>
      </x:c>
      <x:c r="N125" s="6" t="n">
        <x:f>ROUND(MAX(0,I125+J125-K125-M125),2)</x:f>
        <x:v>0</x:v>
      </x:c>
      <x:c r="O125" s="6" t="n">
        <x:f>T124</x:f>
        <x:v>0</x:v>
      </x:c>
      <x:c r="P125" s="6" t="n">
        <x:f>ROUND(O125*'Debt strategy'!$D$11/12,2)</x:f>
        <x:v>0</x:v>
      </x:c>
      <x:c r="Q125" s="6" t="n">
        <x:f>MIN(O125+P125,'Debt strategy'!$E$11)</x:f>
        <x:v>0</x:v>
      </x:c>
      <x:c r="R125" s="27" t="n">
        <x:f>IF(O125+P125-Q125&lt;=0,99,1+SUM(IF(AND(C125+D125-E125&gt;0,OR('Debt strategy'!$D$9&gt;'Debt strategy'!$D$11,AND('Debt strategy'!$D$9='Debt strategy'!$D$11,0&lt;2))),1,0),IF(AND(I125+J125-K125&gt;0,OR('Debt strategy'!$D$10&gt;'Debt strategy'!$D$11,AND('Debt strategy'!$D$10='Debt strategy'!$D$11,1&lt;2))),1,0),IF(AND(U125+V125-W125&gt;0,OR('Debt strategy'!$D$12&gt;'Debt strategy'!$D$11,AND('Debt strategy'!$D$12='Debt strategy'!$D$11,3&lt;2))),1,0),IF(AND(AA125+AB125-AC125&gt;0,OR('Debt strategy'!$D$13&gt;'Debt strategy'!$D$11,AND('Debt strategy'!$D$13='Debt strategy'!$D$11,4&lt;2))),1,0)))</x:f>
        <x:v>99</x:v>
      </x:c>
      <x:c r="S125" s="6" t="n">
        <x:f>IF('Debt strategy'!$C$16&gt;0,0,MIN(O125+P125-Q125,MAX(0,'Debt strategy'!$C$5-SUM(E125,K125,Q125,W125,AC125)-SUM(IF(F125&lt;R125,C125+D125-E125,0),IF(L125&lt;R125,I125+J125-K125,0),IF(X125&lt;R125,U125+V125-W125,0),IF(AD125&lt;R125,AA125+AB125-AC125,0)))))</x:f>
        <x:v>0</x:v>
      </x:c>
      <x:c r="T125" s="6" t="n">
        <x:f>ROUND(MAX(0,O125+P125-Q125-S125),2)</x:f>
        <x:v>0</x:v>
      </x:c>
      <x:c r="U125" s="6" t="n">
        <x:f>Z124</x:f>
        <x:v>0</x:v>
      </x:c>
      <x:c r="V125" s="6" t="n">
        <x:f>ROUND(U125*'Debt strategy'!$D$12/12,2)</x:f>
        <x:v>0</x:v>
      </x:c>
      <x:c r="W125" s="6" t="n">
        <x:f>MIN(U125+V125,'Debt strategy'!$E$12)</x:f>
        <x:v>0</x:v>
      </x:c>
      <x:c r="X125" s="27" t="n">
        <x:f>IF(U125+V125-W125&lt;=0,99,1+SUM(IF(AND(C125+D125-E125&gt;0,OR('Debt strategy'!$D$9&gt;'Debt strategy'!$D$12,AND('Debt strategy'!$D$9='Debt strategy'!$D$12,0&lt;3))),1,0),IF(AND(I125+J125-K125&gt;0,OR('Debt strategy'!$D$10&gt;'Debt strategy'!$D$12,AND('Debt strategy'!$D$10='Debt strategy'!$D$12,1&lt;3))),1,0),IF(AND(O125+P125-Q125&gt;0,OR('Debt strategy'!$D$11&gt;'Debt strategy'!$D$12,AND('Debt strategy'!$D$11='Debt strategy'!$D$12,2&lt;3))),1,0),IF(AND(AA125+AB125-AC125&gt;0,OR('Debt strategy'!$D$13&gt;'Debt strategy'!$D$12,AND('Debt strategy'!$D$13='Debt strategy'!$D$12,4&lt;3))),1,0)))</x:f>
        <x:v>99</x:v>
      </x:c>
      <x:c r="Y125" s="6" t="n">
        <x:f>IF('Debt strategy'!$C$16&gt;0,0,MIN(U125+V125-W125,MAX(0,'Debt strategy'!$C$5-SUM(E125,K125,Q125,W125,AC125)-SUM(IF(F125&lt;X125,C125+D125-E125,0),IF(L125&lt;X125,I125+J125-K125,0),IF(R125&lt;X125,O125+P125-Q125,0),IF(AD125&lt;X125,AA125+AB125-AC125,0)))))</x:f>
        <x:v>0</x:v>
      </x:c>
      <x:c r="Z125" s="6" t="n">
        <x:f>ROUND(MAX(0,U125+V125-W125-Y125),2)</x:f>
        <x:v>0</x:v>
      </x:c>
      <x:c r="AA125" s="6" t="n">
        <x:f>AF124</x:f>
        <x:v>0</x:v>
      </x:c>
      <x:c r="AB125" s="6" t="n">
        <x:f>ROUND(AA125*'Debt strategy'!$D$13/12,2)</x:f>
        <x:v>0</x:v>
      </x:c>
      <x:c r="AC125" s="6" t="n">
        <x:f>MIN(AA125+AB125,'Debt strategy'!$E$13)</x:f>
        <x:v>0</x:v>
      </x:c>
      <x:c r="AD125" s="27" t="n">
        <x:f>IF(AA125+AB125-AC125&lt;=0,99,1+SUM(IF(AND(C125+D125-E125&gt;0,OR('Debt strategy'!$D$9&gt;'Debt strategy'!$D$13,AND('Debt strategy'!$D$9='Debt strategy'!$D$13,0&lt;4))),1,0),IF(AND(I125+J125-K125&gt;0,OR('Debt strategy'!$D$10&gt;'Debt strategy'!$D$13,AND('Debt strategy'!$D$10='Debt strategy'!$D$13,1&lt;4))),1,0),IF(AND(O125+P125-Q125&gt;0,OR('Debt strategy'!$D$11&gt;'Debt strategy'!$D$13,AND('Debt strategy'!$D$11='Debt strategy'!$D$13,2&lt;4))),1,0),IF(AND(U125+V125-W125&gt;0,OR('Debt strategy'!$D$12&gt;'Debt strategy'!$D$13,AND('Debt strategy'!$D$12='Debt strategy'!$D$13,3&lt;4))),1,0)))</x:f>
        <x:v>99</x:v>
      </x:c>
      <x:c r="AE125" s="6" t="n">
        <x:f>IF('Debt strategy'!$C$16&gt;0,0,MIN(AA125+AB125-AC125,MAX(0,'Debt strategy'!$C$5-SUM(E125,K125,Q125,W125,AC125)-SUM(IF(F125&lt;AD125,C125+D125-E125,0),IF(L125&lt;AD125,I125+J125-K125,0),IF(R125&lt;AD125,O125+P125-Q125,0),IF(X125&lt;AD125,U125+V125-W125,0)))))</x:f>
        <x:v>0</x:v>
      </x:c>
      <x:c r="AF125" s="6" t="n">
        <x:f>ROUND(MAX(0,AA125+AB125-AC125-AE125),2)</x:f>
        <x:v>0</x:v>
      </x:c>
      <x:c r="AG125" s="6" t="n">
        <x:f>SUM(H125,N125,T125,Z125,AF125)</x:f>
        <x:v>0</x:v>
      </x:c>
      <x:c r="AH125" s="6" t="n">
        <x:f>SUM(D125,J125,P125,V125,AB125)+AH124</x:f>
        <x:v>1220.8400000000001</x:v>
      </x:c>
      <x:c r="AI125" s="2"/>
    </x:row>
    <x:row r="126" ht="23" customHeight="1">
      <x:c r="B126" s="2" t="n">
        <x:f>118</x:f>
        <x:v>118</x:v>
      </x:c>
      <x:c r="C126" s="6" t="n">
        <x:f>H125</x:f>
        <x:v>0</x:v>
      </x:c>
      <x:c r="D126" s="6" t="n">
        <x:f>ROUND(C126*'Debt strategy'!$D$9/12,2)</x:f>
        <x:v>0</x:v>
      </x:c>
      <x:c r="E126" s="6" t="n">
        <x:f>MIN(C126+D126,'Debt strategy'!$E$9)</x:f>
        <x:v>0</x:v>
      </x:c>
      <x:c r="F126" s="27" t="n">
        <x:f>IF(C126+D126-E126&lt;=0,99,1+SUM(IF(AND(I126+J126-K126&gt;0,OR('Debt strategy'!$D$10&gt;'Debt strategy'!$D$9,AND('Debt strategy'!$D$10='Debt strategy'!$D$9,1&lt;0))),1,0),IF(AND(O126+P126-Q126&gt;0,OR('Debt strategy'!$D$11&gt;'Debt strategy'!$D$9,AND('Debt strategy'!$D$11='Debt strategy'!$D$9,2&lt;0))),1,0),IF(AND(U126+V126-W126&gt;0,OR('Debt strategy'!$D$12&gt;'Debt strategy'!$D$9,AND('Debt strategy'!$D$12='Debt strategy'!$D$9,3&lt;0))),1,0),IF(AND(AA126+AB126-AC126&gt;0,OR('Debt strategy'!$D$13&gt;'Debt strategy'!$D$9,AND('Debt strategy'!$D$13='Debt strategy'!$D$9,4&lt;0))),1,0)))</x:f>
        <x:v>99</x:v>
      </x:c>
      <x:c r="G126" s="6" t="n">
        <x:f>IF('Debt strategy'!$C$16&gt;0,0,MIN(C126+D126-E126,MAX(0,'Debt strategy'!$C$5-SUM(E126,K126,Q126,W126,AC126)-SUM(IF(L126&lt;F126,I126+J126-K126,0),IF(R126&lt;F126,O126+P126-Q126,0),IF(X126&lt;F126,U126+V126-W126,0),IF(AD126&lt;F126,AA126+AB126-AC126,0)))))</x:f>
        <x:v>0</x:v>
      </x:c>
      <x:c r="H126" s="6" t="n">
        <x:f>ROUND(MAX(0,C126+D126-E126-G126),2)</x:f>
        <x:v>0</x:v>
      </x:c>
      <x:c r="I126" s="6" t="n">
        <x:f>N125</x:f>
        <x:v>0</x:v>
      </x:c>
      <x:c r="J126" s="6" t="n">
        <x:f>ROUND(I126*'Debt strategy'!$D$10/12,2)</x:f>
        <x:v>0</x:v>
      </x:c>
      <x:c r="K126" s="6" t="n">
        <x:f>MIN(I126+J126,'Debt strategy'!$E$10)</x:f>
        <x:v>0</x:v>
      </x:c>
      <x:c r="L126" s="27" t="n">
        <x:f>IF(I126+J126-K126&lt;=0,99,1+SUM(IF(AND(C126+D126-E126&gt;0,OR('Debt strategy'!$D$9&gt;'Debt strategy'!$D$10,AND('Debt strategy'!$D$9='Debt strategy'!$D$10,0&lt;1))),1,0),IF(AND(O126+P126-Q126&gt;0,OR('Debt strategy'!$D$11&gt;'Debt strategy'!$D$10,AND('Debt strategy'!$D$11='Debt strategy'!$D$10,2&lt;1))),1,0),IF(AND(U126+V126-W126&gt;0,OR('Debt strategy'!$D$12&gt;'Debt strategy'!$D$10,AND('Debt strategy'!$D$12='Debt strategy'!$D$10,3&lt;1))),1,0),IF(AND(AA126+AB126-AC126&gt;0,OR('Debt strategy'!$D$13&gt;'Debt strategy'!$D$10,AND('Debt strategy'!$D$13='Debt strategy'!$D$10,4&lt;1))),1,0)))</x:f>
        <x:v>99</x:v>
      </x:c>
      <x:c r="M126" s="6" t="n">
        <x:f>IF('Debt strategy'!$C$16&gt;0,0,MIN(I126+J126-K126,MAX(0,'Debt strategy'!$C$5-SUM(E126,K126,Q126,W126,AC126)-SUM(IF(F126&lt;L126,C126+D126-E126,0),IF(R126&lt;L126,O126+P126-Q126,0),IF(X126&lt;L126,U126+V126-W126,0),IF(AD126&lt;L126,AA126+AB126-AC126,0)))))</x:f>
        <x:v>0</x:v>
      </x:c>
      <x:c r="N126" s="6" t="n">
        <x:f>ROUND(MAX(0,I126+J126-K126-M126),2)</x:f>
        <x:v>0</x:v>
      </x:c>
      <x:c r="O126" s="6" t="n">
        <x:f>T125</x:f>
        <x:v>0</x:v>
      </x:c>
      <x:c r="P126" s="6" t="n">
        <x:f>ROUND(O126*'Debt strategy'!$D$11/12,2)</x:f>
        <x:v>0</x:v>
      </x:c>
      <x:c r="Q126" s="6" t="n">
        <x:f>MIN(O126+P126,'Debt strategy'!$E$11)</x:f>
        <x:v>0</x:v>
      </x:c>
      <x:c r="R126" s="27" t="n">
        <x:f>IF(O126+P126-Q126&lt;=0,99,1+SUM(IF(AND(C126+D126-E126&gt;0,OR('Debt strategy'!$D$9&gt;'Debt strategy'!$D$11,AND('Debt strategy'!$D$9='Debt strategy'!$D$11,0&lt;2))),1,0),IF(AND(I126+J126-K126&gt;0,OR('Debt strategy'!$D$10&gt;'Debt strategy'!$D$11,AND('Debt strategy'!$D$10='Debt strategy'!$D$11,1&lt;2))),1,0),IF(AND(U126+V126-W126&gt;0,OR('Debt strategy'!$D$12&gt;'Debt strategy'!$D$11,AND('Debt strategy'!$D$12='Debt strategy'!$D$11,3&lt;2))),1,0),IF(AND(AA126+AB126-AC126&gt;0,OR('Debt strategy'!$D$13&gt;'Debt strategy'!$D$11,AND('Debt strategy'!$D$13='Debt strategy'!$D$11,4&lt;2))),1,0)))</x:f>
        <x:v>99</x:v>
      </x:c>
      <x:c r="S126" s="6" t="n">
        <x:f>IF('Debt strategy'!$C$16&gt;0,0,MIN(O126+P126-Q126,MAX(0,'Debt strategy'!$C$5-SUM(E126,K126,Q126,W126,AC126)-SUM(IF(F126&lt;R126,C126+D126-E126,0),IF(L126&lt;R126,I126+J126-K126,0),IF(X126&lt;R126,U126+V126-W126,0),IF(AD126&lt;R126,AA126+AB126-AC126,0)))))</x:f>
        <x:v>0</x:v>
      </x:c>
      <x:c r="T126" s="6" t="n">
        <x:f>ROUND(MAX(0,O126+P126-Q126-S126),2)</x:f>
        <x:v>0</x:v>
      </x:c>
      <x:c r="U126" s="6" t="n">
        <x:f>Z125</x:f>
        <x:v>0</x:v>
      </x:c>
      <x:c r="V126" s="6" t="n">
        <x:f>ROUND(U126*'Debt strategy'!$D$12/12,2)</x:f>
        <x:v>0</x:v>
      </x:c>
      <x:c r="W126" s="6" t="n">
        <x:f>MIN(U126+V126,'Debt strategy'!$E$12)</x:f>
        <x:v>0</x:v>
      </x:c>
      <x:c r="X126" s="27" t="n">
        <x:f>IF(U126+V126-W126&lt;=0,99,1+SUM(IF(AND(C126+D126-E126&gt;0,OR('Debt strategy'!$D$9&gt;'Debt strategy'!$D$12,AND('Debt strategy'!$D$9='Debt strategy'!$D$12,0&lt;3))),1,0),IF(AND(I126+J126-K126&gt;0,OR('Debt strategy'!$D$10&gt;'Debt strategy'!$D$12,AND('Debt strategy'!$D$10='Debt strategy'!$D$12,1&lt;3))),1,0),IF(AND(O126+P126-Q126&gt;0,OR('Debt strategy'!$D$11&gt;'Debt strategy'!$D$12,AND('Debt strategy'!$D$11='Debt strategy'!$D$12,2&lt;3))),1,0),IF(AND(AA126+AB126-AC126&gt;0,OR('Debt strategy'!$D$13&gt;'Debt strategy'!$D$12,AND('Debt strategy'!$D$13='Debt strategy'!$D$12,4&lt;3))),1,0)))</x:f>
        <x:v>99</x:v>
      </x:c>
      <x:c r="Y126" s="6" t="n">
        <x:f>IF('Debt strategy'!$C$16&gt;0,0,MIN(U126+V126-W126,MAX(0,'Debt strategy'!$C$5-SUM(E126,K126,Q126,W126,AC126)-SUM(IF(F126&lt;X126,C126+D126-E126,0),IF(L126&lt;X126,I126+J126-K126,0),IF(R126&lt;X126,O126+P126-Q126,0),IF(AD126&lt;X126,AA126+AB126-AC126,0)))))</x:f>
        <x:v>0</x:v>
      </x:c>
      <x:c r="Z126" s="6" t="n">
        <x:f>ROUND(MAX(0,U126+V126-W126-Y126),2)</x:f>
        <x:v>0</x:v>
      </x:c>
      <x:c r="AA126" s="6" t="n">
        <x:f>AF125</x:f>
        <x:v>0</x:v>
      </x:c>
      <x:c r="AB126" s="6" t="n">
        <x:f>ROUND(AA126*'Debt strategy'!$D$13/12,2)</x:f>
        <x:v>0</x:v>
      </x:c>
      <x:c r="AC126" s="6" t="n">
        <x:f>MIN(AA126+AB126,'Debt strategy'!$E$13)</x:f>
        <x:v>0</x:v>
      </x:c>
      <x:c r="AD126" s="27" t="n">
        <x:f>IF(AA126+AB126-AC126&lt;=0,99,1+SUM(IF(AND(C126+D126-E126&gt;0,OR('Debt strategy'!$D$9&gt;'Debt strategy'!$D$13,AND('Debt strategy'!$D$9='Debt strategy'!$D$13,0&lt;4))),1,0),IF(AND(I126+J126-K126&gt;0,OR('Debt strategy'!$D$10&gt;'Debt strategy'!$D$13,AND('Debt strategy'!$D$10='Debt strategy'!$D$13,1&lt;4))),1,0),IF(AND(O126+P126-Q126&gt;0,OR('Debt strategy'!$D$11&gt;'Debt strategy'!$D$13,AND('Debt strategy'!$D$11='Debt strategy'!$D$13,2&lt;4))),1,0),IF(AND(U126+V126-W126&gt;0,OR('Debt strategy'!$D$12&gt;'Debt strategy'!$D$13,AND('Debt strategy'!$D$12='Debt strategy'!$D$13,3&lt;4))),1,0)))</x:f>
        <x:v>99</x:v>
      </x:c>
      <x:c r="AE126" s="6" t="n">
        <x:f>IF('Debt strategy'!$C$16&gt;0,0,MIN(AA126+AB126-AC126,MAX(0,'Debt strategy'!$C$5-SUM(E126,K126,Q126,W126,AC126)-SUM(IF(F126&lt;AD126,C126+D126-E126,0),IF(L126&lt;AD126,I126+J126-K126,0),IF(R126&lt;AD126,O126+P126-Q126,0),IF(X126&lt;AD126,U126+V126-W126,0)))))</x:f>
        <x:v>0</x:v>
      </x:c>
      <x:c r="AF126" s="6" t="n">
        <x:f>ROUND(MAX(0,AA126+AB126-AC126-AE126),2)</x:f>
        <x:v>0</x:v>
      </x:c>
      <x:c r="AG126" s="6" t="n">
        <x:f>SUM(H126,N126,T126,Z126,AF126)</x:f>
        <x:v>0</x:v>
      </x:c>
      <x:c r="AH126" s="6" t="n">
        <x:f>SUM(D126,J126,P126,V126,AB126)+AH125</x:f>
        <x:v>1220.8400000000001</x:v>
      </x:c>
      <x:c r="AI126" s="2"/>
    </x:row>
    <x:row r="127" ht="23" customHeight="1">
      <x:c r="B127" s="2" t="n">
        <x:f>119</x:f>
        <x:v>119</x:v>
      </x:c>
      <x:c r="C127" s="6" t="n">
        <x:f>H126</x:f>
        <x:v>0</x:v>
      </x:c>
      <x:c r="D127" s="6" t="n">
        <x:f>ROUND(C127*'Debt strategy'!$D$9/12,2)</x:f>
        <x:v>0</x:v>
      </x:c>
      <x:c r="E127" s="6" t="n">
        <x:f>MIN(C127+D127,'Debt strategy'!$E$9)</x:f>
        <x:v>0</x:v>
      </x:c>
      <x:c r="F127" s="27" t="n">
        <x:f>IF(C127+D127-E127&lt;=0,99,1+SUM(IF(AND(I127+J127-K127&gt;0,OR('Debt strategy'!$D$10&gt;'Debt strategy'!$D$9,AND('Debt strategy'!$D$10='Debt strategy'!$D$9,1&lt;0))),1,0),IF(AND(O127+P127-Q127&gt;0,OR('Debt strategy'!$D$11&gt;'Debt strategy'!$D$9,AND('Debt strategy'!$D$11='Debt strategy'!$D$9,2&lt;0))),1,0),IF(AND(U127+V127-W127&gt;0,OR('Debt strategy'!$D$12&gt;'Debt strategy'!$D$9,AND('Debt strategy'!$D$12='Debt strategy'!$D$9,3&lt;0))),1,0),IF(AND(AA127+AB127-AC127&gt;0,OR('Debt strategy'!$D$13&gt;'Debt strategy'!$D$9,AND('Debt strategy'!$D$13='Debt strategy'!$D$9,4&lt;0))),1,0)))</x:f>
        <x:v>99</x:v>
      </x:c>
      <x:c r="G127" s="6" t="n">
        <x:f>IF('Debt strategy'!$C$16&gt;0,0,MIN(C127+D127-E127,MAX(0,'Debt strategy'!$C$5-SUM(E127,K127,Q127,W127,AC127)-SUM(IF(L127&lt;F127,I127+J127-K127,0),IF(R127&lt;F127,O127+P127-Q127,0),IF(X127&lt;F127,U127+V127-W127,0),IF(AD127&lt;F127,AA127+AB127-AC127,0)))))</x:f>
        <x:v>0</x:v>
      </x:c>
      <x:c r="H127" s="6" t="n">
        <x:f>ROUND(MAX(0,C127+D127-E127-G127),2)</x:f>
        <x:v>0</x:v>
      </x:c>
      <x:c r="I127" s="6" t="n">
        <x:f>N126</x:f>
        <x:v>0</x:v>
      </x:c>
      <x:c r="J127" s="6" t="n">
        <x:f>ROUND(I127*'Debt strategy'!$D$10/12,2)</x:f>
        <x:v>0</x:v>
      </x:c>
      <x:c r="K127" s="6" t="n">
        <x:f>MIN(I127+J127,'Debt strategy'!$E$10)</x:f>
        <x:v>0</x:v>
      </x:c>
      <x:c r="L127" s="27" t="n">
        <x:f>IF(I127+J127-K127&lt;=0,99,1+SUM(IF(AND(C127+D127-E127&gt;0,OR('Debt strategy'!$D$9&gt;'Debt strategy'!$D$10,AND('Debt strategy'!$D$9='Debt strategy'!$D$10,0&lt;1))),1,0),IF(AND(O127+P127-Q127&gt;0,OR('Debt strategy'!$D$11&gt;'Debt strategy'!$D$10,AND('Debt strategy'!$D$11='Debt strategy'!$D$10,2&lt;1))),1,0),IF(AND(U127+V127-W127&gt;0,OR('Debt strategy'!$D$12&gt;'Debt strategy'!$D$10,AND('Debt strategy'!$D$12='Debt strategy'!$D$10,3&lt;1))),1,0),IF(AND(AA127+AB127-AC127&gt;0,OR('Debt strategy'!$D$13&gt;'Debt strategy'!$D$10,AND('Debt strategy'!$D$13='Debt strategy'!$D$10,4&lt;1))),1,0)))</x:f>
        <x:v>99</x:v>
      </x:c>
      <x:c r="M127" s="6" t="n">
        <x:f>IF('Debt strategy'!$C$16&gt;0,0,MIN(I127+J127-K127,MAX(0,'Debt strategy'!$C$5-SUM(E127,K127,Q127,W127,AC127)-SUM(IF(F127&lt;L127,C127+D127-E127,0),IF(R127&lt;L127,O127+P127-Q127,0),IF(X127&lt;L127,U127+V127-W127,0),IF(AD127&lt;L127,AA127+AB127-AC127,0)))))</x:f>
        <x:v>0</x:v>
      </x:c>
      <x:c r="N127" s="6" t="n">
        <x:f>ROUND(MAX(0,I127+J127-K127-M127),2)</x:f>
        <x:v>0</x:v>
      </x:c>
      <x:c r="O127" s="6" t="n">
        <x:f>T126</x:f>
        <x:v>0</x:v>
      </x:c>
      <x:c r="P127" s="6" t="n">
        <x:f>ROUND(O127*'Debt strategy'!$D$11/12,2)</x:f>
        <x:v>0</x:v>
      </x:c>
      <x:c r="Q127" s="6" t="n">
        <x:f>MIN(O127+P127,'Debt strategy'!$E$11)</x:f>
        <x:v>0</x:v>
      </x:c>
      <x:c r="R127" s="27" t="n">
        <x:f>IF(O127+P127-Q127&lt;=0,99,1+SUM(IF(AND(C127+D127-E127&gt;0,OR('Debt strategy'!$D$9&gt;'Debt strategy'!$D$11,AND('Debt strategy'!$D$9='Debt strategy'!$D$11,0&lt;2))),1,0),IF(AND(I127+J127-K127&gt;0,OR('Debt strategy'!$D$10&gt;'Debt strategy'!$D$11,AND('Debt strategy'!$D$10='Debt strategy'!$D$11,1&lt;2))),1,0),IF(AND(U127+V127-W127&gt;0,OR('Debt strategy'!$D$12&gt;'Debt strategy'!$D$11,AND('Debt strategy'!$D$12='Debt strategy'!$D$11,3&lt;2))),1,0),IF(AND(AA127+AB127-AC127&gt;0,OR('Debt strategy'!$D$13&gt;'Debt strategy'!$D$11,AND('Debt strategy'!$D$13='Debt strategy'!$D$11,4&lt;2))),1,0)))</x:f>
        <x:v>99</x:v>
      </x:c>
      <x:c r="S127" s="6" t="n">
        <x:f>IF('Debt strategy'!$C$16&gt;0,0,MIN(O127+P127-Q127,MAX(0,'Debt strategy'!$C$5-SUM(E127,K127,Q127,W127,AC127)-SUM(IF(F127&lt;R127,C127+D127-E127,0),IF(L127&lt;R127,I127+J127-K127,0),IF(X127&lt;R127,U127+V127-W127,0),IF(AD127&lt;R127,AA127+AB127-AC127,0)))))</x:f>
        <x:v>0</x:v>
      </x:c>
      <x:c r="T127" s="6" t="n">
        <x:f>ROUND(MAX(0,O127+P127-Q127-S127),2)</x:f>
        <x:v>0</x:v>
      </x:c>
      <x:c r="U127" s="6" t="n">
        <x:f>Z126</x:f>
        <x:v>0</x:v>
      </x:c>
      <x:c r="V127" s="6" t="n">
        <x:f>ROUND(U127*'Debt strategy'!$D$12/12,2)</x:f>
        <x:v>0</x:v>
      </x:c>
      <x:c r="W127" s="6" t="n">
        <x:f>MIN(U127+V127,'Debt strategy'!$E$12)</x:f>
        <x:v>0</x:v>
      </x:c>
      <x:c r="X127" s="27" t="n">
        <x:f>IF(U127+V127-W127&lt;=0,99,1+SUM(IF(AND(C127+D127-E127&gt;0,OR('Debt strategy'!$D$9&gt;'Debt strategy'!$D$12,AND('Debt strategy'!$D$9='Debt strategy'!$D$12,0&lt;3))),1,0),IF(AND(I127+J127-K127&gt;0,OR('Debt strategy'!$D$10&gt;'Debt strategy'!$D$12,AND('Debt strategy'!$D$10='Debt strategy'!$D$12,1&lt;3))),1,0),IF(AND(O127+P127-Q127&gt;0,OR('Debt strategy'!$D$11&gt;'Debt strategy'!$D$12,AND('Debt strategy'!$D$11='Debt strategy'!$D$12,2&lt;3))),1,0),IF(AND(AA127+AB127-AC127&gt;0,OR('Debt strategy'!$D$13&gt;'Debt strategy'!$D$12,AND('Debt strategy'!$D$13='Debt strategy'!$D$12,4&lt;3))),1,0)))</x:f>
        <x:v>99</x:v>
      </x:c>
      <x:c r="Y127" s="6" t="n">
        <x:f>IF('Debt strategy'!$C$16&gt;0,0,MIN(U127+V127-W127,MAX(0,'Debt strategy'!$C$5-SUM(E127,K127,Q127,W127,AC127)-SUM(IF(F127&lt;X127,C127+D127-E127,0),IF(L127&lt;X127,I127+J127-K127,0),IF(R127&lt;X127,O127+P127-Q127,0),IF(AD127&lt;X127,AA127+AB127-AC127,0)))))</x:f>
        <x:v>0</x:v>
      </x:c>
      <x:c r="Z127" s="6" t="n">
        <x:f>ROUND(MAX(0,U127+V127-W127-Y127),2)</x:f>
        <x:v>0</x:v>
      </x:c>
      <x:c r="AA127" s="6" t="n">
        <x:f>AF126</x:f>
        <x:v>0</x:v>
      </x:c>
      <x:c r="AB127" s="6" t="n">
        <x:f>ROUND(AA127*'Debt strategy'!$D$13/12,2)</x:f>
        <x:v>0</x:v>
      </x:c>
      <x:c r="AC127" s="6" t="n">
        <x:f>MIN(AA127+AB127,'Debt strategy'!$E$13)</x:f>
        <x:v>0</x:v>
      </x:c>
      <x:c r="AD127" s="27" t="n">
        <x:f>IF(AA127+AB127-AC127&lt;=0,99,1+SUM(IF(AND(C127+D127-E127&gt;0,OR('Debt strategy'!$D$9&gt;'Debt strategy'!$D$13,AND('Debt strategy'!$D$9='Debt strategy'!$D$13,0&lt;4))),1,0),IF(AND(I127+J127-K127&gt;0,OR('Debt strategy'!$D$10&gt;'Debt strategy'!$D$13,AND('Debt strategy'!$D$10='Debt strategy'!$D$13,1&lt;4))),1,0),IF(AND(O127+P127-Q127&gt;0,OR('Debt strategy'!$D$11&gt;'Debt strategy'!$D$13,AND('Debt strategy'!$D$11='Debt strategy'!$D$13,2&lt;4))),1,0),IF(AND(U127+V127-W127&gt;0,OR('Debt strategy'!$D$12&gt;'Debt strategy'!$D$13,AND('Debt strategy'!$D$12='Debt strategy'!$D$13,3&lt;4))),1,0)))</x:f>
        <x:v>99</x:v>
      </x:c>
      <x:c r="AE127" s="6" t="n">
        <x:f>IF('Debt strategy'!$C$16&gt;0,0,MIN(AA127+AB127-AC127,MAX(0,'Debt strategy'!$C$5-SUM(E127,K127,Q127,W127,AC127)-SUM(IF(F127&lt;AD127,C127+D127-E127,0),IF(L127&lt;AD127,I127+J127-K127,0),IF(R127&lt;AD127,O127+P127-Q127,0),IF(X127&lt;AD127,U127+V127-W127,0)))))</x:f>
        <x:v>0</x:v>
      </x:c>
      <x:c r="AF127" s="6" t="n">
        <x:f>ROUND(MAX(0,AA127+AB127-AC127-AE127),2)</x:f>
        <x:v>0</x:v>
      </x:c>
      <x:c r="AG127" s="6" t="n">
        <x:f>SUM(H127,N127,T127,Z127,AF127)</x:f>
        <x:v>0</x:v>
      </x:c>
      <x:c r="AH127" s="6" t="n">
        <x:f>SUM(D127,J127,P127,V127,AB127)+AH126</x:f>
        <x:v>1220.8400000000001</x:v>
      </x:c>
      <x:c r="AI127" s="2"/>
    </x:row>
    <x:row r="128" ht="23" customHeight="1">
      <x:c r="B128" s="2" t="n">
        <x:f>120</x:f>
        <x:v>120</x:v>
      </x:c>
      <x:c r="C128" s="6" t="n">
        <x:f>H127</x:f>
        <x:v>0</x:v>
      </x:c>
      <x:c r="D128" s="6" t="n">
        <x:f>ROUND(C128*'Debt strategy'!$D$9/12,2)</x:f>
        <x:v>0</x:v>
      </x:c>
      <x:c r="E128" s="6" t="n">
        <x:f>MIN(C128+D128,'Debt strategy'!$E$9)</x:f>
        <x:v>0</x:v>
      </x:c>
      <x:c r="F128" s="27" t="n">
        <x:f>IF(C128+D128-E128&lt;=0,99,1+SUM(IF(AND(I128+J128-K128&gt;0,OR('Debt strategy'!$D$10&gt;'Debt strategy'!$D$9,AND('Debt strategy'!$D$10='Debt strategy'!$D$9,1&lt;0))),1,0),IF(AND(O128+P128-Q128&gt;0,OR('Debt strategy'!$D$11&gt;'Debt strategy'!$D$9,AND('Debt strategy'!$D$11='Debt strategy'!$D$9,2&lt;0))),1,0),IF(AND(U128+V128-W128&gt;0,OR('Debt strategy'!$D$12&gt;'Debt strategy'!$D$9,AND('Debt strategy'!$D$12='Debt strategy'!$D$9,3&lt;0))),1,0),IF(AND(AA128+AB128-AC128&gt;0,OR('Debt strategy'!$D$13&gt;'Debt strategy'!$D$9,AND('Debt strategy'!$D$13='Debt strategy'!$D$9,4&lt;0))),1,0)))</x:f>
        <x:v>99</x:v>
      </x:c>
      <x:c r="G128" s="6" t="n">
        <x:f>IF('Debt strategy'!$C$16&gt;0,0,MIN(C128+D128-E128,MAX(0,'Debt strategy'!$C$5-SUM(E128,K128,Q128,W128,AC128)-SUM(IF(L128&lt;F128,I128+J128-K128,0),IF(R128&lt;F128,O128+P128-Q128,0),IF(X128&lt;F128,U128+V128-W128,0),IF(AD128&lt;F128,AA128+AB128-AC128,0)))))</x:f>
        <x:v>0</x:v>
      </x:c>
      <x:c r="H128" s="6" t="n">
        <x:f>ROUND(MAX(0,C128+D128-E128-G128),2)</x:f>
        <x:v>0</x:v>
      </x:c>
      <x:c r="I128" s="6" t="n">
        <x:f>N127</x:f>
        <x:v>0</x:v>
      </x:c>
      <x:c r="J128" s="6" t="n">
        <x:f>ROUND(I128*'Debt strategy'!$D$10/12,2)</x:f>
        <x:v>0</x:v>
      </x:c>
      <x:c r="K128" s="6" t="n">
        <x:f>MIN(I128+J128,'Debt strategy'!$E$10)</x:f>
        <x:v>0</x:v>
      </x:c>
      <x:c r="L128" s="27" t="n">
        <x:f>IF(I128+J128-K128&lt;=0,99,1+SUM(IF(AND(C128+D128-E128&gt;0,OR('Debt strategy'!$D$9&gt;'Debt strategy'!$D$10,AND('Debt strategy'!$D$9='Debt strategy'!$D$10,0&lt;1))),1,0),IF(AND(O128+P128-Q128&gt;0,OR('Debt strategy'!$D$11&gt;'Debt strategy'!$D$10,AND('Debt strategy'!$D$11='Debt strategy'!$D$10,2&lt;1))),1,0),IF(AND(U128+V128-W128&gt;0,OR('Debt strategy'!$D$12&gt;'Debt strategy'!$D$10,AND('Debt strategy'!$D$12='Debt strategy'!$D$10,3&lt;1))),1,0),IF(AND(AA128+AB128-AC128&gt;0,OR('Debt strategy'!$D$13&gt;'Debt strategy'!$D$10,AND('Debt strategy'!$D$13='Debt strategy'!$D$10,4&lt;1))),1,0)))</x:f>
        <x:v>99</x:v>
      </x:c>
      <x:c r="M128" s="6" t="n">
        <x:f>IF('Debt strategy'!$C$16&gt;0,0,MIN(I128+J128-K128,MAX(0,'Debt strategy'!$C$5-SUM(E128,K128,Q128,W128,AC128)-SUM(IF(F128&lt;L128,C128+D128-E128,0),IF(R128&lt;L128,O128+P128-Q128,0),IF(X128&lt;L128,U128+V128-W128,0),IF(AD128&lt;L128,AA128+AB128-AC128,0)))))</x:f>
        <x:v>0</x:v>
      </x:c>
      <x:c r="N128" s="6" t="n">
        <x:f>ROUND(MAX(0,I128+J128-K128-M128),2)</x:f>
        <x:v>0</x:v>
      </x:c>
      <x:c r="O128" s="6" t="n">
        <x:f>T127</x:f>
        <x:v>0</x:v>
      </x:c>
      <x:c r="P128" s="6" t="n">
        <x:f>ROUND(O128*'Debt strategy'!$D$11/12,2)</x:f>
        <x:v>0</x:v>
      </x:c>
      <x:c r="Q128" s="6" t="n">
        <x:f>MIN(O128+P128,'Debt strategy'!$E$11)</x:f>
        <x:v>0</x:v>
      </x:c>
      <x:c r="R128" s="27" t="n">
        <x:f>IF(O128+P128-Q128&lt;=0,99,1+SUM(IF(AND(C128+D128-E128&gt;0,OR('Debt strategy'!$D$9&gt;'Debt strategy'!$D$11,AND('Debt strategy'!$D$9='Debt strategy'!$D$11,0&lt;2))),1,0),IF(AND(I128+J128-K128&gt;0,OR('Debt strategy'!$D$10&gt;'Debt strategy'!$D$11,AND('Debt strategy'!$D$10='Debt strategy'!$D$11,1&lt;2))),1,0),IF(AND(U128+V128-W128&gt;0,OR('Debt strategy'!$D$12&gt;'Debt strategy'!$D$11,AND('Debt strategy'!$D$12='Debt strategy'!$D$11,3&lt;2))),1,0),IF(AND(AA128+AB128-AC128&gt;0,OR('Debt strategy'!$D$13&gt;'Debt strategy'!$D$11,AND('Debt strategy'!$D$13='Debt strategy'!$D$11,4&lt;2))),1,0)))</x:f>
        <x:v>99</x:v>
      </x:c>
      <x:c r="S128" s="6" t="n">
        <x:f>IF('Debt strategy'!$C$16&gt;0,0,MIN(O128+P128-Q128,MAX(0,'Debt strategy'!$C$5-SUM(E128,K128,Q128,W128,AC128)-SUM(IF(F128&lt;R128,C128+D128-E128,0),IF(L128&lt;R128,I128+J128-K128,0),IF(X128&lt;R128,U128+V128-W128,0),IF(AD128&lt;R128,AA128+AB128-AC128,0)))))</x:f>
        <x:v>0</x:v>
      </x:c>
      <x:c r="T128" s="6" t="n">
        <x:f>ROUND(MAX(0,O128+P128-Q128-S128),2)</x:f>
        <x:v>0</x:v>
      </x:c>
      <x:c r="U128" s="6" t="n">
        <x:f>Z127</x:f>
        <x:v>0</x:v>
      </x:c>
      <x:c r="V128" s="6" t="n">
        <x:f>ROUND(U128*'Debt strategy'!$D$12/12,2)</x:f>
        <x:v>0</x:v>
      </x:c>
      <x:c r="W128" s="6" t="n">
        <x:f>MIN(U128+V128,'Debt strategy'!$E$12)</x:f>
        <x:v>0</x:v>
      </x:c>
      <x:c r="X128" s="27" t="n">
        <x:f>IF(U128+V128-W128&lt;=0,99,1+SUM(IF(AND(C128+D128-E128&gt;0,OR('Debt strategy'!$D$9&gt;'Debt strategy'!$D$12,AND('Debt strategy'!$D$9='Debt strategy'!$D$12,0&lt;3))),1,0),IF(AND(I128+J128-K128&gt;0,OR('Debt strategy'!$D$10&gt;'Debt strategy'!$D$12,AND('Debt strategy'!$D$10='Debt strategy'!$D$12,1&lt;3))),1,0),IF(AND(O128+P128-Q128&gt;0,OR('Debt strategy'!$D$11&gt;'Debt strategy'!$D$12,AND('Debt strategy'!$D$11='Debt strategy'!$D$12,2&lt;3))),1,0),IF(AND(AA128+AB128-AC128&gt;0,OR('Debt strategy'!$D$13&gt;'Debt strategy'!$D$12,AND('Debt strategy'!$D$13='Debt strategy'!$D$12,4&lt;3))),1,0)))</x:f>
        <x:v>99</x:v>
      </x:c>
      <x:c r="Y128" s="6" t="n">
        <x:f>IF('Debt strategy'!$C$16&gt;0,0,MIN(U128+V128-W128,MAX(0,'Debt strategy'!$C$5-SUM(E128,K128,Q128,W128,AC128)-SUM(IF(F128&lt;X128,C128+D128-E128,0),IF(L128&lt;X128,I128+J128-K128,0),IF(R128&lt;X128,O128+P128-Q128,0),IF(AD128&lt;X128,AA128+AB128-AC128,0)))))</x:f>
        <x:v>0</x:v>
      </x:c>
      <x:c r="Z128" s="6" t="n">
        <x:f>ROUND(MAX(0,U128+V128-W128-Y128),2)</x:f>
        <x:v>0</x:v>
      </x:c>
      <x:c r="AA128" s="6" t="n">
        <x:f>AF127</x:f>
        <x:v>0</x:v>
      </x:c>
      <x:c r="AB128" s="6" t="n">
        <x:f>ROUND(AA128*'Debt strategy'!$D$13/12,2)</x:f>
        <x:v>0</x:v>
      </x:c>
      <x:c r="AC128" s="6" t="n">
        <x:f>MIN(AA128+AB128,'Debt strategy'!$E$13)</x:f>
        <x:v>0</x:v>
      </x:c>
      <x:c r="AD128" s="27" t="n">
        <x:f>IF(AA128+AB128-AC128&lt;=0,99,1+SUM(IF(AND(C128+D128-E128&gt;0,OR('Debt strategy'!$D$9&gt;'Debt strategy'!$D$13,AND('Debt strategy'!$D$9='Debt strategy'!$D$13,0&lt;4))),1,0),IF(AND(I128+J128-K128&gt;0,OR('Debt strategy'!$D$10&gt;'Debt strategy'!$D$13,AND('Debt strategy'!$D$10='Debt strategy'!$D$13,1&lt;4))),1,0),IF(AND(O128+P128-Q128&gt;0,OR('Debt strategy'!$D$11&gt;'Debt strategy'!$D$13,AND('Debt strategy'!$D$11='Debt strategy'!$D$13,2&lt;4))),1,0),IF(AND(U128+V128-W128&gt;0,OR('Debt strategy'!$D$12&gt;'Debt strategy'!$D$13,AND('Debt strategy'!$D$12='Debt strategy'!$D$13,3&lt;4))),1,0)))</x:f>
        <x:v>99</x:v>
      </x:c>
      <x:c r="AE128" s="6" t="n">
        <x:f>IF('Debt strategy'!$C$16&gt;0,0,MIN(AA128+AB128-AC128,MAX(0,'Debt strategy'!$C$5-SUM(E128,K128,Q128,W128,AC128)-SUM(IF(F128&lt;AD128,C128+D128-E128,0),IF(L128&lt;AD128,I128+J128-K128,0),IF(R128&lt;AD128,O128+P128-Q128,0),IF(X128&lt;AD128,U128+V128-W128,0)))))</x:f>
        <x:v>0</x:v>
      </x:c>
      <x:c r="AF128" s="6" t="n">
        <x:f>ROUND(MAX(0,AA128+AB128-AC128-AE128),2)</x:f>
        <x:v>0</x:v>
      </x:c>
      <x:c r="AG128" s="6" t="n">
        <x:f>SUM(H128,N128,T128,Z128,AF128)</x:f>
        <x:v>0</x:v>
      </x:c>
      <x:c r="AH128" s="6" t="n">
        <x:f>SUM(D128,J128,P128,V128,AB128)+AH127</x:f>
        <x:v>1220.8400000000001</x:v>
      </x:c>
      <x:c r="AI128" s="2"/>
    </x:row>
    <x:row r="129" ht="23" customHeight="1">
      <x:c r="B129" s="2" t="n">
        <x:f>121</x:f>
        <x:v>121</x:v>
      </x:c>
      <x:c r="C129" s="6" t="n">
        <x:f>H128</x:f>
        <x:v>0</x:v>
      </x:c>
      <x:c r="D129" s="6" t="n">
        <x:f>ROUND(C129*'Debt strategy'!$D$9/12,2)</x:f>
        <x:v>0</x:v>
      </x:c>
      <x:c r="E129" s="6" t="n">
        <x:f>MIN(C129+D129,'Debt strategy'!$E$9)</x:f>
        <x:v>0</x:v>
      </x:c>
      <x:c r="F129" s="27" t="n">
        <x:f>IF(C129+D129-E129&lt;=0,99,1+SUM(IF(AND(I129+J129-K129&gt;0,OR('Debt strategy'!$D$10&gt;'Debt strategy'!$D$9,AND('Debt strategy'!$D$10='Debt strategy'!$D$9,1&lt;0))),1,0),IF(AND(O129+P129-Q129&gt;0,OR('Debt strategy'!$D$11&gt;'Debt strategy'!$D$9,AND('Debt strategy'!$D$11='Debt strategy'!$D$9,2&lt;0))),1,0),IF(AND(U129+V129-W129&gt;0,OR('Debt strategy'!$D$12&gt;'Debt strategy'!$D$9,AND('Debt strategy'!$D$12='Debt strategy'!$D$9,3&lt;0))),1,0),IF(AND(AA129+AB129-AC129&gt;0,OR('Debt strategy'!$D$13&gt;'Debt strategy'!$D$9,AND('Debt strategy'!$D$13='Debt strategy'!$D$9,4&lt;0))),1,0)))</x:f>
        <x:v>99</x:v>
      </x:c>
      <x:c r="G129" s="6" t="n">
        <x:f>IF('Debt strategy'!$C$16&gt;0,0,MIN(C129+D129-E129,MAX(0,'Debt strategy'!$C$5-SUM(E129,K129,Q129,W129,AC129)-SUM(IF(L129&lt;F129,I129+J129-K129,0),IF(R129&lt;F129,O129+P129-Q129,0),IF(X129&lt;F129,U129+V129-W129,0),IF(AD129&lt;F129,AA129+AB129-AC129,0)))))</x:f>
        <x:v>0</x:v>
      </x:c>
      <x:c r="H129" s="6" t="n">
        <x:f>ROUND(MAX(0,C129+D129-E129-G129),2)</x:f>
        <x:v>0</x:v>
      </x:c>
      <x:c r="I129" s="6" t="n">
        <x:f>N128</x:f>
        <x:v>0</x:v>
      </x:c>
      <x:c r="J129" s="6" t="n">
        <x:f>ROUND(I129*'Debt strategy'!$D$10/12,2)</x:f>
        <x:v>0</x:v>
      </x:c>
      <x:c r="K129" s="6" t="n">
        <x:f>MIN(I129+J129,'Debt strategy'!$E$10)</x:f>
        <x:v>0</x:v>
      </x:c>
      <x:c r="L129" s="27" t="n">
        <x:f>IF(I129+J129-K129&lt;=0,99,1+SUM(IF(AND(C129+D129-E129&gt;0,OR('Debt strategy'!$D$9&gt;'Debt strategy'!$D$10,AND('Debt strategy'!$D$9='Debt strategy'!$D$10,0&lt;1))),1,0),IF(AND(O129+P129-Q129&gt;0,OR('Debt strategy'!$D$11&gt;'Debt strategy'!$D$10,AND('Debt strategy'!$D$11='Debt strategy'!$D$10,2&lt;1))),1,0),IF(AND(U129+V129-W129&gt;0,OR('Debt strategy'!$D$12&gt;'Debt strategy'!$D$10,AND('Debt strategy'!$D$12='Debt strategy'!$D$10,3&lt;1))),1,0),IF(AND(AA129+AB129-AC129&gt;0,OR('Debt strategy'!$D$13&gt;'Debt strategy'!$D$10,AND('Debt strategy'!$D$13='Debt strategy'!$D$10,4&lt;1))),1,0)))</x:f>
        <x:v>99</x:v>
      </x:c>
      <x:c r="M129" s="6" t="n">
        <x:f>IF('Debt strategy'!$C$16&gt;0,0,MIN(I129+J129-K129,MAX(0,'Debt strategy'!$C$5-SUM(E129,K129,Q129,W129,AC129)-SUM(IF(F129&lt;L129,C129+D129-E129,0),IF(R129&lt;L129,O129+P129-Q129,0),IF(X129&lt;L129,U129+V129-W129,0),IF(AD129&lt;L129,AA129+AB129-AC129,0)))))</x:f>
        <x:v>0</x:v>
      </x:c>
      <x:c r="N129" s="6" t="n">
        <x:f>ROUND(MAX(0,I129+J129-K129-M129),2)</x:f>
        <x:v>0</x:v>
      </x:c>
      <x:c r="O129" s="6" t="n">
        <x:f>T128</x:f>
        <x:v>0</x:v>
      </x:c>
      <x:c r="P129" s="6" t="n">
        <x:f>ROUND(O129*'Debt strategy'!$D$11/12,2)</x:f>
        <x:v>0</x:v>
      </x:c>
      <x:c r="Q129" s="6" t="n">
        <x:f>MIN(O129+P129,'Debt strategy'!$E$11)</x:f>
        <x:v>0</x:v>
      </x:c>
      <x:c r="R129" s="27" t="n">
        <x:f>IF(O129+P129-Q129&lt;=0,99,1+SUM(IF(AND(C129+D129-E129&gt;0,OR('Debt strategy'!$D$9&gt;'Debt strategy'!$D$11,AND('Debt strategy'!$D$9='Debt strategy'!$D$11,0&lt;2))),1,0),IF(AND(I129+J129-K129&gt;0,OR('Debt strategy'!$D$10&gt;'Debt strategy'!$D$11,AND('Debt strategy'!$D$10='Debt strategy'!$D$11,1&lt;2))),1,0),IF(AND(U129+V129-W129&gt;0,OR('Debt strategy'!$D$12&gt;'Debt strategy'!$D$11,AND('Debt strategy'!$D$12='Debt strategy'!$D$11,3&lt;2))),1,0),IF(AND(AA129+AB129-AC129&gt;0,OR('Debt strategy'!$D$13&gt;'Debt strategy'!$D$11,AND('Debt strategy'!$D$13='Debt strategy'!$D$11,4&lt;2))),1,0)))</x:f>
        <x:v>99</x:v>
      </x:c>
      <x:c r="S129" s="6" t="n">
        <x:f>IF('Debt strategy'!$C$16&gt;0,0,MIN(O129+P129-Q129,MAX(0,'Debt strategy'!$C$5-SUM(E129,K129,Q129,W129,AC129)-SUM(IF(F129&lt;R129,C129+D129-E129,0),IF(L129&lt;R129,I129+J129-K129,0),IF(X129&lt;R129,U129+V129-W129,0),IF(AD129&lt;R129,AA129+AB129-AC129,0)))))</x:f>
        <x:v>0</x:v>
      </x:c>
      <x:c r="T129" s="6" t="n">
        <x:f>ROUND(MAX(0,O129+P129-Q129-S129),2)</x:f>
        <x:v>0</x:v>
      </x:c>
      <x:c r="U129" s="6" t="n">
        <x:f>Z128</x:f>
        <x:v>0</x:v>
      </x:c>
      <x:c r="V129" s="6" t="n">
        <x:f>ROUND(U129*'Debt strategy'!$D$12/12,2)</x:f>
        <x:v>0</x:v>
      </x:c>
      <x:c r="W129" s="6" t="n">
        <x:f>MIN(U129+V129,'Debt strategy'!$E$12)</x:f>
        <x:v>0</x:v>
      </x:c>
      <x:c r="X129" s="27" t="n">
        <x:f>IF(U129+V129-W129&lt;=0,99,1+SUM(IF(AND(C129+D129-E129&gt;0,OR('Debt strategy'!$D$9&gt;'Debt strategy'!$D$12,AND('Debt strategy'!$D$9='Debt strategy'!$D$12,0&lt;3))),1,0),IF(AND(I129+J129-K129&gt;0,OR('Debt strategy'!$D$10&gt;'Debt strategy'!$D$12,AND('Debt strategy'!$D$10='Debt strategy'!$D$12,1&lt;3))),1,0),IF(AND(O129+P129-Q129&gt;0,OR('Debt strategy'!$D$11&gt;'Debt strategy'!$D$12,AND('Debt strategy'!$D$11='Debt strategy'!$D$12,2&lt;3))),1,0),IF(AND(AA129+AB129-AC129&gt;0,OR('Debt strategy'!$D$13&gt;'Debt strategy'!$D$12,AND('Debt strategy'!$D$13='Debt strategy'!$D$12,4&lt;3))),1,0)))</x:f>
        <x:v>99</x:v>
      </x:c>
      <x:c r="Y129" s="6" t="n">
        <x:f>IF('Debt strategy'!$C$16&gt;0,0,MIN(U129+V129-W129,MAX(0,'Debt strategy'!$C$5-SUM(E129,K129,Q129,W129,AC129)-SUM(IF(F129&lt;X129,C129+D129-E129,0),IF(L129&lt;X129,I129+J129-K129,0),IF(R129&lt;X129,O129+P129-Q129,0),IF(AD129&lt;X129,AA129+AB129-AC129,0)))))</x:f>
        <x:v>0</x:v>
      </x:c>
      <x:c r="Z129" s="6" t="n">
        <x:f>ROUND(MAX(0,U129+V129-W129-Y129),2)</x:f>
        <x:v>0</x:v>
      </x:c>
      <x:c r="AA129" s="6" t="n">
        <x:f>AF128</x:f>
        <x:v>0</x:v>
      </x:c>
      <x:c r="AB129" s="6" t="n">
        <x:f>ROUND(AA129*'Debt strategy'!$D$13/12,2)</x:f>
        <x:v>0</x:v>
      </x:c>
      <x:c r="AC129" s="6" t="n">
        <x:f>MIN(AA129+AB129,'Debt strategy'!$E$13)</x:f>
        <x:v>0</x:v>
      </x:c>
      <x:c r="AD129" s="27" t="n">
        <x:f>IF(AA129+AB129-AC129&lt;=0,99,1+SUM(IF(AND(C129+D129-E129&gt;0,OR('Debt strategy'!$D$9&gt;'Debt strategy'!$D$13,AND('Debt strategy'!$D$9='Debt strategy'!$D$13,0&lt;4))),1,0),IF(AND(I129+J129-K129&gt;0,OR('Debt strategy'!$D$10&gt;'Debt strategy'!$D$13,AND('Debt strategy'!$D$10='Debt strategy'!$D$13,1&lt;4))),1,0),IF(AND(O129+P129-Q129&gt;0,OR('Debt strategy'!$D$11&gt;'Debt strategy'!$D$13,AND('Debt strategy'!$D$11='Debt strategy'!$D$13,2&lt;4))),1,0),IF(AND(U129+V129-W129&gt;0,OR('Debt strategy'!$D$12&gt;'Debt strategy'!$D$13,AND('Debt strategy'!$D$12='Debt strategy'!$D$13,3&lt;4))),1,0)))</x:f>
        <x:v>99</x:v>
      </x:c>
      <x:c r="AE129" s="6" t="n">
        <x:f>IF('Debt strategy'!$C$16&gt;0,0,MIN(AA129+AB129-AC129,MAX(0,'Debt strategy'!$C$5-SUM(E129,K129,Q129,W129,AC129)-SUM(IF(F129&lt;AD129,C129+D129-E129,0),IF(L129&lt;AD129,I129+J129-K129,0),IF(R129&lt;AD129,O129+P129-Q129,0),IF(X129&lt;AD129,U129+V129-W129,0)))))</x:f>
        <x:v>0</x:v>
      </x:c>
      <x:c r="AF129" s="6" t="n">
        <x:f>ROUND(MAX(0,AA129+AB129-AC129-AE129),2)</x:f>
        <x:v>0</x:v>
      </x:c>
      <x:c r="AG129" s="6" t="n">
        <x:f>SUM(H129,N129,T129,Z129,AF129)</x:f>
        <x:v>0</x:v>
      </x:c>
      <x:c r="AH129" s="6" t="n">
        <x:f>SUM(D129,J129,P129,V129,AB129)+AH128</x:f>
        <x:v>1220.8400000000001</x:v>
      </x:c>
      <x:c r="AI129" s="2"/>
    </x:row>
    <x:row r="130" ht="23" customHeight="1">
      <x:c r="B130" s="2" t="n">
        <x:f>122</x:f>
        <x:v>122</x:v>
      </x:c>
      <x:c r="C130" s="6" t="n">
        <x:f>H129</x:f>
        <x:v>0</x:v>
      </x:c>
      <x:c r="D130" s="6" t="n">
        <x:f>ROUND(C130*'Debt strategy'!$D$9/12,2)</x:f>
        <x:v>0</x:v>
      </x:c>
      <x:c r="E130" s="6" t="n">
        <x:f>MIN(C130+D130,'Debt strategy'!$E$9)</x:f>
        <x:v>0</x:v>
      </x:c>
      <x:c r="F130" s="27" t="n">
        <x:f>IF(C130+D130-E130&lt;=0,99,1+SUM(IF(AND(I130+J130-K130&gt;0,OR('Debt strategy'!$D$10&gt;'Debt strategy'!$D$9,AND('Debt strategy'!$D$10='Debt strategy'!$D$9,1&lt;0))),1,0),IF(AND(O130+P130-Q130&gt;0,OR('Debt strategy'!$D$11&gt;'Debt strategy'!$D$9,AND('Debt strategy'!$D$11='Debt strategy'!$D$9,2&lt;0))),1,0),IF(AND(U130+V130-W130&gt;0,OR('Debt strategy'!$D$12&gt;'Debt strategy'!$D$9,AND('Debt strategy'!$D$12='Debt strategy'!$D$9,3&lt;0))),1,0),IF(AND(AA130+AB130-AC130&gt;0,OR('Debt strategy'!$D$13&gt;'Debt strategy'!$D$9,AND('Debt strategy'!$D$13='Debt strategy'!$D$9,4&lt;0))),1,0)))</x:f>
        <x:v>99</x:v>
      </x:c>
      <x:c r="G130" s="6" t="n">
        <x:f>IF('Debt strategy'!$C$16&gt;0,0,MIN(C130+D130-E130,MAX(0,'Debt strategy'!$C$5-SUM(E130,K130,Q130,W130,AC130)-SUM(IF(L130&lt;F130,I130+J130-K130,0),IF(R130&lt;F130,O130+P130-Q130,0),IF(X130&lt;F130,U130+V130-W130,0),IF(AD130&lt;F130,AA130+AB130-AC130,0)))))</x:f>
        <x:v>0</x:v>
      </x:c>
      <x:c r="H130" s="6" t="n">
        <x:f>ROUND(MAX(0,C130+D130-E130-G130),2)</x:f>
        <x:v>0</x:v>
      </x:c>
      <x:c r="I130" s="6" t="n">
        <x:f>N129</x:f>
        <x:v>0</x:v>
      </x:c>
      <x:c r="J130" s="6" t="n">
        <x:f>ROUND(I130*'Debt strategy'!$D$10/12,2)</x:f>
        <x:v>0</x:v>
      </x:c>
      <x:c r="K130" s="6" t="n">
        <x:f>MIN(I130+J130,'Debt strategy'!$E$10)</x:f>
        <x:v>0</x:v>
      </x:c>
      <x:c r="L130" s="27" t="n">
        <x:f>IF(I130+J130-K130&lt;=0,99,1+SUM(IF(AND(C130+D130-E130&gt;0,OR('Debt strategy'!$D$9&gt;'Debt strategy'!$D$10,AND('Debt strategy'!$D$9='Debt strategy'!$D$10,0&lt;1))),1,0),IF(AND(O130+P130-Q130&gt;0,OR('Debt strategy'!$D$11&gt;'Debt strategy'!$D$10,AND('Debt strategy'!$D$11='Debt strategy'!$D$10,2&lt;1))),1,0),IF(AND(U130+V130-W130&gt;0,OR('Debt strategy'!$D$12&gt;'Debt strategy'!$D$10,AND('Debt strategy'!$D$12='Debt strategy'!$D$10,3&lt;1))),1,0),IF(AND(AA130+AB130-AC130&gt;0,OR('Debt strategy'!$D$13&gt;'Debt strategy'!$D$10,AND('Debt strategy'!$D$13='Debt strategy'!$D$10,4&lt;1))),1,0)))</x:f>
        <x:v>99</x:v>
      </x:c>
      <x:c r="M130" s="6" t="n">
        <x:f>IF('Debt strategy'!$C$16&gt;0,0,MIN(I130+J130-K130,MAX(0,'Debt strategy'!$C$5-SUM(E130,K130,Q130,W130,AC130)-SUM(IF(F130&lt;L130,C130+D130-E130,0),IF(R130&lt;L130,O130+P130-Q130,0),IF(X130&lt;L130,U130+V130-W130,0),IF(AD130&lt;L130,AA130+AB130-AC130,0)))))</x:f>
        <x:v>0</x:v>
      </x:c>
      <x:c r="N130" s="6" t="n">
        <x:f>ROUND(MAX(0,I130+J130-K130-M130),2)</x:f>
        <x:v>0</x:v>
      </x:c>
      <x:c r="O130" s="6" t="n">
        <x:f>T129</x:f>
        <x:v>0</x:v>
      </x:c>
      <x:c r="P130" s="6" t="n">
        <x:f>ROUND(O130*'Debt strategy'!$D$11/12,2)</x:f>
        <x:v>0</x:v>
      </x:c>
      <x:c r="Q130" s="6" t="n">
        <x:f>MIN(O130+P130,'Debt strategy'!$E$11)</x:f>
        <x:v>0</x:v>
      </x:c>
      <x:c r="R130" s="27" t="n">
        <x:f>IF(O130+P130-Q130&lt;=0,99,1+SUM(IF(AND(C130+D130-E130&gt;0,OR('Debt strategy'!$D$9&gt;'Debt strategy'!$D$11,AND('Debt strategy'!$D$9='Debt strategy'!$D$11,0&lt;2))),1,0),IF(AND(I130+J130-K130&gt;0,OR('Debt strategy'!$D$10&gt;'Debt strategy'!$D$11,AND('Debt strategy'!$D$10='Debt strategy'!$D$11,1&lt;2))),1,0),IF(AND(U130+V130-W130&gt;0,OR('Debt strategy'!$D$12&gt;'Debt strategy'!$D$11,AND('Debt strategy'!$D$12='Debt strategy'!$D$11,3&lt;2))),1,0),IF(AND(AA130+AB130-AC130&gt;0,OR('Debt strategy'!$D$13&gt;'Debt strategy'!$D$11,AND('Debt strategy'!$D$13='Debt strategy'!$D$11,4&lt;2))),1,0)))</x:f>
        <x:v>99</x:v>
      </x:c>
      <x:c r="S130" s="6" t="n">
        <x:f>IF('Debt strategy'!$C$16&gt;0,0,MIN(O130+P130-Q130,MAX(0,'Debt strategy'!$C$5-SUM(E130,K130,Q130,W130,AC130)-SUM(IF(F130&lt;R130,C130+D130-E130,0),IF(L130&lt;R130,I130+J130-K130,0),IF(X130&lt;R130,U130+V130-W130,0),IF(AD130&lt;R130,AA130+AB130-AC130,0)))))</x:f>
        <x:v>0</x:v>
      </x:c>
      <x:c r="T130" s="6" t="n">
        <x:f>ROUND(MAX(0,O130+P130-Q130-S130),2)</x:f>
        <x:v>0</x:v>
      </x:c>
      <x:c r="U130" s="6" t="n">
        <x:f>Z129</x:f>
        <x:v>0</x:v>
      </x:c>
      <x:c r="V130" s="6" t="n">
        <x:f>ROUND(U130*'Debt strategy'!$D$12/12,2)</x:f>
        <x:v>0</x:v>
      </x:c>
      <x:c r="W130" s="6" t="n">
        <x:f>MIN(U130+V130,'Debt strategy'!$E$12)</x:f>
        <x:v>0</x:v>
      </x:c>
      <x:c r="X130" s="27" t="n">
        <x:f>IF(U130+V130-W130&lt;=0,99,1+SUM(IF(AND(C130+D130-E130&gt;0,OR('Debt strategy'!$D$9&gt;'Debt strategy'!$D$12,AND('Debt strategy'!$D$9='Debt strategy'!$D$12,0&lt;3))),1,0),IF(AND(I130+J130-K130&gt;0,OR('Debt strategy'!$D$10&gt;'Debt strategy'!$D$12,AND('Debt strategy'!$D$10='Debt strategy'!$D$12,1&lt;3))),1,0),IF(AND(O130+P130-Q130&gt;0,OR('Debt strategy'!$D$11&gt;'Debt strategy'!$D$12,AND('Debt strategy'!$D$11='Debt strategy'!$D$12,2&lt;3))),1,0),IF(AND(AA130+AB130-AC130&gt;0,OR('Debt strategy'!$D$13&gt;'Debt strategy'!$D$12,AND('Debt strategy'!$D$13='Debt strategy'!$D$12,4&lt;3))),1,0)))</x:f>
        <x:v>99</x:v>
      </x:c>
      <x:c r="Y130" s="6" t="n">
        <x:f>IF('Debt strategy'!$C$16&gt;0,0,MIN(U130+V130-W130,MAX(0,'Debt strategy'!$C$5-SUM(E130,K130,Q130,W130,AC130)-SUM(IF(F130&lt;X130,C130+D130-E130,0),IF(L130&lt;X130,I130+J130-K130,0),IF(R130&lt;X130,O130+P130-Q130,0),IF(AD130&lt;X130,AA130+AB130-AC130,0)))))</x:f>
        <x:v>0</x:v>
      </x:c>
      <x:c r="Z130" s="6" t="n">
        <x:f>ROUND(MAX(0,U130+V130-W130-Y130),2)</x:f>
        <x:v>0</x:v>
      </x:c>
      <x:c r="AA130" s="6" t="n">
        <x:f>AF129</x:f>
        <x:v>0</x:v>
      </x:c>
      <x:c r="AB130" s="6" t="n">
        <x:f>ROUND(AA130*'Debt strategy'!$D$13/12,2)</x:f>
        <x:v>0</x:v>
      </x:c>
      <x:c r="AC130" s="6" t="n">
        <x:f>MIN(AA130+AB130,'Debt strategy'!$E$13)</x:f>
        <x:v>0</x:v>
      </x:c>
      <x:c r="AD130" s="27" t="n">
        <x:f>IF(AA130+AB130-AC130&lt;=0,99,1+SUM(IF(AND(C130+D130-E130&gt;0,OR('Debt strategy'!$D$9&gt;'Debt strategy'!$D$13,AND('Debt strategy'!$D$9='Debt strategy'!$D$13,0&lt;4))),1,0),IF(AND(I130+J130-K130&gt;0,OR('Debt strategy'!$D$10&gt;'Debt strategy'!$D$13,AND('Debt strategy'!$D$10='Debt strategy'!$D$13,1&lt;4))),1,0),IF(AND(O130+P130-Q130&gt;0,OR('Debt strategy'!$D$11&gt;'Debt strategy'!$D$13,AND('Debt strategy'!$D$11='Debt strategy'!$D$13,2&lt;4))),1,0),IF(AND(U130+V130-W130&gt;0,OR('Debt strategy'!$D$12&gt;'Debt strategy'!$D$13,AND('Debt strategy'!$D$12='Debt strategy'!$D$13,3&lt;4))),1,0)))</x:f>
        <x:v>99</x:v>
      </x:c>
      <x:c r="AE130" s="6" t="n">
        <x:f>IF('Debt strategy'!$C$16&gt;0,0,MIN(AA130+AB130-AC130,MAX(0,'Debt strategy'!$C$5-SUM(E130,K130,Q130,W130,AC130)-SUM(IF(F130&lt;AD130,C130+D130-E130,0),IF(L130&lt;AD130,I130+J130-K130,0),IF(R130&lt;AD130,O130+P130-Q130,0),IF(X130&lt;AD130,U130+V130-W130,0)))))</x:f>
        <x:v>0</x:v>
      </x:c>
      <x:c r="AF130" s="6" t="n">
        <x:f>ROUND(MAX(0,AA130+AB130-AC130-AE130),2)</x:f>
        <x:v>0</x:v>
      </x:c>
      <x:c r="AG130" s="6" t="n">
        <x:f>SUM(H130,N130,T130,Z130,AF130)</x:f>
        <x:v>0</x:v>
      </x:c>
      <x:c r="AH130" s="6" t="n">
        <x:f>SUM(D130,J130,P130,V130,AB130)+AH129</x:f>
        <x:v>1220.8400000000001</x:v>
      </x:c>
      <x:c r="AI130" s="2"/>
    </x:row>
    <x:row r="131" ht="23" customHeight="1">
      <x:c r="B131" s="2" t="n">
        <x:f>123</x:f>
        <x:v>123</x:v>
      </x:c>
      <x:c r="C131" s="6" t="n">
        <x:f>H130</x:f>
        <x:v>0</x:v>
      </x:c>
      <x:c r="D131" s="6" t="n">
        <x:f>ROUND(C131*'Debt strategy'!$D$9/12,2)</x:f>
        <x:v>0</x:v>
      </x:c>
      <x:c r="E131" s="6" t="n">
        <x:f>MIN(C131+D131,'Debt strategy'!$E$9)</x:f>
        <x:v>0</x:v>
      </x:c>
      <x:c r="F131" s="27" t="n">
        <x:f>IF(C131+D131-E131&lt;=0,99,1+SUM(IF(AND(I131+J131-K131&gt;0,OR('Debt strategy'!$D$10&gt;'Debt strategy'!$D$9,AND('Debt strategy'!$D$10='Debt strategy'!$D$9,1&lt;0))),1,0),IF(AND(O131+P131-Q131&gt;0,OR('Debt strategy'!$D$11&gt;'Debt strategy'!$D$9,AND('Debt strategy'!$D$11='Debt strategy'!$D$9,2&lt;0))),1,0),IF(AND(U131+V131-W131&gt;0,OR('Debt strategy'!$D$12&gt;'Debt strategy'!$D$9,AND('Debt strategy'!$D$12='Debt strategy'!$D$9,3&lt;0))),1,0),IF(AND(AA131+AB131-AC131&gt;0,OR('Debt strategy'!$D$13&gt;'Debt strategy'!$D$9,AND('Debt strategy'!$D$13='Debt strategy'!$D$9,4&lt;0))),1,0)))</x:f>
        <x:v>99</x:v>
      </x:c>
      <x:c r="G131" s="6" t="n">
        <x:f>IF('Debt strategy'!$C$16&gt;0,0,MIN(C131+D131-E131,MAX(0,'Debt strategy'!$C$5-SUM(E131,K131,Q131,W131,AC131)-SUM(IF(L131&lt;F131,I131+J131-K131,0),IF(R131&lt;F131,O131+P131-Q131,0),IF(X131&lt;F131,U131+V131-W131,0),IF(AD131&lt;F131,AA131+AB131-AC131,0)))))</x:f>
        <x:v>0</x:v>
      </x:c>
      <x:c r="H131" s="6" t="n">
        <x:f>ROUND(MAX(0,C131+D131-E131-G131),2)</x:f>
        <x:v>0</x:v>
      </x:c>
      <x:c r="I131" s="6" t="n">
        <x:f>N130</x:f>
        <x:v>0</x:v>
      </x:c>
      <x:c r="J131" s="6" t="n">
        <x:f>ROUND(I131*'Debt strategy'!$D$10/12,2)</x:f>
        <x:v>0</x:v>
      </x:c>
      <x:c r="K131" s="6" t="n">
        <x:f>MIN(I131+J131,'Debt strategy'!$E$10)</x:f>
        <x:v>0</x:v>
      </x:c>
      <x:c r="L131" s="27" t="n">
        <x:f>IF(I131+J131-K131&lt;=0,99,1+SUM(IF(AND(C131+D131-E131&gt;0,OR('Debt strategy'!$D$9&gt;'Debt strategy'!$D$10,AND('Debt strategy'!$D$9='Debt strategy'!$D$10,0&lt;1))),1,0),IF(AND(O131+P131-Q131&gt;0,OR('Debt strategy'!$D$11&gt;'Debt strategy'!$D$10,AND('Debt strategy'!$D$11='Debt strategy'!$D$10,2&lt;1))),1,0),IF(AND(U131+V131-W131&gt;0,OR('Debt strategy'!$D$12&gt;'Debt strategy'!$D$10,AND('Debt strategy'!$D$12='Debt strategy'!$D$10,3&lt;1))),1,0),IF(AND(AA131+AB131-AC131&gt;0,OR('Debt strategy'!$D$13&gt;'Debt strategy'!$D$10,AND('Debt strategy'!$D$13='Debt strategy'!$D$10,4&lt;1))),1,0)))</x:f>
        <x:v>99</x:v>
      </x:c>
      <x:c r="M131" s="6" t="n">
        <x:f>IF('Debt strategy'!$C$16&gt;0,0,MIN(I131+J131-K131,MAX(0,'Debt strategy'!$C$5-SUM(E131,K131,Q131,W131,AC131)-SUM(IF(F131&lt;L131,C131+D131-E131,0),IF(R131&lt;L131,O131+P131-Q131,0),IF(X131&lt;L131,U131+V131-W131,0),IF(AD131&lt;L131,AA131+AB131-AC131,0)))))</x:f>
        <x:v>0</x:v>
      </x:c>
      <x:c r="N131" s="6" t="n">
        <x:f>ROUND(MAX(0,I131+J131-K131-M131),2)</x:f>
        <x:v>0</x:v>
      </x:c>
      <x:c r="O131" s="6" t="n">
        <x:f>T130</x:f>
        <x:v>0</x:v>
      </x:c>
      <x:c r="P131" s="6" t="n">
        <x:f>ROUND(O131*'Debt strategy'!$D$11/12,2)</x:f>
        <x:v>0</x:v>
      </x:c>
      <x:c r="Q131" s="6" t="n">
        <x:f>MIN(O131+P131,'Debt strategy'!$E$11)</x:f>
        <x:v>0</x:v>
      </x:c>
      <x:c r="R131" s="27" t="n">
        <x:f>IF(O131+P131-Q131&lt;=0,99,1+SUM(IF(AND(C131+D131-E131&gt;0,OR('Debt strategy'!$D$9&gt;'Debt strategy'!$D$11,AND('Debt strategy'!$D$9='Debt strategy'!$D$11,0&lt;2))),1,0),IF(AND(I131+J131-K131&gt;0,OR('Debt strategy'!$D$10&gt;'Debt strategy'!$D$11,AND('Debt strategy'!$D$10='Debt strategy'!$D$11,1&lt;2))),1,0),IF(AND(U131+V131-W131&gt;0,OR('Debt strategy'!$D$12&gt;'Debt strategy'!$D$11,AND('Debt strategy'!$D$12='Debt strategy'!$D$11,3&lt;2))),1,0),IF(AND(AA131+AB131-AC131&gt;0,OR('Debt strategy'!$D$13&gt;'Debt strategy'!$D$11,AND('Debt strategy'!$D$13='Debt strategy'!$D$11,4&lt;2))),1,0)))</x:f>
        <x:v>99</x:v>
      </x:c>
      <x:c r="S131" s="6" t="n">
        <x:f>IF('Debt strategy'!$C$16&gt;0,0,MIN(O131+P131-Q131,MAX(0,'Debt strategy'!$C$5-SUM(E131,K131,Q131,W131,AC131)-SUM(IF(F131&lt;R131,C131+D131-E131,0),IF(L131&lt;R131,I131+J131-K131,0),IF(X131&lt;R131,U131+V131-W131,0),IF(AD131&lt;R131,AA131+AB131-AC131,0)))))</x:f>
        <x:v>0</x:v>
      </x:c>
      <x:c r="T131" s="6" t="n">
        <x:f>ROUND(MAX(0,O131+P131-Q131-S131),2)</x:f>
        <x:v>0</x:v>
      </x:c>
      <x:c r="U131" s="6" t="n">
        <x:f>Z130</x:f>
        <x:v>0</x:v>
      </x:c>
      <x:c r="V131" s="6" t="n">
        <x:f>ROUND(U131*'Debt strategy'!$D$12/12,2)</x:f>
        <x:v>0</x:v>
      </x:c>
      <x:c r="W131" s="6" t="n">
        <x:f>MIN(U131+V131,'Debt strategy'!$E$12)</x:f>
        <x:v>0</x:v>
      </x:c>
      <x:c r="X131" s="27" t="n">
        <x:f>IF(U131+V131-W131&lt;=0,99,1+SUM(IF(AND(C131+D131-E131&gt;0,OR('Debt strategy'!$D$9&gt;'Debt strategy'!$D$12,AND('Debt strategy'!$D$9='Debt strategy'!$D$12,0&lt;3))),1,0),IF(AND(I131+J131-K131&gt;0,OR('Debt strategy'!$D$10&gt;'Debt strategy'!$D$12,AND('Debt strategy'!$D$10='Debt strategy'!$D$12,1&lt;3))),1,0),IF(AND(O131+P131-Q131&gt;0,OR('Debt strategy'!$D$11&gt;'Debt strategy'!$D$12,AND('Debt strategy'!$D$11='Debt strategy'!$D$12,2&lt;3))),1,0),IF(AND(AA131+AB131-AC131&gt;0,OR('Debt strategy'!$D$13&gt;'Debt strategy'!$D$12,AND('Debt strategy'!$D$13='Debt strategy'!$D$12,4&lt;3))),1,0)))</x:f>
        <x:v>99</x:v>
      </x:c>
      <x:c r="Y131" s="6" t="n">
        <x:f>IF('Debt strategy'!$C$16&gt;0,0,MIN(U131+V131-W131,MAX(0,'Debt strategy'!$C$5-SUM(E131,K131,Q131,W131,AC131)-SUM(IF(F131&lt;X131,C131+D131-E131,0),IF(L131&lt;X131,I131+J131-K131,0),IF(R131&lt;X131,O131+P131-Q131,0),IF(AD131&lt;X131,AA131+AB131-AC131,0)))))</x:f>
        <x:v>0</x:v>
      </x:c>
      <x:c r="Z131" s="6" t="n">
        <x:f>ROUND(MAX(0,U131+V131-W131-Y131),2)</x:f>
        <x:v>0</x:v>
      </x:c>
      <x:c r="AA131" s="6" t="n">
        <x:f>AF130</x:f>
        <x:v>0</x:v>
      </x:c>
      <x:c r="AB131" s="6" t="n">
        <x:f>ROUND(AA131*'Debt strategy'!$D$13/12,2)</x:f>
        <x:v>0</x:v>
      </x:c>
      <x:c r="AC131" s="6" t="n">
        <x:f>MIN(AA131+AB131,'Debt strategy'!$E$13)</x:f>
        <x:v>0</x:v>
      </x:c>
      <x:c r="AD131" s="27" t="n">
        <x:f>IF(AA131+AB131-AC131&lt;=0,99,1+SUM(IF(AND(C131+D131-E131&gt;0,OR('Debt strategy'!$D$9&gt;'Debt strategy'!$D$13,AND('Debt strategy'!$D$9='Debt strategy'!$D$13,0&lt;4))),1,0),IF(AND(I131+J131-K131&gt;0,OR('Debt strategy'!$D$10&gt;'Debt strategy'!$D$13,AND('Debt strategy'!$D$10='Debt strategy'!$D$13,1&lt;4))),1,0),IF(AND(O131+P131-Q131&gt;0,OR('Debt strategy'!$D$11&gt;'Debt strategy'!$D$13,AND('Debt strategy'!$D$11='Debt strategy'!$D$13,2&lt;4))),1,0),IF(AND(U131+V131-W131&gt;0,OR('Debt strategy'!$D$12&gt;'Debt strategy'!$D$13,AND('Debt strategy'!$D$12='Debt strategy'!$D$13,3&lt;4))),1,0)))</x:f>
        <x:v>99</x:v>
      </x:c>
      <x:c r="AE131" s="6" t="n">
        <x:f>IF('Debt strategy'!$C$16&gt;0,0,MIN(AA131+AB131-AC131,MAX(0,'Debt strategy'!$C$5-SUM(E131,K131,Q131,W131,AC131)-SUM(IF(F131&lt;AD131,C131+D131-E131,0),IF(L131&lt;AD131,I131+J131-K131,0),IF(R131&lt;AD131,O131+P131-Q131,0),IF(X131&lt;AD131,U131+V131-W131,0)))))</x:f>
        <x:v>0</x:v>
      </x:c>
      <x:c r="AF131" s="6" t="n">
        <x:f>ROUND(MAX(0,AA131+AB131-AC131-AE131),2)</x:f>
        <x:v>0</x:v>
      </x:c>
      <x:c r="AG131" s="6" t="n">
        <x:f>SUM(H131,N131,T131,Z131,AF131)</x:f>
        <x:v>0</x:v>
      </x:c>
      <x:c r="AH131" s="6" t="n">
        <x:f>SUM(D131,J131,P131,V131,AB131)+AH130</x:f>
        <x:v>1220.8400000000001</x:v>
      </x:c>
      <x:c r="AI131" s="2"/>
    </x:row>
    <x:row r="132" ht="23" customHeight="1">
      <x:c r="B132" s="2" t="n">
        <x:f>124</x:f>
        <x:v>124</x:v>
      </x:c>
      <x:c r="C132" s="6" t="n">
        <x:f>H131</x:f>
        <x:v>0</x:v>
      </x:c>
      <x:c r="D132" s="6" t="n">
        <x:f>ROUND(C132*'Debt strategy'!$D$9/12,2)</x:f>
        <x:v>0</x:v>
      </x:c>
      <x:c r="E132" s="6" t="n">
        <x:f>MIN(C132+D132,'Debt strategy'!$E$9)</x:f>
        <x:v>0</x:v>
      </x:c>
      <x:c r="F132" s="27" t="n">
        <x:f>IF(C132+D132-E132&lt;=0,99,1+SUM(IF(AND(I132+J132-K132&gt;0,OR('Debt strategy'!$D$10&gt;'Debt strategy'!$D$9,AND('Debt strategy'!$D$10='Debt strategy'!$D$9,1&lt;0))),1,0),IF(AND(O132+P132-Q132&gt;0,OR('Debt strategy'!$D$11&gt;'Debt strategy'!$D$9,AND('Debt strategy'!$D$11='Debt strategy'!$D$9,2&lt;0))),1,0),IF(AND(U132+V132-W132&gt;0,OR('Debt strategy'!$D$12&gt;'Debt strategy'!$D$9,AND('Debt strategy'!$D$12='Debt strategy'!$D$9,3&lt;0))),1,0),IF(AND(AA132+AB132-AC132&gt;0,OR('Debt strategy'!$D$13&gt;'Debt strategy'!$D$9,AND('Debt strategy'!$D$13='Debt strategy'!$D$9,4&lt;0))),1,0)))</x:f>
        <x:v>99</x:v>
      </x:c>
      <x:c r="G132" s="6" t="n">
        <x:f>IF('Debt strategy'!$C$16&gt;0,0,MIN(C132+D132-E132,MAX(0,'Debt strategy'!$C$5-SUM(E132,K132,Q132,W132,AC132)-SUM(IF(L132&lt;F132,I132+J132-K132,0),IF(R132&lt;F132,O132+P132-Q132,0),IF(X132&lt;F132,U132+V132-W132,0),IF(AD132&lt;F132,AA132+AB132-AC132,0)))))</x:f>
        <x:v>0</x:v>
      </x:c>
      <x:c r="H132" s="6" t="n">
        <x:f>ROUND(MAX(0,C132+D132-E132-G132),2)</x:f>
        <x:v>0</x:v>
      </x:c>
      <x:c r="I132" s="6" t="n">
        <x:f>N131</x:f>
        <x:v>0</x:v>
      </x:c>
      <x:c r="J132" s="6" t="n">
        <x:f>ROUND(I132*'Debt strategy'!$D$10/12,2)</x:f>
        <x:v>0</x:v>
      </x:c>
      <x:c r="K132" s="6" t="n">
        <x:f>MIN(I132+J132,'Debt strategy'!$E$10)</x:f>
        <x:v>0</x:v>
      </x:c>
      <x:c r="L132" s="27" t="n">
        <x:f>IF(I132+J132-K132&lt;=0,99,1+SUM(IF(AND(C132+D132-E132&gt;0,OR('Debt strategy'!$D$9&gt;'Debt strategy'!$D$10,AND('Debt strategy'!$D$9='Debt strategy'!$D$10,0&lt;1))),1,0),IF(AND(O132+P132-Q132&gt;0,OR('Debt strategy'!$D$11&gt;'Debt strategy'!$D$10,AND('Debt strategy'!$D$11='Debt strategy'!$D$10,2&lt;1))),1,0),IF(AND(U132+V132-W132&gt;0,OR('Debt strategy'!$D$12&gt;'Debt strategy'!$D$10,AND('Debt strategy'!$D$12='Debt strategy'!$D$10,3&lt;1))),1,0),IF(AND(AA132+AB132-AC132&gt;0,OR('Debt strategy'!$D$13&gt;'Debt strategy'!$D$10,AND('Debt strategy'!$D$13='Debt strategy'!$D$10,4&lt;1))),1,0)))</x:f>
        <x:v>99</x:v>
      </x:c>
      <x:c r="M132" s="6" t="n">
        <x:f>IF('Debt strategy'!$C$16&gt;0,0,MIN(I132+J132-K132,MAX(0,'Debt strategy'!$C$5-SUM(E132,K132,Q132,W132,AC132)-SUM(IF(F132&lt;L132,C132+D132-E132,0),IF(R132&lt;L132,O132+P132-Q132,0),IF(X132&lt;L132,U132+V132-W132,0),IF(AD132&lt;L132,AA132+AB132-AC132,0)))))</x:f>
        <x:v>0</x:v>
      </x:c>
      <x:c r="N132" s="6" t="n">
        <x:f>ROUND(MAX(0,I132+J132-K132-M132),2)</x:f>
        <x:v>0</x:v>
      </x:c>
      <x:c r="O132" s="6" t="n">
        <x:f>T131</x:f>
        <x:v>0</x:v>
      </x:c>
      <x:c r="P132" s="6" t="n">
        <x:f>ROUND(O132*'Debt strategy'!$D$11/12,2)</x:f>
        <x:v>0</x:v>
      </x:c>
      <x:c r="Q132" s="6" t="n">
        <x:f>MIN(O132+P132,'Debt strategy'!$E$11)</x:f>
        <x:v>0</x:v>
      </x:c>
      <x:c r="R132" s="27" t="n">
        <x:f>IF(O132+P132-Q132&lt;=0,99,1+SUM(IF(AND(C132+D132-E132&gt;0,OR('Debt strategy'!$D$9&gt;'Debt strategy'!$D$11,AND('Debt strategy'!$D$9='Debt strategy'!$D$11,0&lt;2))),1,0),IF(AND(I132+J132-K132&gt;0,OR('Debt strategy'!$D$10&gt;'Debt strategy'!$D$11,AND('Debt strategy'!$D$10='Debt strategy'!$D$11,1&lt;2))),1,0),IF(AND(U132+V132-W132&gt;0,OR('Debt strategy'!$D$12&gt;'Debt strategy'!$D$11,AND('Debt strategy'!$D$12='Debt strategy'!$D$11,3&lt;2))),1,0),IF(AND(AA132+AB132-AC132&gt;0,OR('Debt strategy'!$D$13&gt;'Debt strategy'!$D$11,AND('Debt strategy'!$D$13='Debt strategy'!$D$11,4&lt;2))),1,0)))</x:f>
        <x:v>99</x:v>
      </x:c>
      <x:c r="S132" s="6" t="n">
        <x:f>IF('Debt strategy'!$C$16&gt;0,0,MIN(O132+P132-Q132,MAX(0,'Debt strategy'!$C$5-SUM(E132,K132,Q132,W132,AC132)-SUM(IF(F132&lt;R132,C132+D132-E132,0),IF(L132&lt;R132,I132+J132-K132,0),IF(X132&lt;R132,U132+V132-W132,0),IF(AD132&lt;R132,AA132+AB132-AC132,0)))))</x:f>
        <x:v>0</x:v>
      </x:c>
      <x:c r="T132" s="6" t="n">
        <x:f>ROUND(MAX(0,O132+P132-Q132-S132),2)</x:f>
        <x:v>0</x:v>
      </x:c>
      <x:c r="U132" s="6" t="n">
        <x:f>Z131</x:f>
        <x:v>0</x:v>
      </x:c>
      <x:c r="V132" s="6" t="n">
        <x:f>ROUND(U132*'Debt strategy'!$D$12/12,2)</x:f>
        <x:v>0</x:v>
      </x:c>
      <x:c r="W132" s="6" t="n">
        <x:f>MIN(U132+V132,'Debt strategy'!$E$12)</x:f>
        <x:v>0</x:v>
      </x:c>
      <x:c r="X132" s="27" t="n">
        <x:f>IF(U132+V132-W132&lt;=0,99,1+SUM(IF(AND(C132+D132-E132&gt;0,OR('Debt strategy'!$D$9&gt;'Debt strategy'!$D$12,AND('Debt strategy'!$D$9='Debt strategy'!$D$12,0&lt;3))),1,0),IF(AND(I132+J132-K132&gt;0,OR('Debt strategy'!$D$10&gt;'Debt strategy'!$D$12,AND('Debt strategy'!$D$10='Debt strategy'!$D$12,1&lt;3))),1,0),IF(AND(O132+P132-Q132&gt;0,OR('Debt strategy'!$D$11&gt;'Debt strategy'!$D$12,AND('Debt strategy'!$D$11='Debt strategy'!$D$12,2&lt;3))),1,0),IF(AND(AA132+AB132-AC132&gt;0,OR('Debt strategy'!$D$13&gt;'Debt strategy'!$D$12,AND('Debt strategy'!$D$13='Debt strategy'!$D$12,4&lt;3))),1,0)))</x:f>
        <x:v>99</x:v>
      </x:c>
      <x:c r="Y132" s="6" t="n">
        <x:f>IF('Debt strategy'!$C$16&gt;0,0,MIN(U132+V132-W132,MAX(0,'Debt strategy'!$C$5-SUM(E132,K132,Q132,W132,AC132)-SUM(IF(F132&lt;X132,C132+D132-E132,0),IF(L132&lt;X132,I132+J132-K132,0),IF(R132&lt;X132,O132+P132-Q132,0),IF(AD132&lt;X132,AA132+AB132-AC132,0)))))</x:f>
        <x:v>0</x:v>
      </x:c>
      <x:c r="Z132" s="6" t="n">
        <x:f>ROUND(MAX(0,U132+V132-W132-Y132),2)</x:f>
        <x:v>0</x:v>
      </x:c>
      <x:c r="AA132" s="6" t="n">
        <x:f>AF131</x:f>
        <x:v>0</x:v>
      </x:c>
      <x:c r="AB132" s="6" t="n">
        <x:f>ROUND(AA132*'Debt strategy'!$D$13/12,2)</x:f>
        <x:v>0</x:v>
      </x:c>
      <x:c r="AC132" s="6" t="n">
        <x:f>MIN(AA132+AB132,'Debt strategy'!$E$13)</x:f>
        <x:v>0</x:v>
      </x:c>
      <x:c r="AD132" s="27" t="n">
        <x:f>IF(AA132+AB132-AC132&lt;=0,99,1+SUM(IF(AND(C132+D132-E132&gt;0,OR('Debt strategy'!$D$9&gt;'Debt strategy'!$D$13,AND('Debt strategy'!$D$9='Debt strategy'!$D$13,0&lt;4))),1,0),IF(AND(I132+J132-K132&gt;0,OR('Debt strategy'!$D$10&gt;'Debt strategy'!$D$13,AND('Debt strategy'!$D$10='Debt strategy'!$D$13,1&lt;4))),1,0),IF(AND(O132+P132-Q132&gt;0,OR('Debt strategy'!$D$11&gt;'Debt strategy'!$D$13,AND('Debt strategy'!$D$11='Debt strategy'!$D$13,2&lt;4))),1,0),IF(AND(U132+V132-W132&gt;0,OR('Debt strategy'!$D$12&gt;'Debt strategy'!$D$13,AND('Debt strategy'!$D$12='Debt strategy'!$D$13,3&lt;4))),1,0)))</x:f>
        <x:v>99</x:v>
      </x:c>
      <x:c r="AE132" s="6" t="n">
        <x:f>IF('Debt strategy'!$C$16&gt;0,0,MIN(AA132+AB132-AC132,MAX(0,'Debt strategy'!$C$5-SUM(E132,K132,Q132,W132,AC132)-SUM(IF(F132&lt;AD132,C132+D132-E132,0),IF(L132&lt;AD132,I132+J132-K132,0),IF(R132&lt;AD132,O132+P132-Q132,0),IF(X132&lt;AD132,U132+V132-W132,0)))))</x:f>
        <x:v>0</x:v>
      </x:c>
      <x:c r="AF132" s="6" t="n">
        <x:f>ROUND(MAX(0,AA132+AB132-AC132-AE132),2)</x:f>
        <x:v>0</x:v>
      </x:c>
      <x:c r="AG132" s="6" t="n">
        <x:f>SUM(H132,N132,T132,Z132,AF132)</x:f>
        <x:v>0</x:v>
      </x:c>
      <x:c r="AH132" s="6" t="n">
        <x:f>SUM(D132,J132,P132,V132,AB132)+AH131</x:f>
        <x:v>1220.8400000000001</x:v>
      </x:c>
      <x:c r="AI132" s="2"/>
    </x:row>
    <x:row r="133" ht="23" customHeight="1">
      <x:c r="B133" s="2" t="n">
        <x:f>125</x:f>
        <x:v>125</x:v>
      </x:c>
      <x:c r="C133" s="6" t="n">
        <x:f>H132</x:f>
        <x:v>0</x:v>
      </x:c>
      <x:c r="D133" s="6" t="n">
        <x:f>ROUND(C133*'Debt strategy'!$D$9/12,2)</x:f>
        <x:v>0</x:v>
      </x:c>
      <x:c r="E133" s="6" t="n">
        <x:f>MIN(C133+D133,'Debt strategy'!$E$9)</x:f>
        <x:v>0</x:v>
      </x:c>
      <x:c r="F133" s="27" t="n">
        <x:f>IF(C133+D133-E133&lt;=0,99,1+SUM(IF(AND(I133+J133-K133&gt;0,OR('Debt strategy'!$D$10&gt;'Debt strategy'!$D$9,AND('Debt strategy'!$D$10='Debt strategy'!$D$9,1&lt;0))),1,0),IF(AND(O133+P133-Q133&gt;0,OR('Debt strategy'!$D$11&gt;'Debt strategy'!$D$9,AND('Debt strategy'!$D$11='Debt strategy'!$D$9,2&lt;0))),1,0),IF(AND(U133+V133-W133&gt;0,OR('Debt strategy'!$D$12&gt;'Debt strategy'!$D$9,AND('Debt strategy'!$D$12='Debt strategy'!$D$9,3&lt;0))),1,0),IF(AND(AA133+AB133-AC133&gt;0,OR('Debt strategy'!$D$13&gt;'Debt strategy'!$D$9,AND('Debt strategy'!$D$13='Debt strategy'!$D$9,4&lt;0))),1,0)))</x:f>
        <x:v>99</x:v>
      </x:c>
      <x:c r="G133" s="6" t="n">
        <x:f>IF('Debt strategy'!$C$16&gt;0,0,MIN(C133+D133-E133,MAX(0,'Debt strategy'!$C$5-SUM(E133,K133,Q133,W133,AC133)-SUM(IF(L133&lt;F133,I133+J133-K133,0),IF(R133&lt;F133,O133+P133-Q133,0),IF(X133&lt;F133,U133+V133-W133,0),IF(AD133&lt;F133,AA133+AB133-AC133,0)))))</x:f>
        <x:v>0</x:v>
      </x:c>
      <x:c r="H133" s="6" t="n">
        <x:f>ROUND(MAX(0,C133+D133-E133-G133),2)</x:f>
        <x:v>0</x:v>
      </x:c>
      <x:c r="I133" s="6" t="n">
        <x:f>N132</x:f>
        <x:v>0</x:v>
      </x:c>
      <x:c r="J133" s="6" t="n">
        <x:f>ROUND(I133*'Debt strategy'!$D$10/12,2)</x:f>
        <x:v>0</x:v>
      </x:c>
      <x:c r="K133" s="6" t="n">
        <x:f>MIN(I133+J133,'Debt strategy'!$E$10)</x:f>
        <x:v>0</x:v>
      </x:c>
      <x:c r="L133" s="27" t="n">
        <x:f>IF(I133+J133-K133&lt;=0,99,1+SUM(IF(AND(C133+D133-E133&gt;0,OR('Debt strategy'!$D$9&gt;'Debt strategy'!$D$10,AND('Debt strategy'!$D$9='Debt strategy'!$D$10,0&lt;1))),1,0),IF(AND(O133+P133-Q133&gt;0,OR('Debt strategy'!$D$11&gt;'Debt strategy'!$D$10,AND('Debt strategy'!$D$11='Debt strategy'!$D$10,2&lt;1))),1,0),IF(AND(U133+V133-W133&gt;0,OR('Debt strategy'!$D$12&gt;'Debt strategy'!$D$10,AND('Debt strategy'!$D$12='Debt strategy'!$D$10,3&lt;1))),1,0),IF(AND(AA133+AB133-AC133&gt;0,OR('Debt strategy'!$D$13&gt;'Debt strategy'!$D$10,AND('Debt strategy'!$D$13='Debt strategy'!$D$10,4&lt;1))),1,0)))</x:f>
        <x:v>99</x:v>
      </x:c>
      <x:c r="M133" s="6" t="n">
        <x:f>IF('Debt strategy'!$C$16&gt;0,0,MIN(I133+J133-K133,MAX(0,'Debt strategy'!$C$5-SUM(E133,K133,Q133,W133,AC133)-SUM(IF(F133&lt;L133,C133+D133-E133,0),IF(R133&lt;L133,O133+P133-Q133,0),IF(X133&lt;L133,U133+V133-W133,0),IF(AD133&lt;L133,AA133+AB133-AC133,0)))))</x:f>
        <x:v>0</x:v>
      </x:c>
      <x:c r="N133" s="6" t="n">
        <x:f>ROUND(MAX(0,I133+J133-K133-M133),2)</x:f>
        <x:v>0</x:v>
      </x:c>
      <x:c r="O133" s="6" t="n">
        <x:f>T132</x:f>
        <x:v>0</x:v>
      </x:c>
      <x:c r="P133" s="6" t="n">
        <x:f>ROUND(O133*'Debt strategy'!$D$11/12,2)</x:f>
        <x:v>0</x:v>
      </x:c>
      <x:c r="Q133" s="6" t="n">
        <x:f>MIN(O133+P133,'Debt strategy'!$E$11)</x:f>
        <x:v>0</x:v>
      </x:c>
      <x:c r="R133" s="27" t="n">
        <x:f>IF(O133+P133-Q133&lt;=0,99,1+SUM(IF(AND(C133+D133-E133&gt;0,OR('Debt strategy'!$D$9&gt;'Debt strategy'!$D$11,AND('Debt strategy'!$D$9='Debt strategy'!$D$11,0&lt;2))),1,0),IF(AND(I133+J133-K133&gt;0,OR('Debt strategy'!$D$10&gt;'Debt strategy'!$D$11,AND('Debt strategy'!$D$10='Debt strategy'!$D$11,1&lt;2))),1,0),IF(AND(U133+V133-W133&gt;0,OR('Debt strategy'!$D$12&gt;'Debt strategy'!$D$11,AND('Debt strategy'!$D$12='Debt strategy'!$D$11,3&lt;2))),1,0),IF(AND(AA133+AB133-AC133&gt;0,OR('Debt strategy'!$D$13&gt;'Debt strategy'!$D$11,AND('Debt strategy'!$D$13='Debt strategy'!$D$11,4&lt;2))),1,0)))</x:f>
        <x:v>99</x:v>
      </x:c>
      <x:c r="S133" s="6" t="n">
        <x:f>IF('Debt strategy'!$C$16&gt;0,0,MIN(O133+P133-Q133,MAX(0,'Debt strategy'!$C$5-SUM(E133,K133,Q133,W133,AC133)-SUM(IF(F133&lt;R133,C133+D133-E133,0),IF(L133&lt;R133,I133+J133-K133,0),IF(X133&lt;R133,U133+V133-W133,0),IF(AD133&lt;R133,AA133+AB133-AC133,0)))))</x:f>
        <x:v>0</x:v>
      </x:c>
      <x:c r="T133" s="6" t="n">
        <x:f>ROUND(MAX(0,O133+P133-Q133-S133),2)</x:f>
        <x:v>0</x:v>
      </x:c>
      <x:c r="U133" s="6" t="n">
        <x:f>Z132</x:f>
        <x:v>0</x:v>
      </x:c>
      <x:c r="V133" s="6" t="n">
        <x:f>ROUND(U133*'Debt strategy'!$D$12/12,2)</x:f>
        <x:v>0</x:v>
      </x:c>
      <x:c r="W133" s="6" t="n">
        <x:f>MIN(U133+V133,'Debt strategy'!$E$12)</x:f>
        <x:v>0</x:v>
      </x:c>
      <x:c r="X133" s="27" t="n">
        <x:f>IF(U133+V133-W133&lt;=0,99,1+SUM(IF(AND(C133+D133-E133&gt;0,OR('Debt strategy'!$D$9&gt;'Debt strategy'!$D$12,AND('Debt strategy'!$D$9='Debt strategy'!$D$12,0&lt;3))),1,0),IF(AND(I133+J133-K133&gt;0,OR('Debt strategy'!$D$10&gt;'Debt strategy'!$D$12,AND('Debt strategy'!$D$10='Debt strategy'!$D$12,1&lt;3))),1,0),IF(AND(O133+P133-Q133&gt;0,OR('Debt strategy'!$D$11&gt;'Debt strategy'!$D$12,AND('Debt strategy'!$D$11='Debt strategy'!$D$12,2&lt;3))),1,0),IF(AND(AA133+AB133-AC133&gt;0,OR('Debt strategy'!$D$13&gt;'Debt strategy'!$D$12,AND('Debt strategy'!$D$13='Debt strategy'!$D$12,4&lt;3))),1,0)))</x:f>
        <x:v>99</x:v>
      </x:c>
      <x:c r="Y133" s="6" t="n">
        <x:f>IF('Debt strategy'!$C$16&gt;0,0,MIN(U133+V133-W133,MAX(0,'Debt strategy'!$C$5-SUM(E133,K133,Q133,W133,AC133)-SUM(IF(F133&lt;X133,C133+D133-E133,0),IF(L133&lt;X133,I133+J133-K133,0),IF(R133&lt;X133,O133+P133-Q133,0),IF(AD133&lt;X133,AA133+AB133-AC133,0)))))</x:f>
        <x:v>0</x:v>
      </x:c>
      <x:c r="Z133" s="6" t="n">
        <x:f>ROUND(MAX(0,U133+V133-W133-Y133),2)</x:f>
        <x:v>0</x:v>
      </x:c>
      <x:c r="AA133" s="6" t="n">
        <x:f>AF132</x:f>
        <x:v>0</x:v>
      </x:c>
      <x:c r="AB133" s="6" t="n">
        <x:f>ROUND(AA133*'Debt strategy'!$D$13/12,2)</x:f>
        <x:v>0</x:v>
      </x:c>
      <x:c r="AC133" s="6" t="n">
        <x:f>MIN(AA133+AB133,'Debt strategy'!$E$13)</x:f>
        <x:v>0</x:v>
      </x:c>
      <x:c r="AD133" s="27" t="n">
        <x:f>IF(AA133+AB133-AC133&lt;=0,99,1+SUM(IF(AND(C133+D133-E133&gt;0,OR('Debt strategy'!$D$9&gt;'Debt strategy'!$D$13,AND('Debt strategy'!$D$9='Debt strategy'!$D$13,0&lt;4))),1,0),IF(AND(I133+J133-K133&gt;0,OR('Debt strategy'!$D$10&gt;'Debt strategy'!$D$13,AND('Debt strategy'!$D$10='Debt strategy'!$D$13,1&lt;4))),1,0),IF(AND(O133+P133-Q133&gt;0,OR('Debt strategy'!$D$11&gt;'Debt strategy'!$D$13,AND('Debt strategy'!$D$11='Debt strategy'!$D$13,2&lt;4))),1,0),IF(AND(U133+V133-W133&gt;0,OR('Debt strategy'!$D$12&gt;'Debt strategy'!$D$13,AND('Debt strategy'!$D$12='Debt strategy'!$D$13,3&lt;4))),1,0)))</x:f>
        <x:v>99</x:v>
      </x:c>
      <x:c r="AE133" s="6" t="n">
        <x:f>IF('Debt strategy'!$C$16&gt;0,0,MIN(AA133+AB133-AC133,MAX(0,'Debt strategy'!$C$5-SUM(E133,K133,Q133,W133,AC133)-SUM(IF(F133&lt;AD133,C133+D133-E133,0),IF(L133&lt;AD133,I133+J133-K133,0),IF(R133&lt;AD133,O133+P133-Q133,0),IF(X133&lt;AD133,U133+V133-W133,0)))))</x:f>
        <x:v>0</x:v>
      </x:c>
      <x:c r="AF133" s="6" t="n">
        <x:f>ROUND(MAX(0,AA133+AB133-AC133-AE133),2)</x:f>
        <x:v>0</x:v>
      </x:c>
      <x:c r="AG133" s="6" t="n">
        <x:f>SUM(H133,N133,T133,Z133,AF133)</x:f>
        <x:v>0</x:v>
      </x:c>
      <x:c r="AH133" s="6" t="n">
        <x:f>SUM(D133,J133,P133,V133,AB133)+AH132</x:f>
        <x:v>1220.8400000000001</x:v>
      </x:c>
      <x:c r="AI133" s="2"/>
    </x:row>
    <x:row r="134" ht="23" customHeight="1">
      <x:c r="B134" s="2" t="n">
        <x:f>126</x:f>
        <x:v>126</x:v>
      </x:c>
      <x:c r="C134" s="6" t="n">
        <x:f>H133</x:f>
        <x:v>0</x:v>
      </x:c>
      <x:c r="D134" s="6" t="n">
        <x:f>ROUND(C134*'Debt strategy'!$D$9/12,2)</x:f>
        <x:v>0</x:v>
      </x:c>
      <x:c r="E134" s="6" t="n">
        <x:f>MIN(C134+D134,'Debt strategy'!$E$9)</x:f>
        <x:v>0</x:v>
      </x:c>
      <x:c r="F134" s="27" t="n">
        <x:f>IF(C134+D134-E134&lt;=0,99,1+SUM(IF(AND(I134+J134-K134&gt;0,OR('Debt strategy'!$D$10&gt;'Debt strategy'!$D$9,AND('Debt strategy'!$D$10='Debt strategy'!$D$9,1&lt;0))),1,0),IF(AND(O134+P134-Q134&gt;0,OR('Debt strategy'!$D$11&gt;'Debt strategy'!$D$9,AND('Debt strategy'!$D$11='Debt strategy'!$D$9,2&lt;0))),1,0),IF(AND(U134+V134-W134&gt;0,OR('Debt strategy'!$D$12&gt;'Debt strategy'!$D$9,AND('Debt strategy'!$D$12='Debt strategy'!$D$9,3&lt;0))),1,0),IF(AND(AA134+AB134-AC134&gt;0,OR('Debt strategy'!$D$13&gt;'Debt strategy'!$D$9,AND('Debt strategy'!$D$13='Debt strategy'!$D$9,4&lt;0))),1,0)))</x:f>
        <x:v>99</x:v>
      </x:c>
      <x:c r="G134" s="6" t="n">
        <x:f>IF('Debt strategy'!$C$16&gt;0,0,MIN(C134+D134-E134,MAX(0,'Debt strategy'!$C$5-SUM(E134,K134,Q134,W134,AC134)-SUM(IF(L134&lt;F134,I134+J134-K134,0),IF(R134&lt;F134,O134+P134-Q134,0),IF(X134&lt;F134,U134+V134-W134,0),IF(AD134&lt;F134,AA134+AB134-AC134,0)))))</x:f>
        <x:v>0</x:v>
      </x:c>
      <x:c r="H134" s="6" t="n">
        <x:f>ROUND(MAX(0,C134+D134-E134-G134),2)</x:f>
        <x:v>0</x:v>
      </x:c>
      <x:c r="I134" s="6" t="n">
        <x:f>N133</x:f>
        <x:v>0</x:v>
      </x:c>
      <x:c r="J134" s="6" t="n">
        <x:f>ROUND(I134*'Debt strategy'!$D$10/12,2)</x:f>
        <x:v>0</x:v>
      </x:c>
      <x:c r="K134" s="6" t="n">
        <x:f>MIN(I134+J134,'Debt strategy'!$E$10)</x:f>
        <x:v>0</x:v>
      </x:c>
      <x:c r="L134" s="27" t="n">
        <x:f>IF(I134+J134-K134&lt;=0,99,1+SUM(IF(AND(C134+D134-E134&gt;0,OR('Debt strategy'!$D$9&gt;'Debt strategy'!$D$10,AND('Debt strategy'!$D$9='Debt strategy'!$D$10,0&lt;1))),1,0),IF(AND(O134+P134-Q134&gt;0,OR('Debt strategy'!$D$11&gt;'Debt strategy'!$D$10,AND('Debt strategy'!$D$11='Debt strategy'!$D$10,2&lt;1))),1,0),IF(AND(U134+V134-W134&gt;0,OR('Debt strategy'!$D$12&gt;'Debt strategy'!$D$10,AND('Debt strategy'!$D$12='Debt strategy'!$D$10,3&lt;1))),1,0),IF(AND(AA134+AB134-AC134&gt;0,OR('Debt strategy'!$D$13&gt;'Debt strategy'!$D$10,AND('Debt strategy'!$D$13='Debt strategy'!$D$10,4&lt;1))),1,0)))</x:f>
        <x:v>99</x:v>
      </x:c>
      <x:c r="M134" s="6" t="n">
        <x:f>IF('Debt strategy'!$C$16&gt;0,0,MIN(I134+J134-K134,MAX(0,'Debt strategy'!$C$5-SUM(E134,K134,Q134,W134,AC134)-SUM(IF(F134&lt;L134,C134+D134-E134,0),IF(R134&lt;L134,O134+P134-Q134,0),IF(X134&lt;L134,U134+V134-W134,0),IF(AD134&lt;L134,AA134+AB134-AC134,0)))))</x:f>
        <x:v>0</x:v>
      </x:c>
      <x:c r="N134" s="6" t="n">
        <x:f>ROUND(MAX(0,I134+J134-K134-M134),2)</x:f>
        <x:v>0</x:v>
      </x:c>
      <x:c r="O134" s="6" t="n">
        <x:f>T133</x:f>
        <x:v>0</x:v>
      </x:c>
      <x:c r="P134" s="6" t="n">
        <x:f>ROUND(O134*'Debt strategy'!$D$11/12,2)</x:f>
        <x:v>0</x:v>
      </x:c>
      <x:c r="Q134" s="6" t="n">
        <x:f>MIN(O134+P134,'Debt strategy'!$E$11)</x:f>
        <x:v>0</x:v>
      </x:c>
      <x:c r="R134" s="27" t="n">
        <x:f>IF(O134+P134-Q134&lt;=0,99,1+SUM(IF(AND(C134+D134-E134&gt;0,OR('Debt strategy'!$D$9&gt;'Debt strategy'!$D$11,AND('Debt strategy'!$D$9='Debt strategy'!$D$11,0&lt;2))),1,0),IF(AND(I134+J134-K134&gt;0,OR('Debt strategy'!$D$10&gt;'Debt strategy'!$D$11,AND('Debt strategy'!$D$10='Debt strategy'!$D$11,1&lt;2))),1,0),IF(AND(U134+V134-W134&gt;0,OR('Debt strategy'!$D$12&gt;'Debt strategy'!$D$11,AND('Debt strategy'!$D$12='Debt strategy'!$D$11,3&lt;2))),1,0),IF(AND(AA134+AB134-AC134&gt;0,OR('Debt strategy'!$D$13&gt;'Debt strategy'!$D$11,AND('Debt strategy'!$D$13='Debt strategy'!$D$11,4&lt;2))),1,0)))</x:f>
        <x:v>99</x:v>
      </x:c>
      <x:c r="S134" s="6" t="n">
        <x:f>IF('Debt strategy'!$C$16&gt;0,0,MIN(O134+P134-Q134,MAX(0,'Debt strategy'!$C$5-SUM(E134,K134,Q134,W134,AC134)-SUM(IF(F134&lt;R134,C134+D134-E134,0),IF(L134&lt;R134,I134+J134-K134,0),IF(X134&lt;R134,U134+V134-W134,0),IF(AD134&lt;R134,AA134+AB134-AC134,0)))))</x:f>
        <x:v>0</x:v>
      </x:c>
      <x:c r="T134" s="6" t="n">
        <x:f>ROUND(MAX(0,O134+P134-Q134-S134),2)</x:f>
        <x:v>0</x:v>
      </x:c>
      <x:c r="U134" s="6" t="n">
        <x:f>Z133</x:f>
        <x:v>0</x:v>
      </x:c>
      <x:c r="V134" s="6" t="n">
        <x:f>ROUND(U134*'Debt strategy'!$D$12/12,2)</x:f>
        <x:v>0</x:v>
      </x:c>
      <x:c r="W134" s="6" t="n">
        <x:f>MIN(U134+V134,'Debt strategy'!$E$12)</x:f>
        <x:v>0</x:v>
      </x:c>
      <x:c r="X134" s="27" t="n">
        <x:f>IF(U134+V134-W134&lt;=0,99,1+SUM(IF(AND(C134+D134-E134&gt;0,OR('Debt strategy'!$D$9&gt;'Debt strategy'!$D$12,AND('Debt strategy'!$D$9='Debt strategy'!$D$12,0&lt;3))),1,0),IF(AND(I134+J134-K134&gt;0,OR('Debt strategy'!$D$10&gt;'Debt strategy'!$D$12,AND('Debt strategy'!$D$10='Debt strategy'!$D$12,1&lt;3))),1,0),IF(AND(O134+P134-Q134&gt;0,OR('Debt strategy'!$D$11&gt;'Debt strategy'!$D$12,AND('Debt strategy'!$D$11='Debt strategy'!$D$12,2&lt;3))),1,0),IF(AND(AA134+AB134-AC134&gt;0,OR('Debt strategy'!$D$13&gt;'Debt strategy'!$D$12,AND('Debt strategy'!$D$13='Debt strategy'!$D$12,4&lt;3))),1,0)))</x:f>
        <x:v>99</x:v>
      </x:c>
      <x:c r="Y134" s="6" t="n">
        <x:f>IF('Debt strategy'!$C$16&gt;0,0,MIN(U134+V134-W134,MAX(0,'Debt strategy'!$C$5-SUM(E134,K134,Q134,W134,AC134)-SUM(IF(F134&lt;X134,C134+D134-E134,0),IF(L134&lt;X134,I134+J134-K134,0),IF(R134&lt;X134,O134+P134-Q134,0),IF(AD134&lt;X134,AA134+AB134-AC134,0)))))</x:f>
        <x:v>0</x:v>
      </x:c>
      <x:c r="Z134" s="6" t="n">
        <x:f>ROUND(MAX(0,U134+V134-W134-Y134),2)</x:f>
        <x:v>0</x:v>
      </x:c>
      <x:c r="AA134" s="6" t="n">
        <x:f>AF133</x:f>
        <x:v>0</x:v>
      </x:c>
      <x:c r="AB134" s="6" t="n">
        <x:f>ROUND(AA134*'Debt strategy'!$D$13/12,2)</x:f>
        <x:v>0</x:v>
      </x:c>
      <x:c r="AC134" s="6" t="n">
        <x:f>MIN(AA134+AB134,'Debt strategy'!$E$13)</x:f>
        <x:v>0</x:v>
      </x:c>
      <x:c r="AD134" s="27" t="n">
        <x:f>IF(AA134+AB134-AC134&lt;=0,99,1+SUM(IF(AND(C134+D134-E134&gt;0,OR('Debt strategy'!$D$9&gt;'Debt strategy'!$D$13,AND('Debt strategy'!$D$9='Debt strategy'!$D$13,0&lt;4))),1,0),IF(AND(I134+J134-K134&gt;0,OR('Debt strategy'!$D$10&gt;'Debt strategy'!$D$13,AND('Debt strategy'!$D$10='Debt strategy'!$D$13,1&lt;4))),1,0),IF(AND(O134+P134-Q134&gt;0,OR('Debt strategy'!$D$11&gt;'Debt strategy'!$D$13,AND('Debt strategy'!$D$11='Debt strategy'!$D$13,2&lt;4))),1,0),IF(AND(U134+V134-W134&gt;0,OR('Debt strategy'!$D$12&gt;'Debt strategy'!$D$13,AND('Debt strategy'!$D$12='Debt strategy'!$D$13,3&lt;4))),1,0)))</x:f>
        <x:v>99</x:v>
      </x:c>
      <x:c r="AE134" s="6" t="n">
        <x:f>IF('Debt strategy'!$C$16&gt;0,0,MIN(AA134+AB134-AC134,MAX(0,'Debt strategy'!$C$5-SUM(E134,K134,Q134,W134,AC134)-SUM(IF(F134&lt;AD134,C134+D134-E134,0),IF(L134&lt;AD134,I134+J134-K134,0),IF(R134&lt;AD134,O134+P134-Q134,0),IF(X134&lt;AD134,U134+V134-W134,0)))))</x:f>
        <x:v>0</x:v>
      </x:c>
      <x:c r="AF134" s="6" t="n">
        <x:f>ROUND(MAX(0,AA134+AB134-AC134-AE134),2)</x:f>
        <x:v>0</x:v>
      </x:c>
      <x:c r="AG134" s="6" t="n">
        <x:f>SUM(H134,N134,T134,Z134,AF134)</x:f>
        <x:v>0</x:v>
      </x:c>
      <x:c r="AH134" s="6" t="n">
        <x:f>SUM(D134,J134,P134,V134,AB134)+AH133</x:f>
        <x:v>1220.8400000000001</x:v>
      </x:c>
      <x:c r="AI134" s="2"/>
    </x:row>
    <x:row r="135" ht="23" customHeight="1">
      <x:c r="B135" s="2" t="n">
        <x:f>127</x:f>
        <x:v>127</x:v>
      </x:c>
      <x:c r="C135" s="6" t="n">
        <x:f>H134</x:f>
        <x:v>0</x:v>
      </x:c>
      <x:c r="D135" s="6" t="n">
        <x:f>ROUND(C135*'Debt strategy'!$D$9/12,2)</x:f>
        <x:v>0</x:v>
      </x:c>
      <x:c r="E135" s="6" t="n">
        <x:f>MIN(C135+D135,'Debt strategy'!$E$9)</x:f>
        <x:v>0</x:v>
      </x:c>
      <x:c r="F135" s="27" t="n">
        <x:f>IF(C135+D135-E135&lt;=0,99,1+SUM(IF(AND(I135+J135-K135&gt;0,OR('Debt strategy'!$D$10&gt;'Debt strategy'!$D$9,AND('Debt strategy'!$D$10='Debt strategy'!$D$9,1&lt;0))),1,0),IF(AND(O135+P135-Q135&gt;0,OR('Debt strategy'!$D$11&gt;'Debt strategy'!$D$9,AND('Debt strategy'!$D$11='Debt strategy'!$D$9,2&lt;0))),1,0),IF(AND(U135+V135-W135&gt;0,OR('Debt strategy'!$D$12&gt;'Debt strategy'!$D$9,AND('Debt strategy'!$D$12='Debt strategy'!$D$9,3&lt;0))),1,0),IF(AND(AA135+AB135-AC135&gt;0,OR('Debt strategy'!$D$13&gt;'Debt strategy'!$D$9,AND('Debt strategy'!$D$13='Debt strategy'!$D$9,4&lt;0))),1,0)))</x:f>
        <x:v>99</x:v>
      </x:c>
      <x:c r="G135" s="6" t="n">
        <x:f>IF('Debt strategy'!$C$16&gt;0,0,MIN(C135+D135-E135,MAX(0,'Debt strategy'!$C$5-SUM(E135,K135,Q135,W135,AC135)-SUM(IF(L135&lt;F135,I135+J135-K135,0),IF(R135&lt;F135,O135+P135-Q135,0),IF(X135&lt;F135,U135+V135-W135,0),IF(AD135&lt;F135,AA135+AB135-AC135,0)))))</x:f>
        <x:v>0</x:v>
      </x:c>
      <x:c r="H135" s="6" t="n">
        <x:f>ROUND(MAX(0,C135+D135-E135-G135),2)</x:f>
        <x:v>0</x:v>
      </x:c>
      <x:c r="I135" s="6" t="n">
        <x:f>N134</x:f>
        <x:v>0</x:v>
      </x:c>
      <x:c r="J135" s="6" t="n">
        <x:f>ROUND(I135*'Debt strategy'!$D$10/12,2)</x:f>
        <x:v>0</x:v>
      </x:c>
      <x:c r="K135" s="6" t="n">
        <x:f>MIN(I135+J135,'Debt strategy'!$E$10)</x:f>
        <x:v>0</x:v>
      </x:c>
      <x:c r="L135" s="27" t="n">
        <x:f>IF(I135+J135-K135&lt;=0,99,1+SUM(IF(AND(C135+D135-E135&gt;0,OR('Debt strategy'!$D$9&gt;'Debt strategy'!$D$10,AND('Debt strategy'!$D$9='Debt strategy'!$D$10,0&lt;1))),1,0),IF(AND(O135+P135-Q135&gt;0,OR('Debt strategy'!$D$11&gt;'Debt strategy'!$D$10,AND('Debt strategy'!$D$11='Debt strategy'!$D$10,2&lt;1))),1,0),IF(AND(U135+V135-W135&gt;0,OR('Debt strategy'!$D$12&gt;'Debt strategy'!$D$10,AND('Debt strategy'!$D$12='Debt strategy'!$D$10,3&lt;1))),1,0),IF(AND(AA135+AB135-AC135&gt;0,OR('Debt strategy'!$D$13&gt;'Debt strategy'!$D$10,AND('Debt strategy'!$D$13='Debt strategy'!$D$10,4&lt;1))),1,0)))</x:f>
        <x:v>99</x:v>
      </x:c>
      <x:c r="M135" s="6" t="n">
        <x:f>IF('Debt strategy'!$C$16&gt;0,0,MIN(I135+J135-K135,MAX(0,'Debt strategy'!$C$5-SUM(E135,K135,Q135,W135,AC135)-SUM(IF(F135&lt;L135,C135+D135-E135,0),IF(R135&lt;L135,O135+P135-Q135,0),IF(X135&lt;L135,U135+V135-W135,0),IF(AD135&lt;L135,AA135+AB135-AC135,0)))))</x:f>
        <x:v>0</x:v>
      </x:c>
      <x:c r="N135" s="6" t="n">
        <x:f>ROUND(MAX(0,I135+J135-K135-M135),2)</x:f>
        <x:v>0</x:v>
      </x:c>
      <x:c r="O135" s="6" t="n">
        <x:f>T134</x:f>
        <x:v>0</x:v>
      </x:c>
      <x:c r="P135" s="6" t="n">
        <x:f>ROUND(O135*'Debt strategy'!$D$11/12,2)</x:f>
        <x:v>0</x:v>
      </x:c>
      <x:c r="Q135" s="6" t="n">
        <x:f>MIN(O135+P135,'Debt strategy'!$E$11)</x:f>
        <x:v>0</x:v>
      </x:c>
      <x:c r="R135" s="27" t="n">
        <x:f>IF(O135+P135-Q135&lt;=0,99,1+SUM(IF(AND(C135+D135-E135&gt;0,OR('Debt strategy'!$D$9&gt;'Debt strategy'!$D$11,AND('Debt strategy'!$D$9='Debt strategy'!$D$11,0&lt;2))),1,0),IF(AND(I135+J135-K135&gt;0,OR('Debt strategy'!$D$10&gt;'Debt strategy'!$D$11,AND('Debt strategy'!$D$10='Debt strategy'!$D$11,1&lt;2))),1,0),IF(AND(U135+V135-W135&gt;0,OR('Debt strategy'!$D$12&gt;'Debt strategy'!$D$11,AND('Debt strategy'!$D$12='Debt strategy'!$D$11,3&lt;2))),1,0),IF(AND(AA135+AB135-AC135&gt;0,OR('Debt strategy'!$D$13&gt;'Debt strategy'!$D$11,AND('Debt strategy'!$D$13='Debt strategy'!$D$11,4&lt;2))),1,0)))</x:f>
        <x:v>99</x:v>
      </x:c>
      <x:c r="S135" s="6" t="n">
        <x:f>IF('Debt strategy'!$C$16&gt;0,0,MIN(O135+P135-Q135,MAX(0,'Debt strategy'!$C$5-SUM(E135,K135,Q135,W135,AC135)-SUM(IF(F135&lt;R135,C135+D135-E135,0),IF(L135&lt;R135,I135+J135-K135,0),IF(X135&lt;R135,U135+V135-W135,0),IF(AD135&lt;R135,AA135+AB135-AC135,0)))))</x:f>
        <x:v>0</x:v>
      </x:c>
      <x:c r="T135" s="6" t="n">
        <x:f>ROUND(MAX(0,O135+P135-Q135-S135),2)</x:f>
        <x:v>0</x:v>
      </x:c>
      <x:c r="U135" s="6" t="n">
        <x:f>Z134</x:f>
        <x:v>0</x:v>
      </x:c>
      <x:c r="V135" s="6" t="n">
        <x:f>ROUND(U135*'Debt strategy'!$D$12/12,2)</x:f>
        <x:v>0</x:v>
      </x:c>
      <x:c r="W135" s="6" t="n">
        <x:f>MIN(U135+V135,'Debt strategy'!$E$12)</x:f>
        <x:v>0</x:v>
      </x:c>
      <x:c r="X135" s="27" t="n">
        <x:f>IF(U135+V135-W135&lt;=0,99,1+SUM(IF(AND(C135+D135-E135&gt;0,OR('Debt strategy'!$D$9&gt;'Debt strategy'!$D$12,AND('Debt strategy'!$D$9='Debt strategy'!$D$12,0&lt;3))),1,0),IF(AND(I135+J135-K135&gt;0,OR('Debt strategy'!$D$10&gt;'Debt strategy'!$D$12,AND('Debt strategy'!$D$10='Debt strategy'!$D$12,1&lt;3))),1,0),IF(AND(O135+P135-Q135&gt;0,OR('Debt strategy'!$D$11&gt;'Debt strategy'!$D$12,AND('Debt strategy'!$D$11='Debt strategy'!$D$12,2&lt;3))),1,0),IF(AND(AA135+AB135-AC135&gt;0,OR('Debt strategy'!$D$13&gt;'Debt strategy'!$D$12,AND('Debt strategy'!$D$13='Debt strategy'!$D$12,4&lt;3))),1,0)))</x:f>
        <x:v>99</x:v>
      </x:c>
      <x:c r="Y135" s="6" t="n">
        <x:f>IF('Debt strategy'!$C$16&gt;0,0,MIN(U135+V135-W135,MAX(0,'Debt strategy'!$C$5-SUM(E135,K135,Q135,W135,AC135)-SUM(IF(F135&lt;X135,C135+D135-E135,0),IF(L135&lt;X135,I135+J135-K135,0),IF(R135&lt;X135,O135+P135-Q135,0),IF(AD135&lt;X135,AA135+AB135-AC135,0)))))</x:f>
        <x:v>0</x:v>
      </x:c>
      <x:c r="Z135" s="6" t="n">
        <x:f>ROUND(MAX(0,U135+V135-W135-Y135),2)</x:f>
        <x:v>0</x:v>
      </x:c>
      <x:c r="AA135" s="6" t="n">
        <x:f>AF134</x:f>
        <x:v>0</x:v>
      </x:c>
      <x:c r="AB135" s="6" t="n">
        <x:f>ROUND(AA135*'Debt strategy'!$D$13/12,2)</x:f>
        <x:v>0</x:v>
      </x:c>
      <x:c r="AC135" s="6" t="n">
        <x:f>MIN(AA135+AB135,'Debt strategy'!$E$13)</x:f>
        <x:v>0</x:v>
      </x:c>
      <x:c r="AD135" s="27" t="n">
        <x:f>IF(AA135+AB135-AC135&lt;=0,99,1+SUM(IF(AND(C135+D135-E135&gt;0,OR('Debt strategy'!$D$9&gt;'Debt strategy'!$D$13,AND('Debt strategy'!$D$9='Debt strategy'!$D$13,0&lt;4))),1,0),IF(AND(I135+J135-K135&gt;0,OR('Debt strategy'!$D$10&gt;'Debt strategy'!$D$13,AND('Debt strategy'!$D$10='Debt strategy'!$D$13,1&lt;4))),1,0),IF(AND(O135+P135-Q135&gt;0,OR('Debt strategy'!$D$11&gt;'Debt strategy'!$D$13,AND('Debt strategy'!$D$11='Debt strategy'!$D$13,2&lt;4))),1,0),IF(AND(U135+V135-W135&gt;0,OR('Debt strategy'!$D$12&gt;'Debt strategy'!$D$13,AND('Debt strategy'!$D$12='Debt strategy'!$D$13,3&lt;4))),1,0)))</x:f>
        <x:v>99</x:v>
      </x:c>
      <x:c r="AE135" s="6" t="n">
        <x:f>IF('Debt strategy'!$C$16&gt;0,0,MIN(AA135+AB135-AC135,MAX(0,'Debt strategy'!$C$5-SUM(E135,K135,Q135,W135,AC135)-SUM(IF(F135&lt;AD135,C135+D135-E135,0),IF(L135&lt;AD135,I135+J135-K135,0),IF(R135&lt;AD135,O135+P135-Q135,0),IF(X135&lt;AD135,U135+V135-W135,0)))))</x:f>
        <x:v>0</x:v>
      </x:c>
      <x:c r="AF135" s="6" t="n">
        <x:f>ROUND(MAX(0,AA135+AB135-AC135-AE135),2)</x:f>
        <x:v>0</x:v>
      </x:c>
      <x:c r="AG135" s="6" t="n">
        <x:f>SUM(H135,N135,T135,Z135,AF135)</x:f>
        <x:v>0</x:v>
      </x:c>
      <x:c r="AH135" s="6" t="n">
        <x:f>SUM(D135,J135,P135,V135,AB135)+AH134</x:f>
        <x:v>1220.8400000000001</x:v>
      </x:c>
      <x:c r="AI135" s="2"/>
    </x:row>
    <x:row r="136" ht="23" customHeight="1">
      <x:c r="B136" s="2" t="n">
        <x:f>128</x:f>
        <x:v>128</x:v>
      </x:c>
      <x:c r="C136" s="6" t="n">
        <x:f>H135</x:f>
        <x:v>0</x:v>
      </x:c>
      <x:c r="D136" s="6" t="n">
        <x:f>ROUND(C136*'Debt strategy'!$D$9/12,2)</x:f>
        <x:v>0</x:v>
      </x:c>
      <x:c r="E136" s="6" t="n">
        <x:f>MIN(C136+D136,'Debt strategy'!$E$9)</x:f>
        <x:v>0</x:v>
      </x:c>
      <x:c r="F136" s="27" t="n">
        <x:f>IF(C136+D136-E136&lt;=0,99,1+SUM(IF(AND(I136+J136-K136&gt;0,OR('Debt strategy'!$D$10&gt;'Debt strategy'!$D$9,AND('Debt strategy'!$D$10='Debt strategy'!$D$9,1&lt;0))),1,0),IF(AND(O136+P136-Q136&gt;0,OR('Debt strategy'!$D$11&gt;'Debt strategy'!$D$9,AND('Debt strategy'!$D$11='Debt strategy'!$D$9,2&lt;0))),1,0),IF(AND(U136+V136-W136&gt;0,OR('Debt strategy'!$D$12&gt;'Debt strategy'!$D$9,AND('Debt strategy'!$D$12='Debt strategy'!$D$9,3&lt;0))),1,0),IF(AND(AA136+AB136-AC136&gt;0,OR('Debt strategy'!$D$13&gt;'Debt strategy'!$D$9,AND('Debt strategy'!$D$13='Debt strategy'!$D$9,4&lt;0))),1,0)))</x:f>
        <x:v>99</x:v>
      </x:c>
      <x:c r="G136" s="6" t="n">
        <x:f>IF('Debt strategy'!$C$16&gt;0,0,MIN(C136+D136-E136,MAX(0,'Debt strategy'!$C$5-SUM(E136,K136,Q136,W136,AC136)-SUM(IF(L136&lt;F136,I136+J136-K136,0),IF(R136&lt;F136,O136+P136-Q136,0),IF(X136&lt;F136,U136+V136-W136,0),IF(AD136&lt;F136,AA136+AB136-AC136,0)))))</x:f>
        <x:v>0</x:v>
      </x:c>
      <x:c r="H136" s="6" t="n">
        <x:f>ROUND(MAX(0,C136+D136-E136-G136),2)</x:f>
        <x:v>0</x:v>
      </x:c>
      <x:c r="I136" s="6" t="n">
        <x:f>N135</x:f>
        <x:v>0</x:v>
      </x:c>
      <x:c r="J136" s="6" t="n">
        <x:f>ROUND(I136*'Debt strategy'!$D$10/12,2)</x:f>
        <x:v>0</x:v>
      </x:c>
      <x:c r="K136" s="6" t="n">
        <x:f>MIN(I136+J136,'Debt strategy'!$E$10)</x:f>
        <x:v>0</x:v>
      </x:c>
      <x:c r="L136" s="27" t="n">
        <x:f>IF(I136+J136-K136&lt;=0,99,1+SUM(IF(AND(C136+D136-E136&gt;0,OR('Debt strategy'!$D$9&gt;'Debt strategy'!$D$10,AND('Debt strategy'!$D$9='Debt strategy'!$D$10,0&lt;1))),1,0),IF(AND(O136+P136-Q136&gt;0,OR('Debt strategy'!$D$11&gt;'Debt strategy'!$D$10,AND('Debt strategy'!$D$11='Debt strategy'!$D$10,2&lt;1))),1,0),IF(AND(U136+V136-W136&gt;0,OR('Debt strategy'!$D$12&gt;'Debt strategy'!$D$10,AND('Debt strategy'!$D$12='Debt strategy'!$D$10,3&lt;1))),1,0),IF(AND(AA136+AB136-AC136&gt;0,OR('Debt strategy'!$D$13&gt;'Debt strategy'!$D$10,AND('Debt strategy'!$D$13='Debt strategy'!$D$10,4&lt;1))),1,0)))</x:f>
        <x:v>99</x:v>
      </x:c>
      <x:c r="M136" s="6" t="n">
        <x:f>IF('Debt strategy'!$C$16&gt;0,0,MIN(I136+J136-K136,MAX(0,'Debt strategy'!$C$5-SUM(E136,K136,Q136,W136,AC136)-SUM(IF(F136&lt;L136,C136+D136-E136,0),IF(R136&lt;L136,O136+P136-Q136,0),IF(X136&lt;L136,U136+V136-W136,0),IF(AD136&lt;L136,AA136+AB136-AC136,0)))))</x:f>
        <x:v>0</x:v>
      </x:c>
      <x:c r="N136" s="6" t="n">
        <x:f>ROUND(MAX(0,I136+J136-K136-M136),2)</x:f>
        <x:v>0</x:v>
      </x:c>
      <x:c r="O136" s="6" t="n">
        <x:f>T135</x:f>
        <x:v>0</x:v>
      </x:c>
      <x:c r="P136" s="6" t="n">
        <x:f>ROUND(O136*'Debt strategy'!$D$11/12,2)</x:f>
        <x:v>0</x:v>
      </x:c>
      <x:c r="Q136" s="6" t="n">
        <x:f>MIN(O136+P136,'Debt strategy'!$E$11)</x:f>
        <x:v>0</x:v>
      </x:c>
      <x:c r="R136" s="27" t="n">
        <x:f>IF(O136+P136-Q136&lt;=0,99,1+SUM(IF(AND(C136+D136-E136&gt;0,OR('Debt strategy'!$D$9&gt;'Debt strategy'!$D$11,AND('Debt strategy'!$D$9='Debt strategy'!$D$11,0&lt;2))),1,0),IF(AND(I136+J136-K136&gt;0,OR('Debt strategy'!$D$10&gt;'Debt strategy'!$D$11,AND('Debt strategy'!$D$10='Debt strategy'!$D$11,1&lt;2))),1,0),IF(AND(U136+V136-W136&gt;0,OR('Debt strategy'!$D$12&gt;'Debt strategy'!$D$11,AND('Debt strategy'!$D$12='Debt strategy'!$D$11,3&lt;2))),1,0),IF(AND(AA136+AB136-AC136&gt;0,OR('Debt strategy'!$D$13&gt;'Debt strategy'!$D$11,AND('Debt strategy'!$D$13='Debt strategy'!$D$11,4&lt;2))),1,0)))</x:f>
        <x:v>99</x:v>
      </x:c>
      <x:c r="S136" s="6" t="n">
        <x:f>IF('Debt strategy'!$C$16&gt;0,0,MIN(O136+P136-Q136,MAX(0,'Debt strategy'!$C$5-SUM(E136,K136,Q136,W136,AC136)-SUM(IF(F136&lt;R136,C136+D136-E136,0),IF(L136&lt;R136,I136+J136-K136,0),IF(X136&lt;R136,U136+V136-W136,0),IF(AD136&lt;R136,AA136+AB136-AC136,0)))))</x:f>
        <x:v>0</x:v>
      </x:c>
      <x:c r="T136" s="6" t="n">
        <x:f>ROUND(MAX(0,O136+P136-Q136-S136),2)</x:f>
        <x:v>0</x:v>
      </x:c>
      <x:c r="U136" s="6" t="n">
        <x:f>Z135</x:f>
        <x:v>0</x:v>
      </x:c>
      <x:c r="V136" s="6" t="n">
        <x:f>ROUND(U136*'Debt strategy'!$D$12/12,2)</x:f>
        <x:v>0</x:v>
      </x:c>
      <x:c r="W136" s="6" t="n">
        <x:f>MIN(U136+V136,'Debt strategy'!$E$12)</x:f>
        <x:v>0</x:v>
      </x:c>
      <x:c r="X136" s="27" t="n">
        <x:f>IF(U136+V136-W136&lt;=0,99,1+SUM(IF(AND(C136+D136-E136&gt;0,OR('Debt strategy'!$D$9&gt;'Debt strategy'!$D$12,AND('Debt strategy'!$D$9='Debt strategy'!$D$12,0&lt;3))),1,0),IF(AND(I136+J136-K136&gt;0,OR('Debt strategy'!$D$10&gt;'Debt strategy'!$D$12,AND('Debt strategy'!$D$10='Debt strategy'!$D$12,1&lt;3))),1,0),IF(AND(O136+P136-Q136&gt;0,OR('Debt strategy'!$D$11&gt;'Debt strategy'!$D$12,AND('Debt strategy'!$D$11='Debt strategy'!$D$12,2&lt;3))),1,0),IF(AND(AA136+AB136-AC136&gt;0,OR('Debt strategy'!$D$13&gt;'Debt strategy'!$D$12,AND('Debt strategy'!$D$13='Debt strategy'!$D$12,4&lt;3))),1,0)))</x:f>
        <x:v>99</x:v>
      </x:c>
      <x:c r="Y136" s="6" t="n">
        <x:f>IF('Debt strategy'!$C$16&gt;0,0,MIN(U136+V136-W136,MAX(0,'Debt strategy'!$C$5-SUM(E136,K136,Q136,W136,AC136)-SUM(IF(F136&lt;X136,C136+D136-E136,0),IF(L136&lt;X136,I136+J136-K136,0),IF(R136&lt;X136,O136+P136-Q136,0),IF(AD136&lt;X136,AA136+AB136-AC136,0)))))</x:f>
        <x:v>0</x:v>
      </x:c>
      <x:c r="Z136" s="6" t="n">
        <x:f>ROUND(MAX(0,U136+V136-W136-Y136),2)</x:f>
        <x:v>0</x:v>
      </x:c>
      <x:c r="AA136" s="6" t="n">
        <x:f>AF135</x:f>
        <x:v>0</x:v>
      </x:c>
      <x:c r="AB136" s="6" t="n">
        <x:f>ROUND(AA136*'Debt strategy'!$D$13/12,2)</x:f>
        <x:v>0</x:v>
      </x:c>
      <x:c r="AC136" s="6" t="n">
        <x:f>MIN(AA136+AB136,'Debt strategy'!$E$13)</x:f>
        <x:v>0</x:v>
      </x:c>
      <x:c r="AD136" s="27" t="n">
        <x:f>IF(AA136+AB136-AC136&lt;=0,99,1+SUM(IF(AND(C136+D136-E136&gt;0,OR('Debt strategy'!$D$9&gt;'Debt strategy'!$D$13,AND('Debt strategy'!$D$9='Debt strategy'!$D$13,0&lt;4))),1,0),IF(AND(I136+J136-K136&gt;0,OR('Debt strategy'!$D$10&gt;'Debt strategy'!$D$13,AND('Debt strategy'!$D$10='Debt strategy'!$D$13,1&lt;4))),1,0),IF(AND(O136+P136-Q136&gt;0,OR('Debt strategy'!$D$11&gt;'Debt strategy'!$D$13,AND('Debt strategy'!$D$11='Debt strategy'!$D$13,2&lt;4))),1,0),IF(AND(U136+V136-W136&gt;0,OR('Debt strategy'!$D$12&gt;'Debt strategy'!$D$13,AND('Debt strategy'!$D$12='Debt strategy'!$D$13,3&lt;4))),1,0)))</x:f>
        <x:v>99</x:v>
      </x:c>
      <x:c r="AE136" s="6" t="n">
        <x:f>IF('Debt strategy'!$C$16&gt;0,0,MIN(AA136+AB136-AC136,MAX(0,'Debt strategy'!$C$5-SUM(E136,K136,Q136,W136,AC136)-SUM(IF(F136&lt;AD136,C136+D136-E136,0),IF(L136&lt;AD136,I136+J136-K136,0),IF(R136&lt;AD136,O136+P136-Q136,0),IF(X136&lt;AD136,U136+V136-W136,0)))))</x:f>
        <x:v>0</x:v>
      </x:c>
      <x:c r="AF136" s="6" t="n">
        <x:f>ROUND(MAX(0,AA136+AB136-AC136-AE136),2)</x:f>
        <x:v>0</x:v>
      </x:c>
      <x:c r="AG136" s="6" t="n">
        <x:f>SUM(H136,N136,T136,Z136,AF136)</x:f>
        <x:v>0</x:v>
      </x:c>
      <x:c r="AH136" s="6" t="n">
        <x:f>SUM(D136,J136,P136,V136,AB136)+AH135</x:f>
        <x:v>1220.8400000000001</x:v>
      </x:c>
      <x:c r="AI136" s="2"/>
    </x:row>
    <x:row r="137" ht="23" customHeight="1">
      <x:c r="B137" s="2" t="n">
        <x:f>129</x:f>
        <x:v>129</x:v>
      </x:c>
      <x:c r="C137" s="6" t="n">
        <x:f>H136</x:f>
        <x:v>0</x:v>
      </x:c>
      <x:c r="D137" s="6" t="n">
        <x:f>ROUND(C137*'Debt strategy'!$D$9/12,2)</x:f>
        <x:v>0</x:v>
      </x:c>
      <x:c r="E137" s="6" t="n">
        <x:f>MIN(C137+D137,'Debt strategy'!$E$9)</x:f>
        <x:v>0</x:v>
      </x:c>
      <x:c r="F137" s="27" t="n">
        <x:f>IF(C137+D137-E137&lt;=0,99,1+SUM(IF(AND(I137+J137-K137&gt;0,OR('Debt strategy'!$D$10&gt;'Debt strategy'!$D$9,AND('Debt strategy'!$D$10='Debt strategy'!$D$9,1&lt;0))),1,0),IF(AND(O137+P137-Q137&gt;0,OR('Debt strategy'!$D$11&gt;'Debt strategy'!$D$9,AND('Debt strategy'!$D$11='Debt strategy'!$D$9,2&lt;0))),1,0),IF(AND(U137+V137-W137&gt;0,OR('Debt strategy'!$D$12&gt;'Debt strategy'!$D$9,AND('Debt strategy'!$D$12='Debt strategy'!$D$9,3&lt;0))),1,0),IF(AND(AA137+AB137-AC137&gt;0,OR('Debt strategy'!$D$13&gt;'Debt strategy'!$D$9,AND('Debt strategy'!$D$13='Debt strategy'!$D$9,4&lt;0))),1,0)))</x:f>
        <x:v>99</x:v>
      </x:c>
      <x:c r="G137" s="6" t="n">
        <x:f>IF('Debt strategy'!$C$16&gt;0,0,MIN(C137+D137-E137,MAX(0,'Debt strategy'!$C$5-SUM(E137,K137,Q137,W137,AC137)-SUM(IF(L137&lt;F137,I137+J137-K137,0),IF(R137&lt;F137,O137+P137-Q137,0),IF(X137&lt;F137,U137+V137-W137,0),IF(AD137&lt;F137,AA137+AB137-AC137,0)))))</x:f>
        <x:v>0</x:v>
      </x:c>
      <x:c r="H137" s="6" t="n">
        <x:f>ROUND(MAX(0,C137+D137-E137-G137),2)</x:f>
        <x:v>0</x:v>
      </x:c>
      <x:c r="I137" s="6" t="n">
        <x:f>N136</x:f>
        <x:v>0</x:v>
      </x:c>
      <x:c r="J137" s="6" t="n">
        <x:f>ROUND(I137*'Debt strategy'!$D$10/12,2)</x:f>
        <x:v>0</x:v>
      </x:c>
      <x:c r="K137" s="6" t="n">
        <x:f>MIN(I137+J137,'Debt strategy'!$E$10)</x:f>
        <x:v>0</x:v>
      </x:c>
      <x:c r="L137" s="27" t="n">
        <x:f>IF(I137+J137-K137&lt;=0,99,1+SUM(IF(AND(C137+D137-E137&gt;0,OR('Debt strategy'!$D$9&gt;'Debt strategy'!$D$10,AND('Debt strategy'!$D$9='Debt strategy'!$D$10,0&lt;1))),1,0),IF(AND(O137+P137-Q137&gt;0,OR('Debt strategy'!$D$11&gt;'Debt strategy'!$D$10,AND('Debt strategy'!$D$11='Debt strategy'!$D$10,2&lt;1))),1,0),IF(AND(U137+V137-W137&gt;0,OR('Debt strategy'!$D$12&gt;'Debt strategy'!$D$10,AND('Debt strategy'!$D$12='Debt strategy'!$D$10,3&lt;1))),1,0),IF(AND(AA137+AB137-AC137&gt;0,OR('Debt strategy'!$D$13&gt;'Debt strategy'!$D$10,AND('Debt strategy'!$D$13='Debt strategy'!$D$10,4&lt;1))),1,0)))</x:f>
        <x:v>99</x:v>
      </x:c>
      <x:c r="M137" s="6" t="n">
        <x:f>IF('Debt strategy'!$C$16&gt;0,0,MIN(I137+J137-K137,MAX(0,'Debt strategy'!$C$5-SUM(E137,K137,Q137,W137,AC137)-SUM(IF(F137&lt;L137,C137+D137-E137,0),IF(R137&lt;L137,O137+P137-Q137,0),IF(X137&lt;L137,U137+V137-W137,0),IF(AD137&lt;L137,AA137+AB137-AC137,0)))))</x:f>
        <x:v>0</x:v>
      </x:c>
      <x:c r="N137" s="6" t="n">
        <x:f>ROUND(MAX(0,I137+J137-K137-M137),2)</x:f>
        <x:v>0</x:v>
      </x:c>
      <x:c r="O137" s="6" t="n">
        <x:f>T136</x:f>
        <x:v>0</x:v>
      </x:c>
      <x:c r="P137" s="6" t="n">
        <x:f>ROUND(O137*'Debt strategy'!$D$11/12,2)</x:f>
        <x:v>0</x:v>
      </x:c>
      <x:c r="Q137" s="6" t="n">
        <x:f>MIN(O137+P137,'Debt strategy'!$E$11)</x:f>
        <x:v>0</x:v>
      </x:c>
      <x:c r="R137" s="27" t="n">
        <x:f>IF(O137+P137-Q137&lt;=0,99,1+SUM(IF(AND(C137+D137-E137&gt;0,OR('Debt strategy'!$D$9&gt;'Debt strategy'!$D$11,AND('Debt strategy'!$D$9='Debt strategy'!$D$11,0&lt;2))),1,0),IF(AND(I137+J137-K137&gt;0,OR('Debt strategy'!$D$10&gt;'Debt strategy'!$D$11,AND('Debt strategy'!$D$10='Debt strategy'!$D$11,1&lt;2))),1,0),IF(AND(U137+V137-W137&gt;0,OR('Debt strategy'!$D$12&gt;'Debt strategy'!$D$11,AND('Debt strategy'!$D$12='Debt strategy'!$D$11,3&lt;2))),1,0),IF(AND(AA137+AB137-AC137&gt;0,OR('Debt strategy'!$D$13&gt;'Debt strategy'!$D$11,AND('Debt strategy'!$D$13='Debt strategy'!$D$11,4&lt;2))),1,0)))</x:f>
        <x:v>99</x:v>
      </x:c>
      <x:c r="S137" s="6" t="n">
        <x:f>IF('Debt strategy'!$C$16&gt;0,0,MIN(O137+P137-Q137,MAX(0,'Debt strategy'!$C$5-SUM(E137,K137,Q137,W137,AC137)-SUM(IF(F137&lt;R137,C137+D137-E137,0),IF(L137&lt;R137,I137+J137-K137,0),IF(X137&lt;R137,U137+V137-W137,0),IF(AD137&lt;R137,AA137+AB137-AC137,0)))))</x:f>
        <x:v>0</x:v>
      </x:c>
      <x:c r="T137" s="6" t="n">
        <x:f>ROUND(MAX(0,O137+P137-Q137-S137),2)</x:f>
        <x:v>0</x:v>
      </x:c>
      <x:c r="U137" s="6" t="n">
        <x:f>Z136</x:f>
        <x:v>0</x:v>
      </x:c>
      <x:c r="V137" s="6" t="n">
        <x:f>ROUND(U137*'Debt strategy'!$D$12/12,2)</x:f>
        <x:v>0</x:v>
      </x:c>
      <x:c r="W137" s="6" t="n">
        <x:f>MIN(U137+V137,'Debt strategy'!$E$12)</x:f>
        <x:v>0</x:v>
      </x:c>
      <x:c r="X137" s="27" t="n">
        <x:f>IF(U137+V137-W137&lt;=0,99,1+SUM(IF(AND(C137+D137-E137&gt;0,OR('Debt strategy'!$D$9&gt;'Debt strategy'!$D$12,AND('Debt strategy'!$D$9='Debt strategy'!$D$12,0&lt;3))),1,0),IF(AND(I137+J137-K137&gt;0,OR('Debt strategy'!$D$10&gt;'Debt strategy'!$D$12,AND('Debt strategy'!$D$10='Debt strategy'!$D$12,1&lt;3))),1,0),IF(AND(O137+P137-Q137&gt;0,OR('Debt strategy'!$D$11&gt;'Debt strategy'!$D$12,AND('Debt strategy'!$D$11='Debt strategy'!$D$12,2&lt;3))),1,0),IF(AND(AA137+AB137-AC137&gt;0,OR('Debt strategy'!$D$13&gt;'Debt strategy'!$D$12,AND('Debt strategy'!$D$13='Debt strategy'!$D$12,4&lt;3))),1,0)))</x:f>
        <x:v>99</x:v>
      </x:c>
      <x:c r="Y137" s="6" t="n">
        <x:f>IF('Debt strategy'!$C$16&gt;0,0,MIN(U137+V137-W137,MAX(0,'Debt strategy'!$C$5-SUM(E137,K137,Q137,W137,AC137)-SUM(IF(F137&lt;X137,C137+D137-E137,0),IF(L137&lt;X137,I137+J137-K137,0),IF(R137&lt;X137,O137+P137-Q137,0),IF(AD137&lt;X137,AA137+AB137-AC137,0)))))</x:f>
        <x:v>0</x:v>
      </x:c>
      <x:c r="Z137" s="6" t="n">
        <x:f>ROUND(MAX(0,U137+V137-W137-Y137),2)</x:f>
        <x:v>0</x:v>
      </x:c>
      <x:c r="AA137" s="6" t="n">
        <x:f>AF136</x:f>
        <x:v>0</x:v>
      </x:c>
      <x:c r="AB137" s="6" t="n">
        <x:f>ROUND(AA137*'Debt strategy'!$D$13/12,2)</x:f>
        <x:v>0</x:v>
      </x:c>
      <x:c r="AC137" s="6" t="n">
        <x:f>MIN(AA137+AB137,'Debt strategy'!$E$13)</x:f>
        <x:v>0</x:v>
      </x:c>
      <x:c r="AD137" s="27" t="n">
        <x:f>IF(AA137+AB137-AC137&lt;=0,99,1+SUM(IF(AND(C137+D137-E137&gt;0,OR('Debt strategy'!$D$9&gt;'Debt strategy'!$D$13,AND('Debt strategy'!$D$9='Debt strategy'!$D$13,0&lt;4))),1,0),IF(AND(I137+J137-K137&gt;0,OR('Debt strategy'!$D$10&gt;'Debt strategy'!$D$13,AND('Debt strategy'!$D$10='Debt strategy'!$D$13,1&lt;4))),1,0),IF(AND(O137+P137-Q137&gt;0,OR('Debt strategy'!$D$11&gt;'Debt strategy'!$D$13,AND('Debt strategy'!$D$11='Debt strategy'!$D$13,2&lt;4))),1,0),IF(AND(U137+V137-W137&gt;0,OR('Debt strategy'!$D$12&gt;'Debt strategy'!$D$13,AND('Debt strategy'!$D$12='Debt strategy'!$D$13,3&lt;4))),1,0)))</x:f>
        <x:v>99</x:v>
      </x:c>
      <x:c r="AE137" s="6" t="n">
        <x:f>IF('Debt strategy'!$C$16&gt;0,0,MIN(AA137+AB137-AC137,MAX(0,'Debt strategy'!$C$5-SUM(E137,K137,Q137,W137,AC137)-SUM(IF(F137&lt;AD137,C137+D137-E137,0),IF(L137&lt;AD137,I137+J137-K137,0),IF(R137&lt;AD137,O137+P137-Q137,0),IF(X137&lt;AD137,U137+V137-W137,0)))))</x:f>
        <x:v>0</x:v>
      </x:c>
      <x:c r="AF137" s="6" t="n">
        <x:f>ROUND(MAX(0,AA137+AB137-AC137-AE137),2)</x:f>
        <x:v>0</x:v>
      </x:c>
      <x:c r="AG137" s="6" t="n">
        <x:f>SUM(H137,N137,T137,Z137,AF137)</x:f>
        <x:v>0</x:v>
      </x:c>
      <x:c r="AH137" s="6" t="n">
        <x:f>SUM(D137,J137,P137,V137,AB137)+AH136</x:f>
        <x:v>1220.8400000000001</x:v>
      </x:c>
      <x:c r="AI137" s="2"/>
    </x:row>
    <x:row r="138" ht="23" customHeight="1">
      <x:c r="B138" s="2" t="n">
        <x:f>130</x:f>
        <x:v>130</x:v>
      </x:c>
      <x:c r="C138" s="6" t="n">
        <x:f>H137</x:f>
        <x:v>0</x:v>
      </x:c>
      <x:c r="D138" s="6" t="n">
        <x:f>ROUND(C138*'Debt strategy'!$D$9/12,2)</x:f>
        <x:v>0</x:v>
      </x:c>
      <x:c r="E138" s="6" t="n">
        <x:f>MIN(C138+D138,'Debt strategy'!$E$9)</x:f>
        <x:v>0</x:v>
      </x:c>
      <x:c r="F138" s="27" t="n">
        <x:f>IF(C138+D138-E138&lt;=0,99,1+SUM(IF(AND(I138+J138-K138&gt;0,OR('Debt strategy'!$D$10&gt;'Debt strategy'!$D$9,AND('Debt strategy'!$D$10='Debt strategy'!$D$9,1&lt;0))),1,0),IF(AND(O138+P138-Q138&gt;0,OR('Debt strategy'!$D$11&gt;'Debt strategy'!$D$9,AND('Debt strategy'!$D$11='Debt strategy'!$D$9,2&lt;0))),1,0),IF(AND(U138+V138-W138&gt;0,OR('Debt strategy'!$D$12&gt;'Debt strategy'!$D$9,AND('Debt strategy'!$D$12='Debt strategy'!$D$9,3&lt;0))),1,0),IF(AND(AA138+AB138-AC138&gt;0,OR('Debt strategy'!$D$13&gt;'Debt strategy'!$D$9,AND('Debt strategy'!$D$13='Debt strategy'!$D$9,4&lt;0))),1,0)))</x:f>
        <x:v>99</x:v>
      </x:c>
      <x:c r="G138" s="6" t="n">
        <x:f>IF('Debt strategy'!$C$16&gt;0,0,MIN(C138+D138-E138,MAX(0,'Debt strategy'!$C$5-SUM(E138,K138,Q138,W138,AC138)-SUM(IF(L138&lt;F138,I138+J138-K138,0),IF(R138&lt;F138,O138+P138-Q138,0),IF(X138&lt;F138,U138+V138-W138,0),IF(AD138&lt;F138,AA138+AB138-AC138,0)))))</x:f>
        <x:v>0</x:v>
      </x:c>
      <x:c r="H138" s="6" t="n">
        <x:f>ROUND(MAX(0,C138+D138-E138-G138),2)</x:f>
        <x:v>0</x:v>
      </x:c>
      <x:c r="I138" s="6" t="n">
        <x:f>N137</x:f>
        <x:v>0</x:v>
      </x:c>
      <x:c r="J138" s="6" t="n">
        <x:f>ROUND(I138*'Debt strategy'!$D$10/12,2)</x:f>
        <x:v>0</x:v>
      </x:c>
      <x:c r="K138" s="6" t="n">
        <x:f>MIN(I138+J138,'Debt strategy'!$E$10)</x:f>
        <x:v>0</x:v>
      </x:c>
      <x:c r="L138" s="27" t="n">
        <x:f>IF(I138+J138-K138&lt;=0,99,1+SUM(IF(AND(C138+D138-E138&gt;0,OR('Debt strategy'!$D$9&gt;'Debt strategy'!$D$10,AND('Debt strategy'!$D$9='Debt strategy'!$D$10,0&lt;1))),1,0),IF(AND(O138+P138-Q138&gt;0,OR('Debt strategy'!$D$11&gt;'Debt strategy'!$D$10,AND('Debt strategy'!$D$11='Debt strategy'!$D$10,2&lt;1))),1,0),IF(AND(U138+V138-W138&gt;0,OR('Debt strategy'!$D$12&gt;'Debt strategy'!$D$10,AND('Debt strategy'!$D$12='Debt strategy'!$D$10,3&lt;1))),1,0),IF(AND(AA138+AB138-AC138&gt;0,OR('Debt strategy'!$D$13&gt;'Debt strategy'!$D$10,AND('Debt strategy'!$D$13='Debt strategy'!$D$10,4&lt;1))),1,0)))</x:f>
        <x:v>99</x:v>
      </x:c>
      <x:c r="M138" s="6" t="n">
        <x:f>IF('Debt strategy'!$C$16&gt;0,0,MIN(I138+J138-K138,MAX(0,'Debt strategy'!$C$5-SUM(E138,K138,Q138,W138,AC138)-SUM(IF(F138&lt;L138,C138+D138-E138,0),IF(R138&lt;L138,O138+P138-Q138,0),IF(X138&lt;L138,U138+V138-W138,0),IF(AD138&lt;L138,AA138+AB138-AC138,0)))))</x:f>
        <x:v>0</x:v>
      </x:c>
      <x:c r="N138" s="6" t="n">
        <x:f>ROUND(MAX(0,I138+J138-K138-M138),2)</x:f>
        <x:v>0</x:v>
      </x:c>
      <x:c r="O138" s="6" t="n">
        <x:f>T137</x:f>
        <x:v>0</x:v>
      </x:c>
      <x:c r="P138" s="6" t="n">
        <x:f>ROUND(O138*'Debt strategy'!$D$11/12,2)</x:f>
        <x:v>0</x:v>
      </x:c>
      <x:c r="Q138" s="6" t="n">
        <x:f>MIN(O138+P138,'Debt strategy'!$E$11)</x:f>
        <x:v>0</x:v>
      </x:c>
      <x:c r="R138" s="27" t="n">
        <x:f>IF(O138+P138-Q138&lt;=0,99,1+SUM(IF(AND(C138+D138-E138&gt;0,OR('Debt strategy'!$D$9&gt;'Debt strategy'!$D$11,AND('Debt strategy'!$D$9='Debt strategy'!$D$11,0&lt;2))),1,0),IF(AND(I138+J138-K138&gt;0,OR('Debt strategy'!$D$10&gt;'Debt strategy'!$D$11,AND('Debt strategy'!$D$10='Debt strategy'!$D$11,1&lt;2))),1,0),IF(AND(U138+V138-W138&gt;0,OR('Debt strategy'!$D$12&gt;'Debt strategy'!$D$11,AND('Debt strategy'!$D$12='Debt strategy'!$D$11,3&lt;2))),1,0),IF(AND(AA138+AB138-AC138&gt;0,OR('Debt strategy'!$D$13&gt;'Debt strategy'!$D$11,AND('Debt strategy'!$D$13='Debt strategy'!$D$11,4&lt;2))),1,0)))</x:f>
        <x:v>99</x:v>
      </x:c>
      <x:c r="S138" s="6" t="n">
        <x:f>IF('Debt strategy'!$C$16&gt;0,0,MIN(O138+P138-Q138,MAX(0,'Debt strategy'!$C$5-SUM(E138,K138,Q138,W138,AC138)-SUM(IF(F138&lt;R138,C138+D138-E138,0),IF(L138&lt;R138,I138+J138-K138,0),IF(X138&lt;R138,U138+V138-W138,0),IF(AD138&lt;R138,AA138+AB138-AC138,0)))))</x:f>
        <x:v>0</x:v>
      </x:c>
      <x:c r="T138" s="6" t="n">
        <x:f>ROUND(MAX(0,O138+P138-Q138-S138),2)</x:f>
        <x:v>0</x:v>
      </x:c>
      <x:c r="U138" s="6" t="n">
        <x:f>Z137</x:f>
        <x:v>0</x:v>
      </x:c>
      <x:c r="V138" s="6" t="n">
        <x:f>ROUND(U138*'Debt strategy'!$D$12/12,2)</x:f>
        <x:v>0</x:v>
      </x:c>
      <x:c r="W138" s="6" t="n">
        <x:f>MIN(U138+V138,'Debt strategy'!$E$12)</x:f>
        <x:v>0</x:v>
      </x:c>
      <x:c r="X138" s="27" t="n">
        <x:f>IF(U138+V138-W138&lt;=0,99,1+SUM(IF(AND(C138+D138-E138&gt;0,OR('Debt strategy'!$D$9&gt;'Debt strategy'!$D$12,AND('Debt strategy'!$D$9='Debt strategy'!$D$12,0&lt;3))),1,0),IF(AND(I138+J138-K138&gt;0,OR('Debt strategy'!$D$10&gt;'Debt strategy'!$D$12,AND('Debt strategy'!$D$10='Debt strategy'!$D$12,1&lt;3))),1,0),IF(AND(O138+P138-Q138&gt;0,OR('Debt strategy'!$D$11&gt;'Debt strategy'!$D$12,AND('Debt strategy'!$D$11='Debt strategy'!$D$12,2&lt;3))),1,0),IF(AND(AA138+AB138-AC138&gt;0,OR('Debt strategy'!$D$13&gt;'Debt strategy'!$D$12,AND('Debt strategy'!$D$13='Debt strategy'!$D$12,4&lt;3))),1,0)))</x:f>
        <x:v>99</x:v>
      </x:c>
      <x:c r="Y138" s="6" t="n">
        <x:f>IF('Debt strategy'!$C$16&gt;0,0,MIN(U138+V138-W138,MAX(0,'Debt strategy'!$C$5-SUM(E138,K138,Q138,W138,AC138)-SUM(IF(F138&lt;X138,C138+D138-E138,0),IF(L138&lt;X138,I138+J138-K138,0),IF(R138&lt;X138,O138+P138-Q138,0),IF(AD138&lt;X138,AA138+AB138-AC138,0)))))</x:f>
        <x:v>0</x:v>
      </x:c>
      <x:c r="Z138" s="6" t="n">
        <x:f>ROUND(MAX(0,U138+V138-W138-Y138),2)</x:f>
        <x:v>0</x:v>
      </x:c>
      <x:c r="AA138" s="6" t="n">
        <x:f>AF137</x:f>
        <x:v>0</x:v>
      </x:c>
      <x:c r="AB138" s="6" t="n">
        <x:f>ROUND(AA138*'Debt strategy'!$D$13/12,2)</x:f>
        <x:v>0</x:v>
      </x:c>
      <x:c r="AC138" s="6" t="n">
        <x:f>MIN(AA138+AB138,'Debt strategy'!$E$13)</x:f>
        <x:v>0</x:v>
      </x:c>
      <x:c r="AD138" s="27" t="n">
        <x:f>IF(AA138+AB138-AC138&lt;=0,99,1+SUM(IF(AND(C138+D138-E138&gt;0,OR('Debt strategy'!$D$9&gt;'Debt strategy'!$D$13,AND('Debt strategy'!$D$9='Debt strategy'!$D$13,0&lt;4))),1,0),IF(AND(I138+J138-K138&gt;0,OR('Debt strategy'!$D$10&gt;'Debt strategy'!$D$13,AND('Debt strategy'!$D$10='Debt strategy'!$D$13,1&lt;4))),1,0),IF(AND(O138+P138-Q138&gt;0,OR('Debt strategy'!$D$11&gt;'Debt strategy'!$D$13,AND('Debt strategy'!$D$11='Debt strategy'!$D$13,2&lt;4))),1,0),IF(AND(U138+V138-W138&gt;0,OR('Debt strategy'!$D$12&gt;'Debt strategy'!$D$13,AND('Debt strategy'!$D$12='Debt strategy'!$D$13,3&lt;4))),1,0)))</x:f>
        <x:v>99</x:v>
      </x:c>
      <x:c r="AE138" s="6" t="n">
        <x:f>IF('Debt strategy'!$C$16&gt;0,0,MIN(AA138+AB138-AC138,MAX(0,'Debt strategy'!$C$5-SUM(E138,K138,Q138,W138,AC138)-SUM(IF(F138&lt;AD138,C138+D138-E138,0),IF(L138&lt;AD138,I138+J138-K138,0),IF(R138&lt;AD138,O138+P138-Q138,0),IF(X138&lt;AD138,U138+V138-W138,0)))))</x:f>
        <x:v>0</x:v>
      </x:c>
      <x:c r="AF138" s="6" t="n">
        <x:f>ROUND(MAX(0,AA138+AB138-AC138-AE138),2)</x:f>
        <x:v>0</x:v>
      </x:c>
      <x:c r="AG138" s="6" t="n">
        <x:f>SUM(H138,N138,T138,Z138,AF138)</x:f>
        <x:v>0</x:v>
      </x:c>
      <x:c r="AH138" s="6" t="n">
        <x:f>SUM(D138,J138,P138,V138,AB138)+AH137</x:f>
        <x:v>1220.8400000000001</x:v>
      </x:c>
      <x:c r="AI138" s="2"/>
    </x:row>
    <x:row r="139" ht="23" customHeight="1">
      <x:c r="B139" s="2" t="n">
        <x:f>131</x:f>
        <x:v>131</x:v>
      </x:c>
      <x:c r="C139" s="6" t="n">
        <x:f>H138</x:f>
        <x:v>0</x:v>
      </x:c>
      <x:c r="D139" s="6" t="n">
        <x:f>ROUND(C139*'Debt strategy'!$D$9/12,2)</x:f>
        <x:v>0</x:v>
      </x:c>
      <x:c r="E139" s="6" t="n">
        <x:f>MIN(C139+D139,'Debt strategy'!$E$9)</x:f>
        <x:v>0</x:v>
      </x:c>
      <x:c r="F139" s="27" t="n">
        <x:f>IF(C139+D139-E139&lt;=0,99,1+SUM(IF(AND(I139+J139-K139&gt;0,OR('Debt strategy'!$D$10&gt;'Debt strategy'!$D$9,AND('Debt strategy'!$D$10='Debt strategy'!$D$9,1&lt;0))),1,0),IF(AND(O139+P139-Q139&gt;0,OR('Debt strategy'!$D$11&gt;'Debt strategy'!$D$9,AND('Debt strategy'!$D$11='Debt strategy'!$D$9,2&lt;0))),1,0),IF(AND(U139+V139-W139&gt;0,OR('Debt strategy'!$D$12&gt;'Debt strategy'!$D$9,AND('Debt strategy'!$D$12='Debt strategy'!$D$9,3&lt;0))),1,0),IF(AND(AA139+AB139-AC139&gt;0,OR('Debt strategy'!$D$13&gt;'Debt strategy'!$D$9,AND('Debt strategy'!$D$13='Debt strategy'!$D$9,4&lt;0))),1,0)))</x:f>
        <x:v>99</x:v>
      </x:c>
      <x:c r="G139" s="6" t="n">
        <x:f>IF('Debt strategy'!$C$16&gt;0,0,MIN(C139+D139-E139,MAX(0,'Debt strategy'!$C$5-SUM(E139,K139,Q139,W139,AC139)-SUM(IF(L139&lt;F139,I139+J139-K139,0),IF(R139&lt;F139,O139+P139-Q139,0),IF(X139&lt;F139,U139+V139-W139,0),IF(AD139&lt;F139,AA139+AB139-AC139,0)))))</x:f>
        <x:v>0</x:v>
      </x:c>
      <x:c r="H139" s="6" t="n">
        <x:f>ROUND(MAX(0,C139+D139-E139-G139),2)</x:f>
        <x:v>0</x:v>
      </x:c>
      <x:c r="I139" s="6" t="n">
        <x:f>N138</x:f>
        <x:v>0</x:v>
      </x:c>
      <x:c r="J139" s="6" t="n">
        <x:f>ROUND(I139*'Debt strategy'!$D$10/12,2)</x:f>
        <x:v>0</x:v>
      </x:c>
      <x:c r="K139" s="6" t="n">
        <x:f>MIN(I139+J139,'Debt strategy'!$E$10)</x:f>
        <x:v>0</x:v>
      </x:c>
      <x:c r="L139" s="27" t="n">
        <x:f>IF(I139+J139-K139&lt;=0,99,1+SUM(IF(AND(C139+D139-E139&gt;0,OR('Debt strategy'!$D$9&gt;'Debt strategy'!$D$10,AND('Debt strategy'!$D$9='Debt strategy'!$D$10,0&lt;1))),1,0),IF(AND(O139+P139-Q139&gt;0,OR('Debt strategy'!$D$11&gt;'Debt strategy'!$D$10,AND('Debt strategy'!$D$11='Debt strategy'!$D$10,2&lt;1))),1,0),IF(AND(U139+V139-W139&gt;0,OR('Debt strategy'!$D$12&gt;'Debt strategy'!$D$10,AND('Debt strategy'!$D$12='Debt strategy'!$D$10,3&lt;1))),1,0),IF(AND(AA139+AB139-AC139&gt;0,OR('Debt strategy'!$D$13&gt;'Debt strategy'!$D$10,AND('Debt strategy'!$D$13='Debt strategy'!$D$10,4&lt;1))),1,0)))</x:f>
        <x:v>99</x:v>
      </x:c>
      <x:c r="M139" s="6" t="n">
        <x:f>IF('Debt strategy'!$C$16&gt;0,0,MIN(I139+J139-K139,MAX(0,'Debt strategy'!$C$5-SUM(E139,K139,Q139,W139,AC139)-SUM(IF(F139&lt;L139,C139+D139-E139,0),IF(R139&lt;L139,O139+P139-Q139,0),IF(X139&lt;L139,U139+V139-W139,0),IF(AD139&lt;L139,AA139+AB139-AC139,0)))))</x:f>
        <x:v>0</x:v>
      </x:c>
      <x:c r="N139" s="6" t="n">
        <x:f>ROUND(MAX(0,I139+J139-K139-M139),2)</x:f>
        <x:v>0</x:v>
      </x:c>
      <x:c r="O139" s="6" t="n">
        <x:f>T138</x:f>
        <x:v>0</x:v>
      </x:c>
      <x:c r="P139" s="6" t="n">
        <x:f>ROUND(O139*'Debt strategy'!$D$11/12,2)</x:f>
        <x:v>0</x:v>
      </x:c>
      <x:c r="Q139" s="6" t="n">
        <x:f>MIN(O139+P139,'Debt strategy'!$E$11)</x:f>
        <x:v>0</x:v>
      </x:c>
      <x:c r="R139" s="27" t="n">
        <x:f>IF(O139+P139-Q139&lt;=0,99,1+SUM(IF(AND(C139+D139-E139&gt;0,OR('Debt strategy'!$D$9&gt;'Debt strategy'!$D$11,AND('Debt strategy'!$D$9='Debt strategy'!$D$11,0&lt;2))),1,0),IF(AND(I139+J139-K139&gt;0,OR('Debt strategy'!$D$10&gt;'Debt strategy'!$D$11,AND('Debt strategy'!$D$10='Debt strategy'!$D$11,1&lt;2))),1,0),IF(AND(U139+V139-W139&gt;0,OR('Debt strategy'!$D$12&gt;'Debt strategy'!$D$11,AND('Debt strategy'!$D$12='Debt strategy'!$D$11,3&lt;2))),1,0),IF(AND(AA139+AB139-AC139&gt;0,OR('Debt strategy'!$D$13&gt;'Debt strategy'!$D$11,AND('Debt strategy'!$D$13='Debt strategy'!$D$11,4&lt;2))),1,0)))</x:f>
        <x:v>99</x:v>
      </x:c>
      <x:c r="S139" s="6" t="n">
        <x:f>IF('Debt strategy'!$C$16&gt;0,0,MIN(O139+P139-Q139,MAX(0,'Debt strategy'!$C$5-SUM(E139,K139,Q139,W139,AC139)-SUM(IF(F139&lt;R139,C139+D139-E139,0),IF(L139&lt;R139,I139+J139-K139,0),IF(X139&lt;R139,U139+V139-W139,0),IF(AD139&lt;R139,AA139+AB139-AC139,0)))))</x:f>
        <x:v>0</x:v>
      </x:c>
      <x:c r="T139" s="6" t="n">
        <x:f>ROUND(MAX(0,O139+P139-Q139-S139),2)</x:f>
        <x:v>0</x:v>
      </x:c>
      <x:c r="U139" s="6" t="n">
        <x:f>Z138</x:f>
        <x:v>0</x:v>
      </x:c>
      <x:c r="V139" s="6" t="n">
        <x:f>ROUND(U139*'Debt strategy'!$D$12/12,2)</x:f>
        <x:v>0</x:v>
      </x:c>
      <x:c r="W139" s="6" t="n">
        <x:f>MIN(U139+V139,'Debt strategy'!$E$12)</x:f>
        <x:v>0</x:v>
      </x:c>
      <x:c r="X139" s="27" t="n">
        <x:f>IF(U139+V139-W139&lt;=0,99,1+SUM(IF(AND(C139+D139-E139&gt;0,OR('Debt strategy'!$D$9&gt;'Debt strategy'!$D$12,AND('Debt strategy'!$D$9='Debt strategy'!$D$12,0&lt;3))),1,0),IF(AND(I139+J139-K139&gt;0,OR('Debt strategy'!$D$10&gt;'Debt strategy'!$D$12,AND('Debt strategy'!$D$10='Debt strategy'!$D$12,1&lt;3))),1,0),IF(AND(O139+P139-Q139&gt;0,OR('Debt strategy'!$D$11&gt;'Debt strategy'!$D$12,AND('Debt strategy'!$D$11='Debt strategy'!$D$12,2&lt;3))),1,0),IF(AND(AA139+AB139-AC139&gt;0,OR('Debt strategy'!$D$13&gt;'Debt strategy'!$D$12,AND('Debt strategy'!$D$13='Debt strategy'!$D$12,4&lt;3))),1,0)))</x:f>
        <x:v>99</x:v>
      </x:c>
      <x:c r="Y139" s="6" t="n">
        <x:f>IF('Debt strategy'!$C$16&gt;0,0,MIN(U139+V139-W139,MAX(0,'Debt strategy'!$C$5-SUM(E139,K139,Q139,W139,AC139)-SUM(IF(F139&lt;X139,C139+D139-E139,0),IF(L139&lt;X139,I139+J139-K139,0),IF(R139&lt;X139,O139+P139-Q139,0),IF(AD139&lt;X139,AA139+AB139-AC139,0)))))</x:f>
        <x:v>0</x:v>
      </x:c>
      <x:c r="Z139" s="6" t="n">
        <x:f>ROUND(MAX(0,U139+V139-W139-Y139),2)</x:f>
        <x:v>0</x:v>
      </x:c>
      <x:c r="AA139" s="6" t="n">
        <x:f>AF138</x:f>
        <x:v>0</x:v>
      </x:c>
      <x:c r="AB139" s="6" t="n">
        <x:f>ROUND(AA139*'Debt strategy'!$D$13/12,2)</x:f>
        <x:v>0</x:v>
      </x:c>
      <x:c r="AC139" s="6" t="n">
        <x:f>MIN(AA139+AB139,'Debt strategy'!$E$13)</x:f>
        <x:v>0</x:v>
      </x:c>
      <x:c r="AD139" s="27" t="n">
        <x:f>IF(AA139+AB139-AC139&lt;=0,99,1+SUM(IF(AND(C139+D139-E139&gt;0,OR('Debt strategy'!$D$9&gt;'Debt strategy'!$D$13,AND('Debt strategy'!$D$9='Debt strategy'!$D$13,0&lt;4))),1,0),IF(AND(I139+J139-K139&gt;0,OR('Debt strategy'!$D$10&gt;'Debt strategy'!$D$13,AND('Debt strategy'!$D$10='Debt strategy'!$D$13,1&lt;4))),1,0),IF(AND(O139+P139-Q139&gt;0,OR('Debt strategy'!$D$11&gt;'Debt strategy'!$D$13,AND('Debt strategy'!$D$11='Debt strategy'!$D$13,2&lt;4))),1,0),IF(AND(U139+V139-W139&gt;0,OR('Debt strategy'!$D$12&gt;'Debt strategy'!$D$13,AND('Debt strategy'!$D$12='Debt strategy'!$D$13,3&lt;4))),1,0)))</x:f>
        <x:v>99</x:v>
      </x:c>
      <x:c r="AE139" s="6" t="n">
        <x:f>IF('Debt strategy'!$C$16&gt;0,0,MIN(AA139+AB139-AC139,MAX(0,'Debt strategy'!$C$5-SUM(E139,K139,Q139,W139,AC139)-SUM(IF(F139&lt;AD139,C139+D139-E139,0),IF(L139&lt;AD139,I139+J139-K139,0),IF(R139&lt;AD139,O139+P139-Q139,0),IF(X139&lt;AD139,U139+V139-W139,0)))))</x:f>
        <x:v>0</x:v>
      </x:c>
      <x:c r="AF139" s="6" t="n">
        <x:f>ROUND(MAX(0,AA139+AB139-AC139-AE139),2)</x:f>
        <x:v>0</x:v>
      </x:c>
      <x:c r="AG139" s="6" t="n">
        <x:f>SUM(H139,N139,T139,Z139,AF139)</x:f>
        <x:v>0</x:v>
      </x:c>
      <x:c r="AH139" s="6" t="n">
        <x:f>SUM(D139,J139,P139,V139,AB139)+AH138</x:f>
        <x:v>1220.8400000000001</x:v>
      </x:c>
      <x:c r="AI139" s="2"/>
    </x:row>
    <x:row r="140" ht="23" customHeight="1">
      <x:c r="B140" s="2" t="n">
        <x:f>132</x:f>
        <x:v>132</x:v>
      </x:c>
      <x:c r="C140" s="6" t="n">
        <x:f>H139</x:f>
        <x:v>0</x:v>
      </x:c>
      <x:c r="D140" s="6" t="n">
        <x:f>ROUND(C140*'Debt strategy'!$D$9/12,2)</x:f>
        <x:v>0</x:v>
      </x:c>
      <x:c r="E140" s="6" t="n">
        <x:f>MIN(C140+D140,'Debt strategy'!$E$9)</x:f>
        <x:v>0</x:v>
      </x:c>
      <x:c r="F140" s="27" t="n">
        <x:f>IF(C140+D140-E140&lt;=0,99,1+SUM(IF(AND(I140+J140-K140&gt;0,OR('Debt strategy'!$D$10&gt;'Debt strategy'!$D$9,AND('Debt strategy'!$D$10='Debt strategy'!$D$9,1&lt;0))),1,0),IF(AND(O140+P140-Q140&gt;0,OR('Debt strategy'!$D$11&gt;'Debt strategy'!$D$9,AND('Debt strategy'!$D$11='Debt strategy'!$D$9,2&lt;0))),1,0),IF(AND(U140+V140-W140&gt;0,OR('Debt strategy'!$D$12&gt;'Debt strategy'!$D$9,AND('Debt strategy'!$D$12='Debt strategy'!$D$9,3&lt;0))),1,0),IF(AND(AA140+AB140-AC140&gt;0,OR('Debt strategy'!$D$13&gt;'Debt strategy'!$D$9,AND('Debt strategy'!$D$13='Debt strategy'!$D$9,4&lt;0))),1,0)))</x:f>
        <x:v>99</x:v>
      </x:c>
      <x:c r="G140" s="6" t="n">
        <x:f>IF('Debt strategy'!$C$16&gt;0,0,MIN(C140+D140-E140,MAX(0,'Debt strategy'!$C$5-SUM(E140,K140,Q140,W140,AC140)-SUM(IF(L140&lt;F140,I140+J140-K140,0),IF(R140&lt;F140,O140+P140-Q140,0),IF(X140&lt;F140,U140+V140-W140,0),IF(AD140&lt;F140,AA140+AB140-AC140,0)))))</x:f>
        <x:v>0</x:v>
      </x:c>
      <x:c r="H140" s="6" t="n">
        <x:f>ROUND(MAX(0,C140+D140-E140-G140),2)</x:f>
        <x:v>0</x:v>
      </x:c>
      <x:c r="I140" s="6" t="n">
        <x:f>N139</x:f>
        <x:v>0</x:v>
      </x:c>
      <x:c r="J140" s="6" t="n">
        <x:f>ROUND(I140*'Debt strategy'!$D$10/12,2)</x:f>
        <x:v>0</x:v>
      </x:c>
      <x:c r="K140" s="6" t="n">
        <x:f>MIN(I140+J140,'Debt strategy'!$E$10)</x:f>
        <x:v>0</x:v>
      </x:c>
      <x:c r="L140" s="27" t="n">
        <x:f>IF(I140+J140-K140&lt;=0,99,1+SUM(IF(AND(C140+D140-E140&gt;0,OR('Debt strategy'!$D$9&gt;'Debt strategy'!$D$10,AND('Debt strategy'!$D$9='Debt strategy'!$D$10,0&lt;1))),1,0),IF(AND(O140+P140-Q140&gt;0,OR('Debt strategy'!$D$11&gt;'Debt strategy'!$D$10,AND('Debt strategy'!$D$11='Debt strategy'!$D$10,2&lt;1))),1,0),IF(AND(U140+V140-W140&gt;0,OR('Debt strategy'!$D$12&gt;'Debt strategy'!$D$10,AND('Debt strategy'!$D$12='Debt strategy'!$D$10,3&lt;1))),1,0),IF(AND(AA140+AB140-AC140&gt;0,OR('Debt strategy'!$D$13&gt;'Debt strategy'!$D$10,AND('Debt strategy'!$D$13='Debt strategy'!$D$10,4&lt;1))),1,0)))</x:f>
        <x:v>99</x:v>
      </x:c>
      <x:c r="M140" s="6" t="n">
        <x:f>IF('Debt strategy'!$C$16&gt;0,0,MIN(I140+J140-K140,MAX(0,'Debt strategy'!$C$5-SUM(E140,K140,Q140,W140,AC140)-SUM(IF(F140&lt;L140,C140+D140-E140,0),IF(R140&lt;L140,O140+P140-Q140,0),IF(X140&lt;L140,U140+V140-W140,0),IF(AD140&lt;L140,AA140+AB140-AC140,0)))))</x:f>
        <x:v>0</x:v>
      </x:c>
      <x:c r="N140" s="6" t="n">
        <x:f>ROUND(MAX(0,I140+J140-K140-M140),2)</x:f>
        <x:v>0</x:v>
      </x:c>
      <x:c r="O140" s="6" t="n">
        <x:f>T139</x:f>
        <x:v>0</x:v>
      </x:c>
      <x:c r="P140" s="6" t="n">
        <x:f>ROUND(O140*'Debt strategy'!$D$11/12,2)</x:f>
        <x:v>0</x:v>
      </x:c>
      <x:c r="Q140" s="6" t="n">
        <x:f>MIN(O140+P140,'Debt strategy'!$E$11)</x:f>
        <x:v>0</x:v>
      </x:c>
      <x:c r="R140" s="27" t="n">
        <x:f>IF(O140+P140-Q140&lt;=0,99,1+SUM(IF(AND(C140+D140-E140&gt;0,OR('Debt strategy'!$D$9&gt;'Debt strategy'!$D$11,AND('Debt strategy'!$D$9='Debt strategy'!$D$11,0&lt;2))),1,0),IF(AND(I140+J140-K140&gt;0,OR('Debt strategy'!$D$10&gt;'Debt strategy'!$D$11,AND('Debt strategy'!$D$10='Debt strategy'!$D$11,1&lt;2))),1,0),IF(AND(U140+V140-W140&gt;0,OR('Debt strategy'!$D$12&gt;'Debt strategy'!$D$11,AND('Debt strategy'!$D$12='Debt strategy'!$D$11,3&lt;2))),1,0),IF(AND(AA140+AB140-AC140&gt;0,OR('Debt strategy'!$D$13&gt;'Debt strategy'!$D$11,AND('Debt strategy'!$D$13='Debt strategy'!$D$11,4&lt;2))),1,0)))</x:f>
        <x:v>99</x:v>
      </x:c>
      <x:c r="S140" s="6" t="n">
        <x:f>IF('Debt strategy'!$C$16&gt;0,0,MIN(O140+P140-Q140,MAX(0,'Debt strategy'!$C$5-SUM(E140,K140,Q140,W140,AC140)-SUM(IF(F140&lt;R140,C140+D140-E140,0),IF(L140&lt;R140,I140+J140-K140,0),IF(X140&lt;R140,U140+V140-W140,0),IF(AD140&lt;R140,AA140+AB140-AC140,0)))))</x:f>
        <x:v>0</x:v>
      </x:c>
      <x:c r="T140" s="6" t="n">
        <x:f>ROUND(MAX(0,O140+P140-Q140-S140),2)</x:f>
        <x:v>0</x:v>
      </x:c>
      <x:c r="U140" s="6" t="n">
        <x:f>Z139</x:f>
        <x:v>0</x:v>
      </x:c>
      <x:c r="V140" s="6" t="n">
        <x:f>ROUND(U140*'Debt strategy'!$D$12/12,2)</x:f>
        <x:v>0</x:v>
      </x:c>
      <x:c r="W140" s="6" t="n">
        <x:f>MIN(U140+V140,'Debt strategy'!$E$12)</x:f>
        <x:v>0</x:v>
      </x:c>
      <x:c r="X140" s="27" t="n">
        <x:f>IF(U140+V140-W140&lt;=0,99,1+SUM(IF(AND(C140+D140-E140&gt;0,OR('Debt strategy'!$D$9&gt;'Debt strategy'!$D$12,AND('Debt strategy'!$D$9='Debt strategy'!$D$12,0&lt;3))),1,0),IF(AND(I140+J140-K140&gt;0,OR('Debt strategy'!$D$10&gt;'Debt strategy'!$D$12,AND('Debt strategy'!$D$10='Debt strategy'!$D$12,1&lt;3))),1,0),IF(AND(O140+P140-Q140&gt;0,OR('Debt strategy'!$D$11&gt;'Debt strategy'!$D$12,AND('Debt strategy'!$D$11='Debt strategy'!$D$12,2&lt;3))),1,0),IF(AND(AA140+AB140-AC140&gt;0,OR('Debt strategy'!$D$13&gt;'Debt strategy'!$D$12,AND('Debt strategy'!$D$13='Debt strategy'!$D$12,4&lt;3))),1,0)))</x:f>
        <x:v>99</x:v>
      </x:c>
      <x:c r="Y140" s="6" t="n">
        <x:f>IF('Debt strategy'!$C$16&gt;0,0,MIN(U140+V140-W140,MAX(0,'Debt strategy'!$C$5-SUM(E140,K140,Q140,W140,AC140)-SUM(IF(F140&lt;X140,C140+D140-E140,0),IF(L140&lt;X140,I140+J140-K140,0),IF(R140&lt;X140,O140+P140-Q140,0),IF(AD140&lt;X140,AA140+AB140-AC140,0)))))</x:f>
        <x:v>0</x:v>
      </x:c>
      <x:c r="Z140" s="6" t="n">
        <x:f>ROUND(MAX(0,U140+V140-W140-Y140),2)</x:f>
        <x:v>0</x:v>
      </x:c>
      <x:c r="AA140" s="6" t="n">
        <x:f>AF139</x:f>
        <x:v>0</x:v>
      </x:c>
      <x:c r="AB140" s="6" t="n">
        <x:f>ROUND(AA140*'Debt strategy'!$D$13/12,2)</x:f>
        <x:v>0</x:v>
      </x:c>
      <x:c r="AC140" s="6" t="n">
        <x:f>MIN(AA140+AB140,'Debt strategy'!$E$13)</x:f>
        <x:v>0</x:v>
      </x:c>
      <x:c r="AD140" s="27" t="n">
        <x:f>IF(AA140+AB140-AC140&lt;=0,99,1+SUM(IF(AND(C140+D140-E140&gt;0,OR('Debt strategy'!$D$9&gt;'Debt strategy'!$D$13,AND('Debt strategy'!$D$9='Debt strategy'!$D$13,0&lt;4))),1,0),IF(AND(I140+J140-K140&gt;0,OR('Debt strategy'!$D$10&gt;'Debt strategy'!$D$13,AND('Debt strategy'!$D$10='Debt strategy'!$D$13,1&lt;4))),1,0),IF(AND(O140+P140-Q140&gt;0,OR('Debt strategy'!$D$11&gt;'Debt strategy'!$D$13,AND('Debt strategy'!$D$11='Debt strategy'!$D$13,2&lt;4))),1,0),IF(AND(U140+V140-W140&gt;0,OR('Debt strategy'!$D$12&gt;'Debt strategy'!$D$13,AND('Debt strategy'!$D$12='Debt strategy'!$D$13,3&lt;4))),1,0)))</x:f>
        <x:v>99</x:v>
      </x:c>
      <x:c r="AE140" s="6" t="n">
        <x:f>IF('Debt strategy'!$C$16&gt;0,0,MIN(AA140+AB140-AC140,MAX(0,'Debt strategy'!$C$5-SUM(E140,K140,Q140,W140,AC140)-SUM(IF(F140&lt;AD140,C140+D140-E140,0),IF(L140&lt;AD140,I140+J140-K140,0),IF(R140&lt;AD140,O140+P140-Q140,0),IF(X140&lt;AD140,U140+V140-W140,0)))))</x:f>
        <x:v>0</x:v>
      </x:c>
      <x:c r="AF140" s="6" t="n">
        <x:f>ROUND(MAX(0,AA140+AB140-AC140-AE140),2)</x:f>
        <x:v>0</x:v>
      </x:c>
      <x:c r="AG140" s="6" t="n">
        <x:f>SUM(H140,N140,T140,Z140,AF140)</x:f>
        <x:v>0</x:v>
      </x:c>
      <x:c r="AH140" s="6" t="n">
        <x:f>SUM(D140,J140,P140,V140,AB140)+AH139</x:f>
        <x:v>1220.8400000000001</x:v>
      </x:c>
      <x:c r="AI140" s="2"/>
    </x:row>
    <x:row r="141" ht="23" customHeight="1">
      <x:c r="B141" s="2" t="n">
        <x:f>133</x:f>
        <x:v>133</x:v>
      </x:c>
      <x:c r="C141" s="6" t="n">
        <x:f>H140</x:f>
        <x:v>0</x:v>
      </x:c>
      <x:c r="D141" s="6" t="n">
        <x:f>ROUND(C141*'Debt strategy'!$D$9/12,2)</x:f>
        <x:v>0</x:v>
      </x:c>
      <x:c r="E141" s="6" t="n">
        <x:f>MIN(C141+D141,'Debt strategy'!$E$9)</x:f>
        <x:v>0</x:v>
      </x:c>
      <x:c r="F141" s="27" t="n">
        <x:f>IF(C141+D141-E141&lt;=0,99,1+SUM(IF(AND(I141+J141-K141&gt;0,OR('Debt strategy'!$D$10&gt;'Debt strategy'!$D$9,AND('Debt strategy'!$D$10='Debt strategy'!$D$9,1&lt;0))),1,0),IF(AND(O141+P141-Q141&gt;0,OR('Debt strategy'!$D$11&gt;'Debt strategy'!$D$9,AND('Debt strategy'!$D$11='Debt strategy'!$D$9,2&lt;0))),1,0),IF(AND(U141+V141-W141&gt;0,OR('Debt strategy'!$D$12&gt;'Debt strategy'!$D$9,AND('Debt strategy'!$D$12='Debt strategy'!$D$9,3&lt;0))),1,0),IF(AND(AA141+AB141-AC141&gt;0,OR('Debt strategy'!$D$13&gt;'Debt strategy'!$D$9,AND('Debt strategy'!$D$13='Debt strategy'!$D$9,4&lt;0))),1,0)))</x:f>
        <x:v>99</x:v>
      </x:c>
      <x:c r="G141" s="6" t="n">
        <x:f>IF('Debt strategy'!$C$16&gt;0,0,MIN(C141+D141-E141,MAX(0,'Debt strategy'!$C$5-SUM(E141,K141,Q141,W141,AC141)-SUM(IF(L141&lt;F141,I141+J141-K141,0),IF(R141&lt;F141,O141+P141-Q141,0),IF(X141&lt;F141,U141+V141-W141,0),IF(AD141&lt;F141,AA141+AB141-AC141,0)))))</x:f>
        <x:v>0</x:v>
      </x:c>
      <x:c r="H141" s="6" t="n">
        <x:f>ROUND(MAX(0,C141+D141-E141-G141),2)</x:f>
        <x:v>0</x:v>
      </x:c>
      <x:c r="I141" s="6" t="n">
        <x:f>N140</x:f>
        <x:v>0</x:v>
      </x:c>
      <x:c r="J141" s="6" t="n">
        <x:f>ROUND(I141*'Debt strategy'!$D$10/12,2)</x:f>
        <x:v>0</x:v>
      </x:c>
      <x:c r="K141" s="6" t="n">
        <x:f>MIN(I141+J141,'Debt strategy'!$E$10)</x:f>
        <x:v>0</x:v>
      </x:c>
      <x:c r="L141" s="27" t="n">
        <x:f>IF(I141+J141-K141&lt;=0,99,1+SUM(IF(AND(C141+D141-E141&gt;0,OR('Debt strategy'!$D$9&gt;'Debt strategy'!$D$10,AND('Debt strategy'!$D$9='Debt strategy'!$D$10,0&lt;1))),1,0),IF(AND(O141+P141-Q141&gt;0,OR('Debt strategy'!$D$11&gt;'Debt strategy'!$D$10,AND('Debt strategy'!$D$11='Debt strategy'!$D$10,2&lt;1))),1,0),IF(AND(U141+V141-W141&gt;0,OR('Debt strategy'!$D$12&gt;'Debt strategy'!$D$10,AND('Debt strategy'!$D$12='Debt strategy'!$D$10,3&lt;1))),1,0),IF(AND(AA141+AB141-AC141&gt;0,OR('Debt strategy'!$D$13&gt;'Debt strategy'!$D$10,AND('Debt strategy'!$D$13='Debt strategy'!$D$10,4&lt;1))),1,0)))</x:f>
        <x:v>99</x:v>
      </x:c>
      <x:c r="M141" s="6" t="n">
        <x:f>IF('Debt strategy'!$C$16&gt;0,0,MIN(I141+J141-K141,MAX(0,'Debt strategy'!$C$5-SUM(E141,K141,Q141,W141,AC141)-SUM(IF(F141&lt;L141,C141+D141-E141,0),IF(R141&lt;L141,O141+P141-Q141,0),IF(X141&lt;L141,U141+V141-W141,0),IF(AD141&lt;L141,AA141+AB141-AC141,0)))))</x:f>
        <x:v>0</x:v>
      </x:c>
      <x:c r="N141" s="6" t="n">
        <x:f>ROUND(MAX(0,I141+J141-K141-M141),2)</x:f>
        <x:v>0</x:v>
      </x:c>
      <x:c r="O141" s="6" t="n">
        <x:f>T140</x:f>
        <x:v>0</x:v>
      </x:c>
      <x:c r="P141" s="6" t="n">
        <x:f>ROUND(O141*'Debt strategy'!$D$11/12,2)</x:f>
        <x:v>0</x:v>
      </x:c>
      <x:c r="Q141" s="6" t="n">
        <x:f>MIN(O141+P141,'Debt strategy'!$E$11)</x:f>
        <x:v>0</x:v>
      </x:c>
      <x:c r="R141" s="27" t="n">
        <x:f>IF(O141+P141-Q141&lt;=0,99,1+SUM(IF(AND(C141+D141-E141&gt;0,OR('Debt strategy'!$D$9&gt;'Debt strategy'!$D$11,AND('Debt strategy'!$D$9='Debt strategy'!$D$11,0&lt;2))),1,0),IF(AND(I141+J141-K141&gt;0,OR('Debt strategy'!$D$10&gt;'Debt strategy'!$D$11,AND('Debt strategy'!$D$10='Debt strategy'!$D$11,1&lt;2))),1,0),IF(AND(U141+V141-W141&gt;0,OR('Debt strategy'!$D$12&gt;'Debt strategy'!$D$11,AND('Debt strategy'!$D$12='Debt strategy'!$D$11,3&lt;2))),1,0),IF(AND(AA141+AB141-AC141&gt;0,OR('Debt strategy'!$D$13&gt;'Debt strategy'!$D$11,AND('Debt strategy'!$D$13='Debt strategy'!$D$11,4&lt;2))),1,0)))</x:f>
        <x:v>99</x:v>
      </x:c>
      <x:c r="S141" s="6" t="n">
        <x:f>IF('Debt strategy'!$C$16&gt;0,0,MIN(O141+P141-Q141,MAX(0,'Debt strategy'!$C$5-SUM(E141,K141,Q141,W141,AC141)-SUM(IF(F141&lt;R141,C141+D141-E141,0),IF(L141&lt;R141,I141+J141-K141,0),IF(X141&lt;R141,U141+V141-W141,0),IF(AD141&lt;R141,AA141+AB141-AC141,0)))))</x:f>
        <x:v>0</x:v>
      </x:c>
      <x:c r="T141" s="6" t="n">
        <x:f>ROUND(MAX(0,O141+P141-Q141-S141),2)</x:f>
        <x:v>0</x:v>
      </x:c>
      <x:c r="U141" s="6" t="n">
        <x:f>Z140</x:f>
        <x:v>0</x:v>
      </x:c>
      <x:c r="V141" s="6" t="n">
        <x:f>ROUND(U141*'Debt strategy'!$D$12/12,2)</x:f>
        <x:v>0</x:v>
      </x:c>
      <x:c r="W141" s="6" t="n">
        <x:f>MIN(U141+V141,'Debt strategy'!$E$12)</x:f>
        <x:v>0</x:v>
      </x:c>
      <x:c r="X141" s="27" t="n">
        <x:f>IF(U141+V141-W141&lt;=0,99,1+SUM(IF(AND(C141+D141-E141&gt;0,OR('Debt strategy'!$D$9&gt;'Debt strategy'!$D$12,AND('Debt strategy'!$D$9='Debt strategy'!$D$12,0&lt;3))),1,0),IF(AND(I141+J141-K141&gt;0,OR('Debt strategy'!$D$10&gt;'Debt strategy'!$D$12,AND('Debt strategy'!$D$10='Debt strategy'!$D$12,1&lt;3))),1,0),IF(AND(O141+P141-Q141&gt;0,OR('Debt strategy'!$D$11&gt;'Debt strategy'!$D$12,AND('Debt strategy'!$D$11='Debt strategy'!$D$12,2&lt;3))),1,0),IF(AND(AA141+AB141-AC141&gt;0,OR('Debt strategy'!$D$13&gt;'Debt strategy'!$D$12,AND('Debt strategy'!$D$13='Debt strategy'!$D$12,4&lt;3))),1,0)))</x:f>
        <x:v>99</x:v>
      </x:c>
      <x:c r="Y141" s="6" t="n">
        <x:f>IF('Debt strategy'!$C$16&gt;0,0,MIN(U141+V141-W141,MAX(0,'Debt strategy'!$C$5-SUM(E141,K141,Q141,W141,AC141)-SUM(IF(F141&lt;X141,C141+D141-E141,0),IF(L141&lt;X141,I141+J141-K141,0),IF(R141&lt;X141,O141+P141-Q141,0),IF(AD141&lt;X141,AA141+AB141-AC141,0)))))</x:f>
        <x:v>0</x:v>
      </x:c>
      <x:c r="Z141" s="6" t="n">
        <x:f>ROUND(MAX(0,U141+V141-W141-Y141),2)</x:f>
        <x:v>0</x:v>
      </x:c>
      <x:c r="AA141" s="6" t="n">
        <x:f>AF140</x:f>
        <x:v>0</x:v>
      </x:c>
      <x:c r="AB141" s="6" t="n">
        <x:f>ROUND(AA141*'Debt strategy'!$D$13/12,2)</x:f>
        <x:v>0</x:v>
      </x:c>
      <x:c r="AC141" s="6" t="n">
        <x:f>MIN(AA141+AB141,'Debt strategy'!$E$13)</x:f>
        <x:v>0</x:v>
      </x:c>
      <x:c r="AD141" s="27" t="n">
        <x:f>IF(AA141+AB141-AC141&lt;=0,99,1+SUM(IF(AND(C141+D141-E141&gt;0,OR('Debt strategy'!$D$9&gt;'Debt strategy'!$D$13,AND('Debt strategy'!$D$9='Debt strategy'!$D$13,0&lt;4))),1,0),IF(AND(I141+J141-K141&gt;0,OR('Debt strategy'!$D$10&gt;'Debt strategy'!$D$13,AND('Debt strategy'!$D$10='Debt strategy'!$D$13,1&lt;4))),1,0),IF(AND(O141+P141-Q141&gt;0,OR('Debt strategy'!$D$11&gt;'Debt strategy'!$D$13,AND('Debt strategy'!$D$11='Debt strategy'!$D$13,2&lt;4))),1,0),IF(AND(U141+V141-W141&gt;0,OR('Debt strategy'!$D$12&gt;'Debt strategy'!$D$13,AND('Debt strategy'!$D$12='Debt strategy'!$D$13,3&lt;4))),1,0)))</x:f>
        <x:v>99</x:v>
      </x:c>
      <x:c r="AE141" s="6" t="n">
        <x:f>IF('Debt strategy'!$C$16&gt;0,0,MIN(AA141+AB141-AC141,MAX(0,'Debt strategy'!$C$5-SUM(E141,K141,Q141,W141,AC141)-SUM(IF(F141&lt;AD141,C141+D141-E141,0),IF(L141&lt;AD141,I141+J141-K141,0),IF(R141&lt;AD141,O141+P141-Q141,0),IF(X141&lt;AD141,U141+V141-W141,0)))))</x:f>
        <x:v>0</x:v>
      </x:c>
      <x:c r="AF141" s="6" t="n">
        <x:f>ROUND(MAX(0,AA141+AB141-AC141-AE141),2)</x:f>
        <x:v>0</x:v>
      </x:c>
      <x:c r="AG141" s="6" t="n">
        <x:f>SUM(H141,N141,T141,Z141,AF141)</x:f>
        <x:v>0</x:v>
      </x:c>
      <x:c r="AH141" s="6" t="n">
        <x:f>SUM(D141,J141,P141,V141,AB141)+AH140</x:f>
        <x:v>1220.8400000000001</x:v>
      </x:c>
      <x:c r="AI141" s="2"/>
    </x:row>
    <x:row r="142" ht="23" customHeight="1">
      <x:c r="B142" s="2" t="n">
        <x:f>134</x:f>
        <x:v>134</x:v>
      </x:c>
      <x:c r="C142" s="6" t="n">
        <x:f>H141</x:f>
        <x:v>0</x:v>
      </x:c>
      <x:c r="D142" s="6" t="n">
        <x:f>ROUND(C142*'Debt strategy'!$D$9/12,2)</x:f>
        <x:v>0</x:v>
      </x:c>
      <x:c r="E142" s="6" t="n">
        <x:f>MIN(C142+D142,'Debt strategy'!$E$9)</x:f>
        <x:v>0</x:v>
      </x:c>
      <x:c r="F142" s="27" t="n">
        <x:f>IF(C142+D142-E142&lt;=0,99,1+SUM(IF(AND(I142+J142-K142&gt;0,OR('Debt strategy'!$D$10&gt;'Debt strategy'!$D$9,AND('Debt strategy'!$D$10='Debt strategy'!$D$9,1&lt;0))),1,0),IF(AND(O142+P142-Q142&gt;0,OR('Debt strategy'!$D$11&gt;'Debt strategy'!$D$9,AND('Debt strategy'!$D$11='Debt strategy'!$D$9,2&lt;0))),1,0),IF(AND(U142+V142-W142&gt;0,OR('Debt strategy'!$D$12&gt;'Debt strategy'!$D$9,AND('Debt strategy'!$D$12='Debt strategy'!$D$9,3&lt;0))),1,0),IF(AND(AA142+AB142-AC142&gt;0,OR('Debt strategy'!$D$13&gt;'Debt strategy'!$D$9,AND('Debt strategy'!$D$13='Debt strategy'!$D$9,4&lt;0))),1,0)))</x:f>
        <x:v>99</x:v>
      </x:c>
      <x:c r="G142" s="6" t="n">
        <x:f>IF('Debt strategy'!$C$16&gt;0,0,MIN(C142+D142-E142,MAX(0,'Debt strategy'!$C$5-SUM(E142,K142,Q142,W142,AC142)-SUM(IF(L142&lt;F142,I142+J142-K142,0),IF(R142&lt;F142,O142+P142-Q142,0),IF(X142&lt;F142,U142+V142-W142,0),IF(AD142&lt;F142,AA142+AB142-AC142,0)))))</x:f>
        <x:v>0</x:v>
      </x:c>
      <x:c r="H142" s="6" t="n">
        <x:f>ROUND(MAX(0,C142+D142-E142-G142),2)</x:f>
        <x:v>0</x:v>
      </x:c>
      <x:c r="I142" s="6" t="n">
        <x:f>N141</x:f>
        <x:v>0</x:v>
      </x:c>
      <x:c r="J142" s="6" t="n">
        <x:f>ROUND(I142*'Debt strategy'!$D$10/12,2)</x:f>
        <x:v>0</x:v>
      </x:c>
      <x:c r="K142" s="6" t="n">
        <x:f>MIN(I142+J142,'Debt strategy'!$E$10)</x:f>
        <x:v>0</x:v>
      </x:c>
      <x:c r="L142" s="27" t="n">
        <x:f>IF(I142+J142-K142&lt;=0,99,1+SUM(IF(AND(C142+D142-E142&gt;0,OR('Debt strategy'!$D$9&gt;'Debt strategy'!$D$10,AND('Debt strategy'!$D$9='Debt strategy'!$D$10,0&lt;1))),1,0),IF(AND(O142+P142-Q142&gt;0,OR('Debt strategy'!$D$11&gt;'Debt strategy'!$D$10,AND('Debt strategy'!$D$11='Debt strategy'!$D$10,2&lt;1))),1,0),IF(AND(U142+V142-W142&gt;0,OR('Debt strategy'!$D$12&gt;'Debt strategy'!$D$10,AND('Debt strategy'!$D$12='Debt strategy'!$D$10,3&lt;1))),1,0),IF(AND(AA142+AB142-AC142&gt;0,OR('Debt strategy'!$D$13&gt;'Debt strategy'!$D$10,AND('Debt strategy'!$D$13='Debt strategy'!$D$10,4&lt;1))),1,0)))</x:f>
        <x:v>99</x:v>
      </x:c>
      <x:c r="M142" s="6" t="n">
        <x:f>IF('Debt strategy'!$C$16&gt;0,0,MIN(I142+J142-K142,MAX(0,'Debt strategy'!$C$5-SUM(E142,K142,Q142,W142,AC142)-SUM(IF(F142&lt;L142,C142+D142-E142,0),IF(R142&lt;L142,O142+P142-Q142,0),IF(X142&lt;L142,U142+V142-W142,0),IF(AD142&lt;L142,AA142+AB142-AC142,0)))))</x:f>
        <x:v>0</x:v>
      </x:c>
      <x:c r="N142" s="6" t="n">
        <x:f>ROUND(MAX(0,I142+J142-K142-M142),2)</x:f>
        <x:v>0</x:v>
      </x:c>
      <x:c r="O142" s="6" t="n">
        <x:f>T141</x:f>
        <x:v>0</x:v>
      </x:c>
      <x:c r="P142" s="6" t="n">
        <x:f>ROUND(O142*'Debt strategy'!$D$11/12,2)</x:f>
        <x:v>0</x:v>
      </x:c>
      <x:c r="Q142" s="6" t="n">
        <x:f>MIN(O142+P142,'Debt strategy'!$E$11)</x:f>
        <x:v>0</x:v>
      </x:c>
      <x:c r="R142" s="27" t="n">
        <x:f>IF(O142+P142-Q142&lt;=0,99,1+SUM(IF(AND(C142+D142-E142&gt;0,OR('Debt strategy'!$D$9&gt;'Debt strategy'!$D$11,AND('Debt strategy'!$D$9='Debt strategy'!$D$11,0&lt;2))),1,0),IF(AND(I142+J142-K142&gt;0,OR('Debt strategy'!$D$10&gt;'Debt strategy'!$D$11,AND('Debt strategy'!$D$10='Debt strategy'!$D$11,1&lt;2))),1,0),IF(AND(U142+V142-W142&gt;0,OR('Debt strategy'!$D$12&gt;'Debt strategy'!$D$11,AND('Debt strategy'!$D$12='Debt strategy'!$D$11,3&lt;2))),1,0),IF(AND(AA142+AB142-AC142&gt;0,OR('Debt strategy'!$D$13&gt;'Debt strategy'!$D$11,AND('Debt strategy'!$D$13='Debt strategy'!$D$11,4&lt;2))),1,0)))</x:f>
        <x:v>99</x:v>
      </x:c>
      <x:c r="S142" s="6" t="n">
        <x:f>IF('Debt strategy'!$C$16&gt;0,0,MIN(O142+P142-Q142,MAX(0,'Debt strategy'!$C$5-SUM(E142,K142,Q142,W142,AC142)-SUM(IF(F142&lt;R142,C142+D142-E142,0),IF(L142&lt;R142,I142+J142-K142,0),IF(X142&lt;R142,U142+V142-W142,0),IF(AD142&lt;R142,AA142+AB142-AC142,0)))))</x:f>
        <x:v>0</x:v>
      </x:c>
      <x:c r="T142" s="6" t="n">
        <x:f>ROUND(MAX(0,O142+P142-Q142-S142),2)</x:f>
        <x:v>0</x:v>
      </x:c>
      <x:c r="U142" s="6" t="n">
        <x:f>Z141</x:f>
        <x:v>0</x:v>
      </x:c>
      <x:c r="V142" s="6" t="n">
        <x:f>ROUND(U142*'Debt strategy'!$D$12/12,2)</x:f>
        <x:v>0</x:v>
      </x:c>
      <x:c r="W142" s="6" t="n">
        <x:f>MIN(U142+V142,'Debt strategy'!$E$12)</x:f>
        <x:v>0</x:v>
      </x:c>
      <x:c r="X142" s="27" t="n">
        <x:f>IF(U142+V142-W142&lt;=0,99,1+SUM(IF(AND(C142+D142-E142&gt;0,OR('Debt strategy'!$D$9&gt;'Debt strategy'!$D$12,AND('Debt strategy'!$D$9='Debt strategy'!$D$12,0&lt;3))),1,0),IF(AND(I142+J142-K142&gt;0,OR('Debt strategy'!$D$10&gt;'Debt strategy'!$D$12,AND('Debt strategy'!$D$10='Debt strategy'!$D$12,1&lt;3))),1,0),IF(AND(O142+P142-Q142&gt;0,OR('Debt strategy'!$D$11&gt;'Debt strategy'!$D$12,AND('Debt strategy'!$D$11='Debt strategy'!$D$12,2&lt;3))),1,0),IF(AND(AA142+AB142-AC142&gt;0,OR('Debt strategy'!$D$13&gt;'Debt strategy'!$D$12,AND('Debt strategy'!$D$13='Debt strategy'!$D$12,4&lt;3))),1,0)))</x:f>
        <x:v>99</x:v>
      </x:c>
      <x:c r="Y142" s="6" t="n">
        <x:f>IF('Debt strategy'!$C$16&gt;0,0,MIN(U142+V142-W142,MAX(0,'Debt strategy'!$C$5-SUM(E142,K142,Q142,W142,AC142)-SUM(IF(F142&lt;X142,C142+D142-E142,0),IF(L142&lt;X142,I142+J142-K142,0),IF(R142&lt;X142,O142+P142-Q142,0),IF(AD142&lt;X142,AA142+AB142-AC142,0)))))</x:f>
        <x:v>0</x:v>
      </x:c>
      <x:c r="Z142" s="6" t="n">
        <x:f>ROUND(MAX(0,U142+V142-W142-Y142),2)</x:f>
        <x:v>0</x:v>
      </x:c>
      <x:c r="AA142" s="6" t="n">
        <x:f>AF141</x:f>
        <x:v>0</x:v>
      </x:c>
      <x:c r="AB142" s="6" t="n">
        <x:f>ROUND(AA142*'Debt strategy'!$D$13/12,2)</x:f>
        <x:v>0</x:v>
      </x:c>
      <x:c r="AC142" s="6" t="n">
        <x:f>MIN(AA142+AB142,'Debt strategy'!$E$13)</x:f>
        <x:v>0</x:v>
      </x:c>
      <x:c r="AD142" s="27" t="n">
        <x:f>IF(AA142+AB142-AC142&lt;=0,99,1+SUM(IF(AND(C142+D142-E142&gt;0,OR('Debt strategy'!$D$9&gt;'Debt strategy'!$D$13,AND('Debt strategy'!$D$9='Debt strategy'!$D$13,0&lt;4))),1,0),IF(AND(I142+J142-K142&gt;0,OR('Debt strategy'!$D$10&gt;'Debt strategy'!$D$13,AND('Debt strategy'!$D$10='Debt strategy'!$D$13,1&lt;4))),1,0),IF(AND(O142+P142-Q142&gt;0,OR('Debt strategy'!$D$11&gt;'Debt strategy'!$D$13,AND('Debt strategy'!$D$11='Debt strategy'!$D$13,2&lt;4))),1,0),IF(AND(U142+V142-W142&gt;0,OR('Debt strategy'!$D$12&gt;'Debt strategy'!$D$13,AND('Debt strategy'!$D$12='Debt strategy'!$D$13,3&lt;4))),1,0)))</x:f>
        <x:v>99</x:v>
      </x:c>
      <x:c r="AE142" s="6" t="n">
        <x:f>IF('Debt strategy'!$C$16&gt;0,0,MIN(AA142+AB142-AC142,MAX(0,'Debt strategy'!$C$5-SUM(E142,K142,Q142,W142,AC142)-SUM(IF(F142&lt;AD142,C142+D142-E142,0),IF(L142&lt;AD142,I142+J142-K142,0),IF(R142&lt;AD142,O142+P142-Q142,0),IF(X142&lt;AD142,U142+V142-W142,0)))))</x:f>
        <x:v>0</x:v>
      </x:c>
      <x:c r="AF142" s="6" t="n">
        <x:f>ROUND(MAX(0,AA142+AB142-AC142-AE142),2)</x:f>
        <x:v>0</x:v>
      </x:c>
      <x:c r="AG142" s="6" t="n">
        <x:f>SUM(H142,N142,T142,Z142,AF142)</x:f>
        <x:v>0</x:v>
      </x:c>
      <x:c r="AH142" s="6" t="n">
        <x:f>SUM(D142,J142,P142,V142,AB142)+AH141</x:f>
        <x:v>1220.8400000000001</x:v>
      </x:c>
      <x:c r="AI142" s="2"/>
    </x:row>
    <x:row r="143" ht="23" customHeight="1">
      <x:c r="B143" s="2" t="n">
        <x:f>135</x:f>
        <x:v>135</x:v>
      </x:c>
      <x:c r="C143" s="6" t="n">
        <x:f>H142</x:f>
        <x:v>0</x:v>
      </x:c>
      <x:c r="D143" s="6" t="n">
        <x:f>ROUND(C143*'Debt strategy'!$D$9/12,2)</x:f>
        <x:v>0</x:v>
      </x:c>
      <x:c r="E143" s="6" t="n">
        <x:f>MIN(C143+D143,'Debt strategy'!$E$9)</x:f>
        <x:v>0</x:v>
      </x:c>
      <x:c r="F143" s="27" t="n">
        <x:f>IF(C143+D143-E143&lt;=0,99,1+SUM(IF(AND(I143+J143-K143&gt;0,OR('Debt strategy'!$D$10&gt;'Debt strategy'!$D$9,AND('Debt strategy'!$D$10='Debt strategy'!$D$9,1&lt;0))),1,0),IF(AND(O143+P143-Q143&gt;0,OR('Debt strategy'!$D$11&gt;'Debt strategy'!$D$9,AND('Debt strategy'!$D$11='Debt strategy'!$D$9,2&lt;0))),1,0),IF(AND(U143+V143-W143&gt;0,OR('Debt strategy'!$D$12&gt;'Debt strategy'!$D$9,AND('Debt strategy'!$D$12='Debt strategy'!$D$9,3&lt;0))),1,0),IF(AND(AA143+AB143-AC143&gt;0,OR('Debt strategy'!$D$13&gt;'Debt strategy'!$D$9,AND('Debt strategy'!$D$13='Debt strategy'!$D$9,4&lt;0))),1,0)))</x:f>
        <x:v>99</x:v>
      </x:c>
      <x:c r="G143" s="6" t="n">
        <x:f>IF('Debt strategy'!$C$16&gt;0,0,MIN(C143+D143-E143,MAX(0,'Debt strategy'!$C$5-SUM(E143,K143,Q143,W143,AC143)-SUM(IF(L143&lt;F143,I143+J143-K143,0),IF(R143&lt;F143,O143+P143-Q143,0),IF(X143&lt;F143,U143+V143-W143,0),IF(AD143&lt;F143,AA143+AB143-AC143,0)))))</x:f>
        <x:v>0</x:v>
      </x:c>
      <x:c r="H143" s="6" t="n">
        <x:f>ROUND(MAX(0,C143+D143-E143-G143),2)</x:f>
        <x:v>0</x:v>
      </x:c>
      <x:c r="I143" s="6" t="n">
        <x:f>N142</x:f>
        <x:v>0</x:v>
      </x:c>
      <x:c r="J143" s="6" t="n">
        <x:f>ROUND(I143*'Debt strategy'!$D$10/12,2)</x:f>
        <x:v>0</x:v>
      </x:c>
      <x:c r="K143" s="6" t="n">
        <x:f>MIN(I143+J143,'Debt strategy'!$E$10)</x:f>
        <x:v>0</x:v>
      </x:c>
      <x:c r="L143" s="27" t="n">
        <x:f>IF(I143+J143-K143&lt;=0,99,1+SUM(IF(AND(C143+D143-E143&gt;0,OR('Debt strategy'!$D$9&gt;'Debt strategy'!$D$10,AND('Debt strategy'!$D$9='Debt strategy'!$D$10,0&lt;1))),1,0),IF(AND(O143+P143-Q143&gt;0,OR('Debt strategy'!$D$11&gt;'Debt strategy'!$D$10,AND('Debt strategy'!$D$11='Debt strategy'!$D$10,2&lt;1))),1,0),IF(AND(U143+V143-W143&gt;0,OR('Debt strategy'!$D$12&gt;'Debt strategy'!$D$10,AND('Debt strategy'!$D$12='Debt strategy'!$D$10,3&lt;1))),1,0),IF(AND(AA143+AB143-AC143&gt;0,OR('Debt strategy'!$D$13&gt;'Debt strategy'!$D$10,AND('Debt strategy'!$D$13='Debt strategy'!$D$10,4&lt;1))),1,0)))</x:f>
        <x:v>99</x:v>
      </x:c>
      <x:c r="M143" s="6" t="n">
        <x:f>IF('Debt strategy'!$C$16&gt;0,0,MIN(I143+J143-K143,MAX(0,'Debt strategy'!$C$5-SUM(E143,K143,Q143,W143,AC143)-SUM(IF(F143&lt;L143,C143+D143-E143,0),IF(R143&lt;L143,O143+P143-Q143,0),IF(X143&lt;L143,U143+V143-W143,0),IF(AD143&lt;L143,AA143+AB143-AC143,0)))))</x:f>
        <x:v>0</x:v>
      </x:c>
      <x:c r="N143" s="6" t="n">
        <x:f>ROUND(MAX(0,I143+J143-K143-M143),2)</x:f>
        <x:v>0</x:v>
      </x:c>
      <x:c r="O143" s="6" t="n">
        <x:f>T142</x:f>
        <x:v>0</x:v>
      </x:c>
      <x:c r="P143" s="6" t="n">
        <x:f>ROUND(O143*'Debt strategy'!$D$11/12,2)</x:f>
        <x:v>0</x:v>
      </x:c>
      <x:c r="Q143" s="6" t="n">
        <x:f>MIN(O143+P143,'Debt strategy'!$E$11)</x:f>
        <x:v>0</x:v>
      </x:c>
      <x:c r="R143" s="27" t="n">
        <x:f>IF(O143+P143-Q143&lt;=0,99,1+SUM(IF(AND(C143+D143-E143&gt;0,OR('Debt strategy'!$D$9&gt;'Debt strategy'!$D$11,AND('Debt strategy'!$D$9='Debt strategy'!$D$11,0&lt;2))),1,0),IF(AND(I143+J143-K143&gt;0,OR('Debt strategy'!$D$10&gt;'Debt strategy'!$D$11,AND('Debt strategy'!$D$10='Debt strategy'!$D$11,1&lt;2))),1,0),IF(AND(U143+V143-W143&gt;0,OR('Debt strategy'!$D$12&gt;'Debt strategy'!$D$11,AND('Debt strategy'!$D$12='Debt strategy'!$D$11,3&lt;2))),1,0),IF(AND(AA143+AB143-AC143&gt;0,OR('Debt strategy'!$D$13&gt;'Debt strategy'!$D$11,AND('Debt strategy'!$D$13='Debt strategy'!$D$11,4&lt;2))),1,0)))</x:f>
        <x:v>99</x:v>
      </x:c>
      <x:c r="S143" s="6" t="n">
        <x:f>IF('Debt strategy'!$C$16&gt;0,0,MIN(O143+P143-Q143,MAX(0,'Debt strategy'!$C$5-SUM(E143,K143,Q143,W143,AC143)-SUM(IF(F143&lt;R143,C143+D143-E143,0),IF(L143&lt;R143,I143+J143-K143,0),IF(X143&lt;R143,U143+V143-W143,0),IF(AD143&lt;R143,AA143+AB143-AC143,0)))))</x:f>
        <x:v>0</x:v>
      </x:c>
      <x:c r="T143" s="6" t="n">
        <x:f>ROUND(MAX(0,O143+P143-Q143-S143),2)</x:f>
        <x:v>0</x:v>
      </x:c>
      <x:c r="U143" s="6" t="n">
        <x:f>Z142</x:f>
        <x:v>0</x:v>
      </x:c>
      <x:c r="V143" s="6" t="n">
        <x:f>ROUND(U143*'Debt strategy'!$D$12/12,2)</x:f>
        <x:v>0</x:v>
      </x:c>
      <x:c r="W143" s="6" t="n">
        <x:f>MIN(U143+V143,'Debt strategy'!$E$12)</x:f>
        <x:v>0</x:v>
      </x:c>
      <x:c r="X143" s="27" t="n">
        <x:f>IF(U143+V143-W143&lt;=0,99,1+SUM(IF(AND(C143+D143-E143&gt;0,OR('Debt strategy'!$D$9&gt;'Debt strategy'!$D$12,AND('Debt strategy'!$D$9='Debt strategy'!$D$12,0&lt;3))),1,0),IF(AND(I143+J143-K143&gt;0,OR('Debt strategy'!$D$10&gt;'Debt strategy'!$D$12,AND('Debt strategy'!$D$10='Debt strategy'!$D$12,1&lt;3))),1,0),IF(AND(O143+P143-Q143&gt;0,OR('Debt strategy'!$D$11&gt;'Debt strategy'!$D$12,AND('Debt strategy'!$D$11='Debt strategy'!$D$12,2&lt;3))),1,0),IF(AND(AA143+AB143-AC143&gt;0,OR('Debt strategy'!$D$13&gt;'Debt strategy'!$D$12,AND('Debt strategy'!$D$13='Debt strategy'!$D$12,4&lt;3))),1,0)))</x:f>
        <x:v>99</x:v>
      </x:c>
      <x:c r="Y143" s="6" t="n">
        <x:f>IF('Debt strategy'!$C$16&gt;0,0,MIN(U143+V143-W143,MAX(0,'Debt strategy'!$C$5-SUM(E143,K143,Q143,W143,AC143)-SUM(IF(F143&lt;X143,C143+D143-E143,0),IF(L143&lt;X143,I143+J143-K143,0),IF(R143&lt;X143,O143+P143-Q143,0),IF(AD143&lt;X143,AA143+AB143-AC143,0)))))</x:f>
        <x:v>0</x:v>
      </x:c>
      <x:c r="Z143" s="6" t="n">
        <x:f>ROUND(MAX(0,U143+V143-W143-Y143),2)</x:f>
        <x:v>0</x:v>
      </x:c>
      <x:c r="AA143" s="6" t="n">
        <x:f>AF142</x:f>
        <x:v>0</x:v>
      </x:c>
      <x:c r="AB143" s="6" t="n">
        <x:f>ROUND(AA143*'Debt strategy'!$D$13/12,2)</x:f>
        <x:v>0</x:v>
      </x:c>
      <x:c r="AC143" s="6" t="n">
        <x:f>MIN(AA143+AB143,'Debt strategy'!$E$13)</x:f>
        <x:v>0</x:v>
      </x:c>
      <x:c r="AD143" s="27" t="n">
        <x:f>IF(AA143+AB143-AC143&lt;=0,99,1+SUM(IF(AND(C143+D143-E143&gt;0,OR('Debt strategy'!$D$9&gt;'Debt strategy'!$D$13,AND('Debt strategy'!$D$9='Debt strategy'!$D$13,0&lt;4))),1,0),IF(AND(I143+J143-K143&gt;0,OR('Debt strategy'!$D$10&gt;'Debt strategy'!$D$13,AND('Debt strategy'!$D$10='Debt strategy'!$D$13,1&lt;4))),1,0),IF(AND(O143+P143-Q143&gt;0,OR('Debt strategy'!$D$11&gt;'Debt strategy'!$D$13,AND('Debt strategy'!$D$11='Debt strategy'!$D$13,2&lt;4))),1,0),IF(AND(U143+V143-W143&gt;0,OR('Debt strategy'!$D$12&gt;'Debt strategy'!$D$13,AND('Debt strategy'!$D$12='Debt strategy'!$D$13,3&lt;4))),1,0)))</x:f>
        <x:v>99</x:v>
      </x:c>
      <x:c r="AE143" s="6" t="n">
        <x:f>IF('Debt strategy'!$C$16&gt;0,0,MIN(AA143+AB143-AC143,MAX(0,'Debt strategy'!$C$5-SUM(E143,K143,Q143,W143,AC143)-SUM(IF(F143&lt;AD143,C143+D143-E143,0),IF(L143&lt;AD143,I143+J143-K143,0),IF(R143&lt;AD143,O143+P143-Q143,0),IF(X143&lt;AD143,U143+V143-W143,0)))))</x:f>
        <x:v>0</x:v>
      </x:c>
      <x:c r="AF143" s="6" t="n">
        <x:f>ROUND(MAX(0,AA143+AB143-AC143-AE143),2)</x:f>
        <x:v>0</x:v>
      </x:c>
      <x:c r="AG143" s="6" t="n">
        <x:f>SUM(H143,N143,T143,Z143,AF143)</x:f>
        <x:v>0</x:v>
      </x:c>
      <x:c r="AH143" s="6" t="n">
        <x:f>SUM(D143,J143,P143,V143,AB143)+AH142</x:f>
        <x:v>1220.8400000000001</x:v>
      </x:c>
      <x:c r="AI143" s="2"/>
    </x:row>
    <x:row r="144" ht="23" customHeight="1">
      <x:c r="B144" s="2" t="n">
        <x:f>136</x:f>
        <x:v>136</x:v>
      </x:c>
      <x:c r="C144" s="6" t="n">
        <x:f>H143</x:f>
        <x:v>0</x:v>
      </x:c>
      <x:c r="D144" s="6" t="n">
        <x:f>ROUND(C144*'Debt strategy'!$D$9/12,2)</x:f>
        <x:v>0</x:v>
      </x:c>
      <x:c r="E144" s="6" t="n">
        <x:f>MIN(C144+D144,'Debt strategy'!$E$9)</x:f>
        <x:v>0</x:v>
      </x:c>
      <x:c r="F144" s="27" t="n">
        <x:f>IF(C144+D144-E144&lt;=0,99,1+SUM(IF(AND(I144+J144-K144&gt;0,OR('Debt strategy'!$D$10&gt;'Debt strategy'!$D$9,AND('Debt strategy'!$D$10='Debt strategy'!$D$9,1&lt;0))),1,0),IF(AND(O144+P144-Q144&gt;0,OR('Debt strategy'!$D$11&gt;'Debt strategy'!$D$9,AND('Debt strategy'!$D$11='Debt strategy'!$D$9,2&lt;0))),1,0),IF(AND(U144+V144-W144&gt;0,OR('Debt strategy'!$D$12&gt;'Debt strategy'!$D$9,AND('Debt strategy'!$D$12='Debt strategy'!$D$9,3&lt;0))),1,0),IF(AND(AA144+AB144-AC144&gt;0,OR('Debt strategy'!$D$13&gt;'Debt strategy'!$D$9,AND('Debt strategy'!$D$13='Debt strategy'!$D$9,4&lt;0))),1,0)))</x:f>
        <x:v>99</x:v>
      </x:c>
      <x:c r="G144" s="6" t="n">
        <x:f>IF('Debt strategy'!$C$16&gt;0,0,MIN(C144+D144-E144,MAX(0,'Debt strategy'!$C$5-SUM(E144,K144,Q144,W144,AC144)-SUM(IF(L144&lt;F144,I144+J144-K144,0),IF(R144&lt;F144,O144+P144-Q144,0),IF(X144&lt;F144,U144+V144-W144,0),IF(AD144&lt;F144,AA144+AB144-AC144,0)))))</x:f>
        <x:v>0</x:v>
      </x:c>
      <x:c r="H144" s="6" t="n">
        <x:f>ROUND(MAX(0,C144+D144-E144-G144),2)</x:f>
        <x:v>0</x:v>
      </x:c>
      <x:c r="I144" s="6" t="n">
        <x:f>N143</x:f>
        <x:v>0</x:v>
      </x:c>
      <x:c r="J144" s="6" t="n">
        <x:f>ROUND(I144*'Debt strategy'!$D$10/12,2)</x:f>
        <x:v>0</x:v>
      </x:c>
      <x:c r="K144" s="6" t="n">
        <x:f>MIN(I144+J144,'Debt strategy'!$E$10)</x:f>
        <x:v>0</x:v>
      </x:c>
      <x:c r="L144" s="27" t="n">
        <x:f>IF(I144+J144-K144&lt;=0,99,1+SUM(IF(AND(C144+D144-E144&gt;0,OR('Debt strategy'!$D$9&gt;'Debt strategy'!$D$10,AND('Debt strategy'!$D$9='Debt strategy'!$D$10,0&lt;1))),1,0),IF(AND(O144+P144-Q144&gt;0,OR('Debt strategy'!$D$11&gt;'Debt strategy'!$D$10,AND('Debt strategy'!$D$11='Debt strategy'!$D$10,2&lt;1))),1,0),IF(AND(U144+V144-W144&gt;0,OR('Debt strategy'!$D$12&gt;'Debt strategy'!$D$10,AND('Debt strategy'!$D$12='Debt strategy'!$D$10,3&lt;1))),1,0),IF(AND(AA144+AB144-AC144&gt;0,OR('Debt strategy'!$D$13&gt;'Debt strategy'!$D$10,AND('Debt strategy'!$D$13='Debt strategy'!$D$10,4&lt;1))),1,0)))</x:f>
        <x:v>99</x:v>
      </x:c>
      <x:c r="M144" s="6" t="n">
        <x:f>IF('Debt strategy'!$C$16&gt;0,0,MIN(I144+J144-K144,MAX(0,'Debt strategy'!$C$5-SUM(E144,K144,Q144,W144,AC144)-SUM(IF(F144&lt;L144,C144+D144-E144,0),IF(R144&lt;L144,O144+P144-Q144,0),IF(X144&lt;L144,U144+V144-W144,0),IF(AD144&lt;L144,AA144+AB144-AC144,0)))))</x:f>
        <x:v>0</x:v>
      </x:c>
      <x:c r="N144" s="6" t="n">
        <x:f>ROUND(MAX(0,I144+J144-K144-M144),2)</x:f>
        <x:v>0</x:v>
      </x:c>
      <x:c r="O144" s="6" t="n">
        <x:f>T143</x:f>
        <x:v>0</x:v>
      </x:c>
      <x:c r="P144" s="6" t="n">
        <x:f>ROUND(O144*'Debt strategy'!$D$11/12,2)</x:f>
        <x:v>0</x:v>
      </x:c>
      <x:c r="Q144" s="6" t="n">
        <x:f>MIN(O144+P144,'Debt strategy'!$E$11)</x:f>
        <x:v>0</x:v>
      </x:c>
      <x:c r="R144" s="27" t="n">
        <x:f>IF(O144+P144-Q144&lt;=0,99,1+SUM(IF(AND(C144+D144-E144&gt;0,OR('Debt strategy'!$D$9&gt;'Debt strategy'!$D$11,AND('Debt strategy'!$D$9='Debt strategy'!$D$11,0&lt;2))),1,0),IF(AND(I144+J144-K144&gt;0,OR('Debt strategy'!$D$10&gt;'Debt strategy'!$D$11,AND('Debt strategy'!$D$10='Debt strategy'!$D$11,1&lt;2))),1,0),IF(AND(U144+V144-W144&gt;0,OR('Debt strategy'!$D$12&gt;'Debt strategy'!$D$11,AND('Debt strategy'!$D$12='Debt strategy'!$D$11,3&lt;2))),1,0),IF(AND(AA144+AB144-AC144&gt;0,OR('Debt strategy'!$D$13&gt;'Debt strategy'!$D$11,AND('Debt strategy'!$D$13='Debt strategy'!$D$11,4&lt;2))),1,0)))</x:f>
        <x:v>99</x:v>
      </x:c>
      <x:c r="S144" s="6" t="n">
        <x:f>IF('Debt strategy'!$C$16&gt;0,0,MIN(O144+P144-Q144,MAX(0,'Debt strategy'!$C$5-SUM(E144,K144,Q144,W144,AC144)-SUM(IF(F144&lt;R144,C144+D144-E144,0),IF(L144&lt;R144,I144+J144-K144,0),IF(X144&lt;R144,U144+V144-W144,0),IF(AD144&lt;R144,AA144+AB144-AC144,0)))))</x:f>
        <x:v>0</x:v>
      </x:c>
      <x:c r="T144" s="6" t="n">
        <x:f>ROUND(MAX(0,O144+P144-Q144-S144),2)</x:f>
        <x:v>0</x:v>
      </x:c>
      <x:c r="U144" s="6" t="n">
        <x:f>Z143</x:f>
        <x:v>0</x:v>
      </x:c>
      <x:c r="V144" s="6" t="n">
        <x:f>ROUND(U144*'Debt strategy'!$D$12/12,2)</x:f>
        <x:v>0</x:v>
      </x:c>
      <x:c r="W144" s="6" t="n">
        <x:f>MIN(U144+V144,'Debt strategy'!$E$12)</x:f>
        <x:v>0</x:v>
      </x:c>
      <x:c r="X144" s="27" t="n">
        <x:f>IF(U144+V144-W144&lt;=0,99,1+SUM(IF(AND(C144+D144-E144&gt;0,OR('Debt strategy'!$D$9&gt;'Debt strategy'!$D$12,AND('Debt strategy'!$D$9='Debt strategy'!$D$12,0&lt;3))),1,0),IF(AND(I144+J144-K144&gt;0,OR('Debt strategy'!$D$10&gt;'Debt strategy'!$D$12,AND('Debt strategy'!$D$10='Debt strategy'!$D$12,1&lt;3))),1,0),IF(AND(O144+P144-Q144&gt;0,OR('Debt strategy'!$D$11&gt;'Debt strategy'!$D$12,AND('Debt strategy'!$D$11='Debt strategy'!$D$12,2&lt;3))),1,0),IF(AND(AA144+AB144-AC144&gt;0,OR('Debt strategy'!$D$13&gt;'Debt strategy'!$D$12,AND('Debt strategy'!$D$13='Debt strategy'!$D$12,4&lt;3))),1,0)))</x:f>
        <x:v>99</x:v>
      </x:c>
      <x:c r="Y144" s="6" t="n">
        <x:f>IF('Debt strategy'!$C$16&gt;0,0,MIN(U144+V144-W144,MAX(0,'Debt strategy'!$C$5-SUM(E144,K144,Q144,W144,AC144)-SUM(IF(F144&lt;X144,C144+D144-E144,0),IF(L144&lt;X144,I144+J144-K144,0),IF(R144&lt;X144,O144+P144-Q144,0),IF(AD144&lt;X144,AA144+AB144-AC144,0)))))</x:f>
        <x:v>0</x:v>
      </x:c>
      <x:c r="Z144" s="6" t="n">
        <x:f>ROUND(MAX(0,U144+V144-W144-Y144),2)</x:f>
        <x:v>0</x:v>
      </x:c>
      <x:c r="AA144" s="6" t="n">
        <x:f>AF143</x:f>
        <x:v>0</x:v>
      </x:c>
      <x:c r="AB144" s="6" t="n">
        <x:f>ROUND(AA144*'Debt strategy'!$D$13/12,2)</x:f>
        <x:v>0</x:v>
      </x:c>
      <x:c r="AC144" s="6" t="n">
        <x:f>MIN(AA144+AB144,'Debt strategy'!$E$13)</x:f>
        <x:v>0</x:v>
      </x:c>
      <x:c r="AD144" s="27" t="n">
        <x:f>IF(AA144+AB144-AC144&lt;=0,99,1+SUM(IF(AND(C144+D144-E144&gt;0,OR('Debt strategy'!$D$9&gt;'Debt strategy'!$D$13,AND('Debt strategy'!$D$9='Debt strategy'!$D$13,0&lt;4))),1,0),IF(AND(I144+J144-K144&gt;0,OR('Debt strategy'!$D$10&gt;'Debt strategy'!$D$13,AND('Debt strategy'!$D$10='Debt strategy'!$D$13,1&lt;4))),1,0),IF(AND(O144+P144-Q144&gt;0,OR('Debt strategy'!$D$11&gt;'Debt strategy'!$D$13,AND('Debt strategy'!$D$11='Debt strategy'!$D$13,2&lt;4))),1,0),IF(AND(U144+V144-W144&gt;0,OR('Debt strategy'!$D$12&gt;'Debt strategy'!$D$13,AND('Debt strategy'!$D$12='Debt strategy'!$D$13,3&lt;4))),1,0)))</x:f>
        <x:v>99</x:v>
      </x:c>
      <x:c r="AE144" s="6" t="n">
        <x:f>IF('Debt strategy'!$C$16&gt;0,0,MIN(AA144+AB144-AC144,MAX(0,'Debt strategy'!$C$5-SUM(E144,K144,Q144,W144,AC144)-SUM(IF(F144&lt;AD144,C144+D144-E144,0),IF(L144&lt;AD144,I144+J144-K144,0),IF(R144&lt;AD144,O144+P144-Q144,0),IF(X144&lt;AD144,U144+V144-W144,0)))))</x:f>
        <x:v>0</x:v>
      </x:c>
      <x:c r="AF144" s="6" t="n">
        <x:f>ROUND(MAX(0,AA144+AB144-AC144-AE144),2)</x:f>
        <x:v>0</x:v>
      </x:c>
      <x:c r="AG144" s="6" t="n">
        <x:f>SUM(H144,N144,T144,Z144,AF144)</x:f>
        <x:v>0</x:v>
      </x:c>
      <x:c r="AH144" s="6" t="n">
        <x:f>SUM(D144,J144,P144,V144,AB144)+AH143</x:f>
        <x:v>1220.8400000000001</x:v>
      </x:c>
      <x:c r="AI144" s="2"/>
    </x:row>
    <x:row r="145" ht="23" customHeight="1">
      <x:c r="B145" s="2" t="n">
        <x:f>137</x:f>
        <x:v>137</x:v>
      </x:c>
      <x:c r="C145" s="6" t="n">
        <x:f>H144</x:f>
        <x:v>0</x:v>
      </x:c>
      <x:c r="D145" s="6" t="n">
        <x:f>ROUND(C145*'Debt strategy'!$D$9/12,2)</x:f>
        <x:v>0</x:v>
      </x:c>
      <x:c r="E145" s="6" t="n">
        <x:f>MIN(C145+D145,'Debt strategy'!$E$9)</x:f>
        <x:v>0</x:v>
      </x:c>
      <x:c r="F145" s="27" t="n">
        <x:f>IF(C145+D145-E145&lt;=0,99,1+SUM(IF(AND(I145+J145-K145&gt;0,OR('Debt strategy'!$D$10&gt;'Debt strategy'!$D$9,AND('Debt strategy'!$D$10='Debt strategy'!$D$9,1&lt;0))),1,0),IF(AND(O145+P145-Q145&gt;0,OR('Debt strategy'!$D$11&gt;'Debt strategy'!$D$9,AND('Debt strategy'!$D$11='Debt strategy'!$D$9,2&lt;0))),1,0),IF(AND(U145+V145-W145&gt;0,OR('Debt strategy'!$D$12&gt;'Debt strategy'!$D$9,AND('Debt strategy'!$D$12='Debt strategy'!$D$9,3&lt;0))),1,0),IF(AND(AA145+AB145-AC145&gt;0,OR('Debt strategy'!$D$13&gt;'Debt strategy'!$D$9,AND('Debt strategy'!$D$13='Debt strategy'!$D$9,4&lt;0))),1,0)))</x:f>
        <x:v>99</x:v>
      </x:c>
      <x:c r="G145" s="6" t="n">
        <x:f>IF('Debt strategy'!$C$16&gt;0,0,MIN(C145+D145-E145,MAX(0,'Debt strategy'!$C$5-SUM(E145,K145,Q145,W145,AC145)-SUM(IF(L145&lt;F145,I145+J145-K145,0),IF(R145&lt;F145,O145+P145-Q145,0),IF(X145&lt;F145,U145+V145-W145,0),IF(AD145&lt;F145,AA145+AB145-AC145,0)))))</x:f>
        <x:v>0</x:v>
      </x:c>
      <x:c r="H145" s="6" t="n">
        <x:f>ROUND(MAX(0,C145+D145-E145-G145),2)</x:f>
        <x:v>0</x:v>
      </x:c>
      <x:c r="I145" s="6" t="n">
        <x:f>N144</x:f>
        <x:v>0</x:v>
      </x:c>
      <x:c r="J145" s="6" t="n">
        <x:f>ROUND(I145*'Debt strategy'!$D$10/12,2)</x:f>
        <x:v>0</x:v>
      </x:c>
      <x:c r="K145" s="6" t="n">
        <x:f>MIN(I145+J145,'Debt strategy'!$E$10)</x:f>
        <x:v>0</x:v>
      </x:c>
      <x:c r="L145" s="27" t="n">
        <x:f>IF(I145+J145-K145&lt;=0,99,1+SUM(IF(AND(C145+D145-E145&gt;0,OR('Debt strategy'!$D$9&gt;'Debt strategy'!$D$10,AND('Debt strategy'!$D$9='Debt strategy'!$D$10,0&lt;1))),1,0),IF(AND(O145+P145-Q145&gt;0,OR('Debt strategy'!$D$11&gt;'Debt strategy'!$D$10,AND('Debt strategy'!$D$11='Debt strategy'!$D$10,2&lt;1))),1,0),IF(AND(U145+V145-W145&gt;0,OR('Debt strategy'!$D$12&gt;'Debt strategy'!$D$10,AND('Debt strategy'!$D$12='Debt strategy'!$D$10,3&lt;1))),1,0),IF(AND(AA145+AB145-AC145&gt;0,OR('Debt strategy'!$D$13&gt;'Debt strategy'!$D$10,AND('Debt strategy'!$D$13='Debt strategy'!$D$10,4&lt;1))),1,0)))</x:f>
        <x:v>99</x:v>
      </x:c>
      <x:c r="M145" s="6" t="n">
        <x:f>IF('Debt strategy'!$C$16&gt;0,0,MIN(I145+J145-K145,MAX(0,'Debt strategy'!$C$5-SUM(E145,K145,Q145,W145,AC145)-SUM(IF(F145&lt;L145,C145+D145-E145,0),IF(R145&lt;L145,O145+P145-Q145,0),IF(X145&lt;L145,U145+V145-W145,0),IF(AD145&lt;L145,AA145+AB145-AC145,0)))))</x:f>
        <x:v>0</x:v>
      </x:c>
      <x:c r="N145" s="6" t="n">
        <x:f>ROUND(MAX(0,I145+J145-K145-M145),2)</x:f>
        <x:v>0</x:v>
      </x:c>
      <x:c r="O145" s="6" t="n">
        <x:f>T144</x:f>
        <x:v>0</x:v>
      </x:c>
      <x:c r="P145" s="6" t="n">
        <x:f>ROUND(O145*'Debt strategy'!$D$11/12,2)</x:f>
        <x:v>0</x:v>
      </x:c>
      <x:c r="Q145" s="6" t="n">
        <x:f>MIN(O145+P145,'Debt strategy'!$E$11)</x:f>
        <x:v>0</x:v>
      </x:c>
      <x:c r="R145" s="27" t="n">
        <x:f>IF(O145+P145-Q145&lt;=0,99,1+SUM(IF(AND(C145+D145-E145&gt;0,OR('Debt strategy'!$D$9&gt;'Debt strategy'!$D$11,AND('Debt strategy'!$D$9='Debt strategy'!$D$11,0&lt;2))),1,0),IF(AND(I145+J145-K145&gt;0,OR('Debt strategy'!$D$10&gt;'Debt strategy'!$D$11,AND('Debt strategy'!$D$10='Debt strategy'!$D$11,1&lt;2))),1,0),IF(AND(U145+V145-W145&gt;0,OR('Debt strategy'!$D$12&gt;'Debt strategy'!$D$11,AND('Debt strategy'!$D$12='Debt strategy'!$D$11,3&lt;2))),1,0),IF(AND(AA145+AB145-AC145&gt;0,OR('Debt strategy'!$D$13&gt;'Debt strategy'!$D$11,AND('Debt strategy'!$D$13='Debt strategy'!$D$11,4&lt;2))),1,0)))</x:f>
        <x:v>99</x:v>
      </x:c>
      <x:c r="S145" s="6" t="n">
        <x:f>IF('Debt strategy'!$C$16&gt;0,0,MIN(O145+P145-Q145,MAX(0,'Debt strategy'!$C$5-SUM(E145,K145,Q145,W145,AC145)-SUM(IF(F145&lt;R145,C145+D145-E145,0),IF(L145&lt;R145,I145+J145-K145,0),IF(X145&lt;R145,U145+V145-W145,0),IF(AD145&lt;R145,AA145+AB145-AC145,0)))))</x:f>
        <x:v>0</x:v>
      </x:c>
      <x:c r="T145" s="6" t="n">
        <x:f>ROUND(MAX(0,O145+P145-Q145-S145),2)</x:f>
        <x:v>0</x:v>
      </x:c>
      <x:c r="U145" s="6" t="n">
        <x:f>Z144</x:f>
        <x:v>0</x:v>
      </x:c>
      <x:c r="V145" s="6" t="n">
        <x:f>ROUND(U145*'Debt strategy'!$D$12/12,2)</x:f>
        <x:v>0</x:v>
      </x:c>
      <x:c r="W145" s="6" t="n">
        <x:f>MIN(U145+V145,'Debt strategy'!$E$12)</x:f>
        <x:v>0</x:v>
      </x:c>
      <x:c r="X145" s="27" t="n">
        <x:f>IF(U145+V145-W145&lt;=0,99,1+SUM(IF(AND(C145+D145-E145&gt;0,OR('Debt strategy'!$D$9&gt;'Debt strategy'!$D$12,AND('Debt strategy'!$D$9='Debt strategy'!$D$12,0&lt;3))),1,0),IF(AND(I145+J145-K145&gt;0,OR('Debt strategy'!$D$10&gt;'Debt strategy'!$D$12,AND('Debt strategy'!$D$10='Debt strategy'!$D$12,1&lt;3))),1,0),IF(AND(O145+P145-Q145&gt;0,OR('Debt strategy'!$D$11&gt;'Debt strategy'!$D$12,AND('Debt strategy'!$D$11='Debt strategy'!$D$12,2&lt;3))),1,0),IF(AND(AA145+AB145-AC145&gt;0,OR('Debt strategy'!$D$13&gt;'Debt strategy'!$D$12,AND('Debt strategy'!$D$13='Debt strategy'!$D$12,4&lt;3))),1,0)))</x:f>
        <x:v>99</x:v>
      </x:c>
      <x:c r="Y145" s="6" t="n">
        <x:f>IF('Debt strategy'!$C$16&gt;0,0,MIN(U145+V145-W145,MAX(0,'Debt strategy'!$C$5-SUM(E145,K145,Q145,W145,AC145)-SUM(IF(F145&lt;X145,C145+D145-E145,0),IF(L145&lt;X145,I145+J145-K145,0),IF(R145&lt;X145,O145+P145-Q145,0),IF(AD145&lt;X145,AA145+AB145-AC145,0)))))</x:f>
        <x:v>0</x:v>
      </x:c>
      <x:c r="Z145" s="6" t="n">
        <x:f>ROUND(MAX(0,U145+V145-W145-Y145),2)</x:f>
        <x:v>0</x:v>
      </x:c>
      <x:c r="AA145" s="6" t="n">
        <x:f>AF144</x:f>
        <x:v>0</x:v>
      </x:c>
      <x:c r="AB145" s="6" t="n">
        <x:f>ROUND(AA145*'Debt strategy'!$D$13/12,2)</x:f>
        <x:v>0</x:v>
      </x:c>
      <x:c r="AC145" s="6" t="n">
        <x:f>MIN(AA145+AB145,'Debt strategy'!$E$13)</x:f>
        <x:v>0</x:v>
      </x:c>
      <x:c r="AD145" s="27" t="n">
        <x:f>IF(AA145+AB145-AC145&lt;=0,99,1+SUM(IF(AND(C145+D145-E145&gt;0,OR('Debt strategy'!$D$9&gt;'Debt strategy'!$D$13,AND('Debt strategy'!$D$9='Debt strategy'!$D$13,0&lt;4))),1,0),IF(AND(I145+J145-K145&gt;0,OR('Debt strategy'!$D$10&gt;'Debt strategy'!$D$13,AND('Debt strategy'!$D$10='Debt strategy'!$D$13,1&lt;4))),1,0),IF(AND(O145+P145-Q145&gt;0,OR('Debt strategy'!$D$11&gt;'Debt strategy'!$D$13,AND('Debt strategy'!$D$11='Debt strategy'!$D$13,2&lt;4))),1,0),IF(AND(U145+V145-W145&gt;0,OR('Debt strategy'!$D$12&gt;'Debt strategy'!$D$13,AND('Debt strategy'!$D$12='Debt strategy'!$D$13,3&lt;4))),1,0)))</x:f>
        <x:v>99</x:v>
      </x:c>
      <x:c r="AE145" s="6" t="n">
        <x:f>IF('Debt strategy'!$C$16&gt;0,0,MIN(AA145+AB145-AC145,MAX(0,'Debt strategy'!$C$5-SUM(E145,K145,Q145,W145,AC145)-SUM(IF(F145&lt;AD145,C145+D145-E145,0),IF(L145&lt;AD145,I145+J145-K145,0),IF(R145&lt;AD145,O145+P145-Q145,0),IF(X145&lt;AD145,U145+V145-W145,0)))))</x:f>
        <x:v>0</x:v>
      </x:c>
      <x:c r="AF145" s="6" t="n">
        <x:f>ROUND(MAX(0,AA145+AB145-AC145-AE145),2)</x:f>
        <x:v>0</x:v>
      </x:c>
      <x:c r="AG145" s="6" t="n">
        <x:f>SUM(H145,N145,T145,Z145,AF145)</x:f>
        <x:v>0</x:v>
      </x:c>
      <x:c r="AH145" s="6" t="n">
        <x:f>SUM(D145,J145,P145,V145,AB145)+AH144</x:f>
        <x:v>1220.8400000000001</x:v>
      </x:c>
      <x:c r="AI145" s="2"/>
    </x:row>
    <x:row r="146" ht="23" customHeight="1">
      <x:c r="B146" s="2" t="n">
        <x:f>138</x:f>
        <x:v>138</x:v>
      </x:c>
      <x:c r="C146" s="6" t="n">
        <x:f>H145</x:f>
        <x:v>0</x:v>
      </x:c>
      <x:c r="D146" s="6" t="n">
        <x:f>ROUND(C146*'Debt strategy'!$D$9/12,2)</x:f>
        <x:v>0</x:v>
      </x:c>
      <x:c r="E146" s="6" t="n">
        <x:f>MIN(C146+D146,'Debt strategy'!$E$9)</x:f>
        <x:v>0</x:v>
      </x:c>
      <x:c r="F146" s="27" t="n">
        <x:f>IF(C146+D146-E146&lt;=0,99,1+SUM(IF(AND(I146+J146-K146&gt;0,OR('Debt strategy'!$D$10&gt;'Debt strategy'!$D$9,AND('Debt strategy'!$D$10='Debt strategy'!$D$9,1&lt;0))),1,0),IF(AND(O146+P146-Q146&gt;0,OR('Debt strategy'!$D$11&gt;'Debt strategy'!$D$9,AND('Debt strategy'!$D$11='Debt strategy'!$D$9,2&lt;0))),1,0),IF(AND(U146+V146-W146&gt;0,OR('Debt strategy'!$D$12&gt;'Debt strategy'!$D$9,AND('Debt strategy'!$D$12='Debt strategy'!$D$9,3&lt;0))),1,0),IF(AND(AA146+AB146-AC146&gt;0,OR('Debt strategy'!$D$13&gt;'Debt strategy'!$D$9,AND('Debt strategy'!$D$13='Debt strategy'!$D$9,4&lt;0))),1,0)))</x:f>
        <x:v>99</x:v>
      </x:c>
      <x:c r="G146" s="6" t="n">
        <x:f>IF('Debt strategy'!$C$16&gt;0,0,MIN(C146+D146-E146,MAX(0,'Debt strategy'!$C$5-SUM(E146,K146,Q146,W146,AC146)-SUM(IF(L146&lt;F146,I146+J146-K146,0),IF(R146&lt;F146,O146+P146-Q146,0),IF(X146&lt;F146,U146+V146-W146,0),IF(AD146&lt;F146,AA146+AB146-AC146,0)))))</x:f>
        <x:v>0</x:v>
      </x:c>
      <x:c r="H146" s="6" t="n">
        <x:f>ROUND(MAX(0,C146+D146-E146-G146),2)</x:f>
        <x:v>0</x:v>
      </x:c>
      <x:c r="I146" s="6" t="n">
        <x:f>N145</x:f>
        <x:v>0</x:v>
      </x:c>
      <x:c r="J146" s="6" t="n">
        <x:f>ROUND(I146*'Debt strategy'!$D$10/12,2)</x:f>
        <x:v>0</x:v>
      </x:c>
      <x:c r="K146" s="6" t="n">
        <x:f>MIN(I146+J146,'Debt strategy'!$E$10)</x:f>
        <x:v>0</x:v>
      </x:c>
      <x:c r="L146" s="27" t="n">
        <x:f>IF(I146+J146-K146&lt;=0,99,1+SUM(IF(AND(C146+D146-E146&gt;0,OR('Debt strategy'!$D$9&gt;'Debt strategy'!$D$10,AND('Debt strategy'!$D$9='Debt strategy'!$D$10,0&lt;1))),1,0),IF(AND(O146+P146-Q146&gt;0,OR('Debt strategy'!$D$11&gt;'Debt strategy'!$D$10,AND('Debt strategy'!$D$11='Debt strategy'!$D$10,2&lt;1))),1,0),IF(AND(U146+V146-W146&gt;0,OR('Debt strategy'!$D$12&gt;'Debt strategy'!$D$10,AND('Debt strategy'!$D$12='Debt strategy'!$D$10,3&lt;1))),1,0),IF(AND(AA146+AB146-AC146&gt;0,OR('Debt strategy'!$D$13&gt;'Debt strategy'!$D$10,AND('Debt strategy'!$D$13='Debt strategy'!$D$10,4&lt;1))),1,0)))</x:f>
        <x:v>99</x:v>
      </x:c>
      <x:c r="M146" s="6" t="n">
        <x:f>IF('Debt strategy'!$C$16&gt;0,0,MIN(I146+J146-K146,MAX(0,'Debt strategy'!$C$5-SUM(E146,K146,Q146,W146,AC146)-SUM(IF(F146&lt;L146,C146+D146-E146,0),IF(R146&lt;L146,O146+P146-Q146,0),IF(X146&lt;L146,U146+V146-W146,0),IF(AD146&lt;L146,AA146+AB146-AC146,0)))))</x:f>
        <x:v>0</x:v>
      </x:c>
      <x:c r="N146" s="6" t="n">
        <x:f>ROUND(MAX(0,I146+J146-K146-M146),2)</x:f>
        <x:v>0</x:v>
      </x:c>
      <x:c r="O146" s="6" t="n">
        <x:f>T145</x:f>
        <x:v>0</x:v>
      </x:c>
      <x:c r="P146" s="6" t="n">
        <x:f>ROUND(O146*'Debt strategy'!$D$11/12,2)</x:f>
        <x:v>0</x:v>
      </x:c>
      <x:c r="Q146" s="6" t="n">
        <x:f>MIN(O146+P146,'Debt strategy'!$E$11)</x:f>
        <x:v>0</x:v>
      </x:c>
      <x:c r="R146" s="27" t="n">
        <x:f>IF(O146+P146-Q146&lt;=0,99,1+SUM(IF(AND(C146+D146-E146&gt;0,OR('Debt strategy'!$D$9&gt;'Debt strategy'!$D$11,AND('Debt strategy'!$D$9='Debt strategy'!$D$11,0&lt;2))),1,0),IF(AND(I146+J146-K146&gt;0,OR('Debt strategy'!$D$10&gt;'Debt strategy'!$D$11,AND('Debt strategy'!$D$10='Debt strategy'!$D$11,1&lt;2))),1,0),IF(AND(U146+V146-W146&gt;0,OR('Debt strategy'!$D$12&gt;'Debt strategy'!$D$11,AND('Debt strategy'!$D$12='Debt strategy'!$D$11,3&lt;2))),1,0),IF(AND(AA146+AB146-AC146&gt;0,OR('Debt strategy'!$D$13&gt;'Debt strategy'!$D$11,AND('Debt strategy'!$D$13='Debt strategy'!$D$11,4&lt;2))),1,0)))</x:f>
        <x:v>99</x:v>
      </x:c>
      <x:c r="S146" s="6" t="n">
        <x:f>IF('Debt strategy'!$C$16&gt;0,0,MIN(O146+P146-Q146,MAX(0,'Debt strategy'!$C$5-SUM(E146,K146,Q146,W146,AC146)-SUM(IF(F146&lt;R146,C146+D146-E146,0),IF(L146&lt;R146,I146+J146-K146,0),IF(X146&lt;R146,U146+V146-W146,0),IF(AD146&lt;R146,AA146+AB146-AC146,0)))))</x:f>
        <x:v>0</x:v>
      </x:c>
      <x:c r="T146" s="6" t="n">
        <x:f>ROUND(MAX(0,O146+P146-Q146-S146),2)</x:f>
        <x:v>0</x:v>
      </x:c>
      <x:c r="U146" s="6" t="n">
        <x:f>Z145</x:f>
        <x:v>0</x:v>
      </x:c>
      <x:c r="V146" s="6" t="n">
        <x:f>ROUND(U146*'Debt strategy'!$D$12/12,2)</x:f>
        <x:v>0</x:v>
      </x:c>
      <x:c r="W146" s="6" t="n">
        <x:f>MIN(U146+V146,'Debt strategy'!$E$12)</x:f>
        <x:v>0</x:v>
      </x:c>
      <x:c r="X146" s="27" t="n">
        <x:f>IF(U146+V146-W146&lt;=0,99,1+SUM(IF(AND(C146+D146-E146&gt;0,OR('Debt strategy'!$D$9&gt;'Debt strategy'!$D$12,AND('Debt strategy'!$D$9='Debt strategy'!$D$12,0&lt;3))),1,0),IF(AND(I146+J146-K146&gt;0,OR('Debt strategy'!$D$10&gt;'Debt strategy'!$D$12,AND('Debt strategy'!$D$10='Debt strategy'!$D$12,1&lt;3))),1,0),IF(AND(O146+P146-Q146&gt;0,OR('Debt strategy'!$D$11&gt;'Debt strategy'!$D$12,AND('Debt strategy'!$D$11='Debt strategy'!$D$12,2&lt;3))),1,0),IF(AND(AA146+AB146-AC146&gt;0,OR('Debt strategy'!$D$13&gt;'Debt strategy'!$D$12,AND('Debt strategy'!$D$13='Debt strategy'!$D$12,4&lt;3))),1,0)))</x:f>
        <x:v>99</x:v>
      </x:c>
      <x:c r="Y146" s="6" t="n">
        <x:f>IF('Debt strategy'!$C$16&gt;0,0,MIN(U146+V146-W146,MAX(0,'Debt strategy'!$C$5-SUM(E146,K146,Q146,W146,AC146)-SUM(IF(F146&lt;X146,C146+D146-E146,0),IF(L146&lt;X146,I146+J146-K146,0),IF(R146&lt;X146,O146+P146-Q146,0),IF(AD146&lt;X146,AA146+AB146-AC146,0)))))</x:f>
        <x:v>0</x:v>
      </x:c>
      <x:c r="Z146" s="6" t="n">
        <x:f>ROUND(MAX(0,U146+V146-W146-Y146),2)</x:f>
        <x:v>0</x:v>
      </x:c>
      <x:c r="AA146" s="6" t="n">
        <x:f>AF145</x:f>
        <x:v>0</x:v>
      </x:c>
      <x:c r="AB146" s="6" t="n">
        <x:f>ROUND(AA146*'Debt strategy'!$D$13/12,2)</x:f>
        <x:v>0</x:v>
      </x:c>
      <x:c r="AC146" s="6" t="n">
        <x:f>MIN(AA146+AB146,'Debt strategy'!$E$13)</x:f>
        <x:v>0</x:v>
      </x:c>
      <x:c r="AD146" s="27" t="n">
        <x:f>IF(AA146+AB146-AC146&lt;=0,99,1+SUM(IF(AND(C146+D146-E146&gt;0,OR('Debt strategy'!$D$9&gt;'Debt strategy'!$D$13,AND('Debt strategy'!$D$9='Debt strategy'!$D$13,0&lt;4))),1,0),IF(AND(I146+J146-K146&gt;0,OR('Debt strategy'!$D$10&gt;'Debt strategy'!$D$13,AND('Debt strategy'!$D$10='Debt strategy'!$D$13,1&lt;4))),1,0),IF(AND(O146+P146-Q146&gt;0,OR('Debt strategy'!$D$11&gt;'Debt strategy'!$D$13,AND('Debt strategy'!$D$11='Debt strategy'!$D$13,2&lt;4))),1,0),IF(AND(U146+V146-W146&gt;0,OR('Debt strategy'!$D$12&gt;'Debt strategy'!$D$13,AND('Debt strategy'!$D$12='Debt strategy'!$D$13,3&lt;4))),1,0)))</x:f>
        <x:v>99</x:v>
      </x:c>
      <x:c r="AE146" s="6" t="n">
        <x:f>IF('Debt strategy'!$C$16&gt;0,0,MIN(AA146+AB146-AC146,MAX(0,'Debt strategy'!$C$5-SUM(E146,K146,Q146,W146,AC146)-SUM(IF(F146&lt;AD146,C146+D146-E146,0),IF(L146&lt;AD146,I146+J146-K146,0),IF(R146&lt;AD146,O146+P146-Q146,0),IF(X146&lt;AD146,U146+V146-W146,0)))))</x:f>
        <x:v>0</x:v>
      </x:c>
      <x:c r="AF146" s="6" t="n">
        <x:f>ROUND(MAX(0,AA146+AB146-AC146-AE146),2)</x:f>
        <x:v>0</x:v>
      </x:c>
      <x:c r="AG146" s="6" t="n">
        <x:f>SUM(H146,N146,T146,Z146,AF146)</x:f>
        <x:v>0</x:v>
      </x:c>
      <x:c r="AH146" s="6" t="n">
        <x:f>SUM(D146,J146,P146,V146,AB146)+AH145</x:f>
        <x:v>1220.8400000000001</x:v>
      </x:c>
      <x:c r="AI146" s="2"/>
    </x:row>
    <x:row r="147" ht="23" customHeight="1">
      <x:c r="B147" s="2" t="n">
        <x:f>139</x:f>
        <x:v>139</x:v>
      </x:c>
      <x:c r="C147" s="6" t="n">
        <x:f>H146</x:f>
        <x:v>0</x:v>
      </x:c>
      <x:c r="D147" s="6" t="n">
        <x:f>ROUND(C147*'Debt strategy'!$D$9/12,2)</x:f>
        <x:v>0</x:v>
      </x:c>
      <x:c r="E147" s="6" t="n">
        <x:f>MIN(C147+D147,'Debt strategy'!$E$9)</x:f>
        <x:v>0</x:v>
      </x:c>
      <x:c r="F147" s="27" t="n">
        <x:f>IF(C147+D147-E147&lt;=0,99,1+SUM(IF(AND(I147+J147-K147&gt;0,OR('Debt strategy'!$D$10&gt;'Debt strategy'!$D$9,AND('Debt strategy'!$D$10='Debt strategy'!$D$9,1&lt;0))),1,0),IF(AND(O147+P147-Q147&gt;0,OR('Debt strategy'!$D$11&gt;'Debt strategy'!$D$9,AND('Debt strategy'!$D$11='Debt strategy'!$D$9,2&lt;0))),1,0),IF(AND(U147+V147-W147&gt;0,OR('Debt strategy'!$D$12&gt;'Debt strategy'!$D$9,AND('Debt strategy'!$D$12='Debt strategy'!$D$9,3&lt;0))),1,0),IF(AND(AA147+AB147-AC147&gt;0,OR('Debt strategy'!$D$13&gt;'Debt strategy'!$D$9,AND('Debt strategy'!$D$13='Debt strategy'!$D$9,4&lt;0))),1,0)))</x:f>
        <x:v>99</x:v>
      </x:c>
      <x:c r="G147" s="6" t="n">
        <x:f>IF('Debt strategy'!$C$16&gt;0,0,MIN(C147+D147-E147,MAX(0,'Debt strategy'!$C$5-SUM(E147,K147,Q147,W147,AC147)-SUM(IF(L147&lt;F147,I147+J147-K147,0),IF(R147&lt;F147,O147+P147-Q147,0),IF(X147&lt;F147,U147+V147-W147,0),IF(AD147&lt;F147,AA147+AB147-AC147,0)))))</x:f>
        <x:v>0</x:v>
      </x:c>
      <x:c r="H147" s="6" t="n">
        <x:f>ROUND(MAX(0,C147+D147-E147-G147),2)</x:f>
        <x:v>0</x:v>
      </x:c>
      <x:c r="I147" s="6" t="n">
        <x:f>N146</x:f>
        <x:v>0</x:v>
      </x:c>
      <x:c r="J147" s="6" t="n">
        <x:f>ROUND(I147*'Debt strategy'!$D$10/12,2)</x:f>
        <x:v>0</x:v>
      </x:c>
      <x:c r="K147" s="6" t="n">
        <x:f>MIN(I147+J147,'Debt strategy'!$E$10)</x:f>
        <x:v>0</x:v>
      </x:c>
      <x:c r="L147" s="27" t="n">
        <x:f>IF(I147+J147-K147&lt;=0,99,1+SUM(IF(AND(C147+D147-E147&gt;0,OR('Debt strategy'!$D$9&gt;'Debt strategy'!$D$10,AND('Debt strategy'!$D$9='Debt strategy'!$D$10,0&lt;1))),1,0),IF(AND(O147+P147-Q147&gt;0,OR('Debt strategy'!$D$11&gt;'Debt strategy'!$D$10,AND('Debt strategy'!$D$11='Debt strategy'!$D$10,2&lt;1))),1,0),IF(AND(U147+V147-W147&gt;0,OR('Debt strategy'!$D$12&gt;'Debt strategy'!$D$10,AND('Debt strategy'!$D$12='Debt strategy'!$D$10,3&lt;1))),1,0),IF(AND(AA147+AB147-AC147&gt;0,OR('Debt strategy'!$D$13&gt;'Debt strategy'!$D$10,AND('Debt strategy'!$D$13='Debt strategy'!$D$10,4&lt;1))),1,0)))</x:f>
        <x:v>99</x:v>
      </x:c>
      <x:c r="M147" s="6" t="n">
        <x:f>IF('Debt strategy'!$C$16&gt;0,0,MIN(I147+J147-K147,MAX(0,'Debt strategy'!$C$5-SUM(E147,K147,Q147,W147,AC147)-SUM(IF(F147&lt;L147,C147+D147-E147,0),IF(R147&lt;L147,O147+P147-Q147,0),IF(X147&lt;L147,U147+V147-W147,0),IF(AD147&lt;L147,AA147+AB147-AC147,0)))))</x:f>
        <x:v>0</x:v>
      </x:c>
      <x:c r="N147" s="6" t="n">
        <x:f>ROUND(MAX(0,I147+J147-K147-M147),2)</x:f>
        <x:v>0</x:v>
      </x:c>
      <x:c r="O147" s="6" t="n">
        <x:f>T146</x:f>
        <x:v>0</x:v>
      </x:c>
      <x:c r="P147" s="6" t="n">
        <x:f>ROUND(O147*'Debt strategy'!$D$11/12,2)</x:f>
        <x:v>0</x:v>
      </x:c>
      <x:c r="Q147" s="6" t="n">
        <x:f>MIN(O147+P147,'Debt strategy'!$E$11)</x:f>
        <x:v>0</x:v>
      </x:c>
      <x:c r="R147" s="27" t="n">
        <x:f>IF(O147+P147-Q147&lt;=0,99,1+SUM(IF(AND(C147+D147-E147&gt;0,OR('Debt strategy'!$D$9&gt;'Debt strategy'!$D$11,AND('Debt strategy'!$D$9='Debt strategy'!$D$11,0&lt;2))),1,0),IF(AND(I147+J147-K147&gt;0,OR('Debt strategy'!$D$10&gt;'Debt strategy'!$D$11,AND('Debt strategy'!$D$10='Debt strategy'!$D$11,1&lt;2))),1,0),IF(AND(U147+V147-W147&gt;0,OR('Debt strategy'!$D$12&gt;'Debt strategy'!$D$11,AND('Debt strategy'!$D$12='Debt strategy'!$D$11,3&lt;2))),1,0),IF(AND(AA147+AB147-AC147&gt;0,OR('Debt strategy'!$D$13&gt;'Debt strategy'!$D$11,AND('Debt strategy'!$D$13='Debt strategy'!$D$11,4&lt;2))),1,0)))</x:f>
        <x:v>99</x:v>
      </x:c>
      <x:c r="S147" s="6" t="n">
        <x:f>IF('Debt strategy'!$C$16&gt;0,0,MIN(O147+P147-Q147,MAX(0,'Debt strategy'!$C$5-SUM(E147,K147,Q147,W147,AC147)-SUM(IF(F147&lt;R147,C147+D147-E147,0),IF(L147&lt;R147,I147+J147-K147,0),IF(X147&lt;R147,U147+V147-W147,0),IF(AD147&lt;R147,AA147+AB147-AC147,0)))))</x:f>
        <x:v>0</x:v>
      </x:c>
      <x:c r="T147" s="6" t="n">
        <x:f>ROUND(MAX(0,O147+P147-Q147-S147),2)</x:f>
        <x:v>0</x:v>
      </x:c>
      <x:c r="U147" s="6" t="n">
        <x:f>Z146</x:f>
        <x:v>0</x:v>
      </x:c>
      <x:c r="V147" s="6" t="n">
        <x:f>ROUND(U147*'Debt strategy'!$D$12/12,2)</x:f>
        <x:v>0</x:v>
      </x:c>
      <x:c r="W147" s="6" t="n">
        <x:f>MIN(U147+V147,'Debt strategy'!$E$12)</x:f>
        <x:v>0</x:v>
      </x:c>
      <x:c r="X147" s="27" t="n">
        <x:f>IF(U147+V147-W147&lt;=0,99,1+SUM(IF(AND(C147+D147-E147&gt;0,OR('Debt strategy'!$D$9&gt;'Debt strategy'!$D$12,AND('Debt strategy'!$D$9='Debt strategy'!$D$12,0&lt;3))),1,0),IF(AND(I147+J147-K147&gt;0,OR('Debt strategy'!$D$10&gt;'Debt strategy'!$D$12,AND('Debt strategy'!$D$10='Debt strategy'!$D$12,1&lt;3))),1,0),IF(AND(O147+P147-Q147&gt;0,OR('Debt strategy'!$D$11&gt;'Debt strategy'!$D$12,AND('Debt strategy'!$D$11='Debt strategy'!$D$12,2&lt;3))),1,0),IF(AND(AA147+AB147-AC147&gt;0,OR('Debt strategy'!$D$13&gt;'Debt strategy'!$D$12,AND('Debt strategy'!$D$13='Debt strategy'!$D$12,4&lt;3))),1,0)))</x:f>
        <x:v>99</x:v>
      </x:c>
      <x:c r="Y147" s="6" t="n">
        <x:f>IF('Debt strategy'!$C$16&gt;0,0,MIN(U147+V147-W147,MAX(0,'Debt strategy'!$C$5-SUM(E147,K147,Q147,W147,AC147)-SUM(IF(F147&lt;X147,C147+D147-E147,0),IF(L147&lt;X147,I147+J147-K147,0),IF(R147&lt;X147,O147+P147-Q147,0),IF(AD147&lt;X147,AA147+AB147-AC147,0)))))</x:f>
        <x:v>0</x:v>
      </x:c>
      <x:c r="Z147" s="6" t="n">
        <x:f>ROUND(MAX(0,U147+V147-W147-Y147),2)</x:f>
        <x:v>0</x:v>
      </x:c>
      <x:c r="AA147" s="6" t="n">
        <x:f>AF146</x:f>
        <x:v>0</x:v>
      </x:c>
      <x:c r="AB147" s="6" t="n">
        <x:f>ROUND(AA147*'Debt strategy'!$D$13/12,2)</x:f>
        <x:v>0</x:v>
      </x:c>
      <x:c r="AC147" s="6" t="n">
        <x:f>MIN(AA147+AB147,'Debt strategy'!$E$13)</x:f>
        <x:v>0</x:v>
      </x:c>
      <x:c r="AD147" s="27" t="n">
        <x:f>IF(AA147+AB147-AC147&lt;=0,99,1+SUM(IF(AND(C147+D147-E147&gt;0,OR('Debt strategy'!$D$9&gt;'Debt strategy'!$D$13,AND('Debt strategy'!$D$9='Debt strategy'!$D$13,0&lt;4))),1,0),IF(AND(I147+J147-K147&gt;0,OR('Debt strategy'!$D$10&gt;'Debt strategy'!$D$13,AND('Debt strategy'!$D$10='Debt strategy'!$D$13,1&lt;4))),1,0),IF(AND(O147+P147-Q147&gt;0,OR('Debt strategy'!$D$11&gt;'Debt strategy'!$D$13,AND('Debt strategy'!$D$11='Debt strategy'!$D$13,2&lt;4))),1,0),IF(AND(U147+V147-W147&gt;0,OR('Debt strategy'!$D$12&gt;'Debt strategy'!$D$13,AND('Debt strategy'!$D$12='Debt strategy'!$D$13,3&lt;4))),1,0)))</x:f>
        <x:v>99</x:v>
      </x:c>
      <x:c r="AE147" s="6" t="n">
        <x:f>IF('Debt strategy'!$C$16&gt;0,0,MIN(AA147+AB147-AC147,MAX(0,'Debt strategy'!$C$5-SUM(E147,K147,Q147,W147,AC147)-SUM(IF(F147&lt;AD147,C147+D147-E147,0),IF(L147&lt;AD147,I147+J147-K147,0),IF(R147&lt;AD147,O147+P147-Q147,0),IF(X147&lt;AD147,U147+V147-W147,0)))))</x:f>
        <x:v>0</x:v>
      </x:c>
      <x:c r="AF147" s="6" t="n">
        <x:f>ROUND(MAX(0,AA147+AB147-AC147-AE147),2)</x:f>
        <x:v>0</x:v>
      </x:c>
      <x:c r="AG147" s="6" t="n">
        <x:f>SUM(H147,N147,T147,Z147,AF147)</x:f>
        <x:v>0</x:v>
      </x:c>
      <x:c r="AH147" s="6" t="n">
        <x:f>SUM(D147,J147,P147,V147,AB147)+AH146</x:f>
        <x:v>1220.8400000000001</x:v>
      </x:c>
      <x:c r="AI147" s="2"/>
    </x:row>
    <x:row r="148" ht="23" customHeight="1">
      <x:c r="B148" s="2" t="n">
        <x:f>140</x:f>
        <x:v>140</x:v>
      </x:c>
      <x:c r="C148" s="6" t="n">
        <x:f>H147</x:f>
        <x:v>0</x:v>
      </x:c>
      <x:c r="D148" s="6" t="n">
        <x:f>ROUND(C148*'Debt strategy'!$D$9/12,2)</x:f>
        <x:v>0</x:v>
      </x:c>
      <x:c r="E148" s="6" t="n">
        <x:f>MIN(C148+D148,'Debt strategy'!$E$9)</x:f>
        <x:v>0</x:v>
      </x:c>
      <x:c r="F148" s="27" t="n">
        <x:f>IF(C148+D148-E148&lt;=0,99,1+SUM(IF(AND(I148+J148-K148&gt;0,OR('Debt strategy'!$D$10&gt;'Debt strategy'!$D$9,AND('Debt strategy'!$D$10='Debt strategy'!$D$9,1&lt;0))),1,0),IF(AND(O148+P148-Q148&gt;0,OR('Debt strategy'!$D$11&gt;'Debt strategy'!$D$9,AND('Debt strategy'!$D$11='Debt strategy'!$D$9,2&lt;0))),1,0),IF(AND(U148+V148-W148&gt;0,OR('Debt strategy'!$D$12&gt;'Debt strategy'!$D$9,AND('Debt strategy'!$D$12='Debt strategy'!$D$9,3&lt;0))),1,0),IF(AND(AA148+AB148-AC148&gt;0,OR('Debt strategy'!$D$13&gt;'Debt strategy'!$D$9,AND('Debt strategy'!$D$13='Debt strategy'!$D$9,4&lt;0))),1,0)))</x:f>
        <x:v>99</x:v>
      </x:c>
      <x:c r="G148" s="6" t="n">
        <x:f>IF('Debt strategy'!$C$16&gt;0,0,MIN(C148+D148-E148,MAX(0,'Debt strategy'!$C$5-SUM(E148,K148,Q148,W148,AC148)-SUM(IF(L148&lt;F148,I148+J148-K148,0),IF(R148&lt;F148,O148+P148-Q148,0),IF(X148&lt;F148,U148+V148-W148,0),IF(AD148&lt;F148,AA148+AB148-AC148,0)))))</x:f>
        <x:v>0</x:v>
      </x:c>
      <x:c r="H148" s="6" t="n">
        <x:f>ROUND(MAX(0,C148+D148-E148-G148),2)</x:f>
        <x:v>0</x:v>
      </x:c>
      <x:c r="I148" s="6" t="n">
        <x:f>N147</x:f>
        <x:v>0</x:v>
      </x:c>
      <x:c r="J148" s="6" t="n">
        <x:f>ROUND(I148*'Debt strategy'!$D$10/12,2)</x:f>
        <x:v>0</x:v>
      </x:c>
      <x:c r="K148" s="6" t="n">
        <x:f>MIN(I148+J148,'Debt strategy'!$E$10)</x:f>
        <x:v>0</x:v>
      </x:c>
      <x:c r="L148" s="27" t="n">
        <x:f>IF(I148+J148-K148&lt;=0,99,1+SUM(IF(AND(C148+D148-E148&gt;0,OR('Debt strategy'!$D$9&gt;'Debt strategy'!$D$10,AND('Debt strategy'!$D$9='Debt strategy'!$D$10,0&lt;1))),1,0),IF(AND(O148+P148-Q148&gt;0,OR('Debt strategy'!$D$11&gt;'Debt strategy'!$D$10,AND('Debt strategy'!$D$11='Debt strategy'!$D$10,2&lt;1))),1,0),IF(AND(U148+V148-W148&gt;0,OR('Debt strategy'!$D$12&gt;'Debt strategy'!$D$10,AND('Debt strategy'!$D$12='Debt strategy'!$D$10,3&lt;1))),1,0),IF(AND(AA148+AB148-AC148&gt;0,OR('Debt strategy'!$D$13&gt;'Debt strategy'!$D$10,AND('Debt strategy'!$D$13='Debt strategy'!$D$10,4&lt;1))),1,0)))</x:f>
        <x:v>99</x:v>
      </x:c>
      <x:c r="M148" s="6" t="n">
        <x:f>IF('Debt strategy'!$C$16&gt;0,0,MIN(I148+J148-K148,MAX(0,'Debt strategy'!$C$5-SUM(E148,K148,Q148,W148,AC148)-SUM(IF(F148&lt;L148,C148+D148-E148,0),IF(R148&lt;L148,O148+P148-Q148,0),IF(X148&lt;L148,U148+V148-W148,0),IF(AD148&lt;L148,AA148+AB148-AC148,0)))))</x:f>
        <x:v>0</x:v>
      </x:c>
      <x:c r="N148" s="6" t="n">
        <x:f>ROUND(MAX(0,I148+J148-K148-M148),2)</x:f>
        <x:v>0</x:v>
      </x:c>
      <x:c r="O148" s="6" t="n">
        <x:f>T147</x:f>
        <x:v>0</x:v>
      </x:c>
      <x:c r="P148" s="6" t="n">
        <x:f>ROUND(O148*'Debt strategy'!$D$11/12,2)</x:f>
        <x:v>0</x:v>
      </x:c>
      <x:c r="Q148" s="6" t="n">
        <x:f>MIN(O148+P148,'Debt strategy'!$E$11)</x:f>
        <x:v>0</x:v>
      </x:c>
      <x:c r="R148" s="27" t="n">
        <x:f>IF(O148+P148-Q148&lt;=0,99,1+SUM(IF(AND(C148+D148-E148&gt;0,OR('Debt strategy'!$D$9&gt;'Debt strategy'!$D$11,AND('Debt strategy'!$D$9='Debt strategy'!$D$11,0&lt;2))),1,0),IF(AND(I148+J148-K148&gt;0,OR('Debt strategy'!$D$10&gt;'Debt strategy'!$D$11,AND('Debt strategy'!$D$10='Debt strategy'!$D$11,1&lt;2))),1,0),IF(AND(U148+V148-W148&gt;0,OR('Debt strategy'!$D$12&gt;'Debt strategy'!$D$11,AND('Debt strategy'!$D$12='Debt strategy'!$D$11,3&lt;2))),1,0),IF(AND(AA148+AB148-AC148&gt;0,OR('Debt strategy'!$D$13&gt;'Debt strategy'!$D$11,AND('Debt strategy'!$D$13='Debt strategy'!$D$11,4&lt;2))),1,0)))</x:f>
        <x:v>99</x:v>
      </x:c>
      <x:c r="S148" s="6" t="n">
        <x:f>IF('Debt strategy'!$C$16&gt;0,0,MIN(O148+P148-Q148,MAX(0,'Debt strategy'!$C$5-SUM(E148,K148,Q148,W148,AC148)-SUM(IF(F148&lt;R148,C148+D148-E148,0),IF(L148&lt;R148,I148+J148-K148,0),IF(X148&lt;R148,U148+V148-W148,0),IF(AD148&lt;R148,AA148+AB148-AC148,0)))))</x:f>
        <x:v>0</x:v>
      </x:c>
      <x:c r="T148" s="6" t="n">
        <x:f>ROUND(MAX(0,O148+P148-Q148-S148),2)</x:f>
        <x:v>0</x:v>
      </x:c>
      <x:c r="U148" s="6" t="n">
        <x:f>Z147</x:f>
        <x:v>0</x:v>
      </x:c>
      <x:c r="V148" s="6" t="n">
        <x:f>ROUND(U148*'Debt strategy'!$D$12/12,2)</x:f>
        <x:v>0</x:v>
      </x:c>
      <x:c r="W148" s="6" t="n">
        <x:f>MIN(U148+V148,'Debt strategy'!$E$12)</x:f>
        <x:v>0</x:v>
      </x:c>
      <x:c r="X148" s="27" t="n">
        <x:f>IF(U148+V148-W148&lt;=0,99,1+SUM(IF(AND(C148+D148-E148&gt;0,OR('Debt strategy'!$D$9&gt;'Debt strategy'!$D$12,AND('Debt strategy'!$D$9='Debt strategy'!$D$12,0&lt;3))),1,0),IF(AND(I148+J148-K148&gt;0,OR('Debt strategy'!$D$10&gt;'Debt strategy'!$D$12,AND('Debt strategy'!$D$10='Debt strategy'!$D$12,1&lt;3))),1,0),IF(AND(O148+P148-Q148&gt;0,OR('Debt strategy'!$D$11&gt;'Debt strategy'!$D$12,AND('Debt strategy'!$D$11='Debt strategy'!$D$12,2&lt;3))),1,0),IF(AND(AA148+AB148-AC148&gt;0,OR('Debt strategy'!$D$13&gt;'Debt strategy'!$D$12,AND('Debt strategy'!$D$13='Debt strategy'!$D$12,4&lt;3))),1,0)))</x:f>
        <x:v>99</x:v>
      </x:c>
      <x:c r="Y148" s="6" t="n">
        <x:f>IF('Debt strategy'!$C$16&gt;0,0,MIN(U148+V148-W148,MAX(0,'Debt strategy'!$C$5-SUM(E148,K148,Q148,W148,AC148)-SUM(IF(F148&lt;X148,C148+D148-E148,0),IF(L148&lt;X148,I148+J148-K148,0),IF(R148&lt;X148,O148+P148-Q148,0),IF(AD148&lt;X148,AA148+AB148-AC148,0)))))</x:f>
        <x:v>0</x:v>
      </x:c>
      <x:c r="Z148" s="6" t="n">
        <x:f>ROUND(MAX(0,U148+V148-W148-Y148),2)</x:f>
        <x:v>0</x:v>
      </x:c>
      <x:c r="AA148" s="6" t="n">
        <x:f>AF147</x:f>
        <x:v>0</x:v>
      </x:c>
      <x:c r="AB148" s="6" t="n">
        <x:f>ROUND(AA148*'Debt strategy'!$D$13/12,2)</x:f>
        <x:v>0</x:v>
      </x:c>
      <x:c r="AC148" s="6" t="n">
        <x:f>MIN(AA148+AB148,'Debt strategy'!$E$13)</x:f>
        <x:v>0</x:v>
      </x:c>
      <x:c r="AD148" s="27" t="n">
        <x:f>IF(AA148+AB148-AC148&lt;=0,99,1+SUM(IF(AND(C148+D148-E148&gt;0,OR('Debt strategy'!$D$9&gt;'Debt strategy'!$D$13,AND('Debt strategy'!$D$9='Debt strategy'!$D$13,0&lt;4))),1,0),IF(AND(I148+J148-K148&gt;0,OR('Debt strategy'!$D$10&gt;'Debt strategy'!$D$13,AND('Debt strategy'!$D$10='Debt strategy'!$D$13,1&lt;4))),1,0),IF(AND(O148+P148-Q148&gt;0,OR('Debt strategy'!$D$11&gt;'Debt strategy'!$D$13,AND('Debt strategy'!$D$11='Debt strategy'!$D$13,2&lt;4))),1,0),IF(AND(U148+V148-W148&gt;0,OR('Debt strategy'!$D$12&gt;'Debt strategy'!$D$13,AND('Debt strategy'!$D$12='Debt strategy'!$D$13,3&lt;4))),1,0)))</x:f>
        <x:v>99</x:v>
      </x:c>
      <x:c r="AE148" s="6" t="n">
        <x:f>IF('Debt strategy'!$C$16&gt;0,0,MIN(AA148+AB148-AC148,MAX(0,'Debt strategy'!$C$5-SUM(E148,K148,Q148,W148,AC148)-SUM(IF(F148&lt;AD148,C148+D148-E148,0),IF(L148&lt;AD148,I148+J148-K148,0),IF(R148&lt;AD148,O148+P148-Q148,0),IF(X148&lt;AD148,U148+V148-W148,0)))))</x:f>
        <x:v>0</x:v>
      </x:c>
      <x:c r="AF148" s="6" t="n">
        <x:f>ROUND(MAX(0,AA148+AB148-AC148-AE148),2)</x:f>
        <x:v>0</x:v>
      </x:c>
      <x:c r="AG148" s="6" t="n">
        <x:f>SUM(H148,N148,T148,Z148,AF148)</x:f>
        <x:v>0</x:v>
      </x:c>
      <x:c r="AH148" s="6" t="n">
        <x:f>SUM(D148,J148,P148,V148,AB148)+AH147</x:f>
        <x:v>1220.8400000000001</x:v>
      </x:c>
      <x:c r="AI148" s="2"/>
    </x:row>
    <x:row r="149" ht="23" customHeight="1">
      <x:c r="B149" s="2" t="n">
        <x:f>141</x:f>
        <x:v>141</x:v>
      </x:c>
      <x:c r="C149" s="6" t="n">
        <x:f>H148</x:f>
        <x:v>0</x:v>
      </x:c>
      <x:c r="D149" s="6" t="n">
        <x:f>ROUND(C149*'Debt strategy'!$D$9/12,2)</x:f>
        <x:v>0</x:v>
      </x:c>
      <x:c r="E149" s="6" t="n">
        <x:f>MIN(C149+D149,'Debt strategy'!$E$9)</x:f>
        <x:v>0</x:v>
      </x:c>
      <x:c r="F149" s="27" t="n">
        <x:f>IF(C149+D149-E149&lt;=0,99,1+SUM(IF(AND(I149+J149-K149&gt;0,OR('Debt strategy'!$D$10&gt;'Debt strategy'!$D$9,AND('Debt strategy'!$D$10='Debt strategy'!$D$9,1&lt;0))),1,0),IF(AND(O149+P149-Q149&gt;0,OR('Debt strategy'!$D$11&gt;'Debt strategy'!$D$9,AND('Debt strategy'!$D$11='Debt strategy'!$D$9,2&lt;0))),1,0),IF(AND(U149+V149-W149&gt;0,OR('Debt strategy'!$D$12&gt;'Debt strategy'!$D$9,AND('Debt strategy'!$D$12='Debt strategy'!$D$9,3&lt;0))),1,0),IF(AND(AA149+AB149-AC149&gt;0,OR('Debt strategy'!$D$13&gt;'Debt strategy'!$D$9,AND('Debt strategy'!$D$13='Debt strategy'!$D$9,4&lt;0))),1,0)))</x:f>
        <x:v>99</x:v>
      </x:c>
      <x:c r="G149" s="6" t="n">
        <x:f>IF('Debt strategy'!$C$16&gt;0,0,MIN(C149+D149-E149,MAX(0,'Debt strategy'!$C$5-SUM(E149,K149,Q149,W149,AC149)-SUM(IF(L149&lt;F149,I149+J149-K149,0),IF(R149&lt;F149,O149+P149-Q149,0),IF(X149&lt;F149,U149+V149-W149,0),IF(AD149&lt;F149,AA149+AB149-AC149,0)))))</x:f>
        <x:v>0</x:v>
      </x:c>
      <x:c r="H149" s="6" t="n">
        <x:f>ROUND(MAX(0,C149+D149-E149-G149),2)</x:f>
        <x:v>0</x:v>
      </x:c>
      <x:c r="I149" s="6" t="n">
        <x:f>N148</x:f>
        <x:v>0</x:v>
      </x:c>
      <x:c r="J149" s="6" t="n">
        <x:f>ROUND(I149*'Debt strategy'!$D$10/12,2)</x:f>
        <x:v>0</x:v>
      </x:c>
      <x:c r="K149" s="6" t="n">
        <x:f>MIN(I149+J149,'Debt strategy'!$E$10)</x:f>
        <x:v>0</x:v>
      </x:c>
      <x:c r="L149" s="27" t="n">
        <x:f>IF(I149+J149-K149&lt;=0,99,1+SUM(IF(AND(C149+D149-E149&gt;0,OR('Debt strategy'!$D$9&gt;'Debt strategy'!$D$10,AND('Debt strategy'!$D$9='Debt strategy'!$D$10,0&lt;1))),1,0),IF(AND(O149+P149-Q149&gt;0,OR('Debt strategy'!$D$11&gt;'Debt strategy'!$D$10,AND('Debt strategy'!$D$11='Debt strategy'!$D$10,2&lt;1))),1,0),IF(AND(U149+V149-W149&gt;0,OR('Debt strategy'!$D$12&gt;'Debt strategy'!$D$10,AND('Debt strategy'!$D$12='Debt strategy'!$D$10,3&lt;1))),1,0),IF(AND(AA149+AB149-AC149&gt;0,OR('Debt strategy'!$D$13&gt;'Debt strategy'!$D$10,AND('Debt strategy'!$D$13='Debt strategy'!$D$10,4&lt;1))),1,0)))</x:f>
        <x:v>99</x:v>
      </x:c>
      <x:c r="M149" s="6" t="n">
        <x:f>IF('Debt strategy'!$C$16&gt;0,0,MIN(I149+J149-K149,MAX(0,'Debt strategy'!$C$5-SUM(E149,K149,Q149,W149,AC149)-SUM(IF(F149&lt;L149,C149+D149-E149,0),IF(R149&lt;L149,O149+P149-Q149,0),IF(X149&lt;L149,U149+V149-W149,0),IF(AD149&lt;L149,AA149+AB149-AC149,0)))))</x:f>
        <x:v>0</x:v>
      </x:c>
      <x:c r="N149" s="6" t="n">
        <x:f>ROUND(MAX(0,I149+J149-K149-M149),2)</x:f>
        <x:v>0</x:v>
      </x:c>
      <x:c r="O149" s="6" t="n">
        <x:f>T148</x:f>
        <x:v>0</x:v>
      </x:c>
      <x:c r="P149" s="6" t="n">
        <x:f>ROUND(O149*'Debt strategy'!$D$11/12,2)</x:f>
        <x:v>0</x:v>
      </x:c>
      <x:c r="Q149" s="6" t="n">
        <x:f>MIN(O149+P149,'Debt strategy'!$E$11)</x:f>
        <x:v>0</x:v>
      </x:c>
      <x:c r="R149" s="27" t="n">
        <x:f>IF(O149+P149-Q149&lt;=0,99,1+SUM(IF(AND(C149+D149-E149&gt;0,OR('Debt strategy'!$D$9&gt;'Debt strategy'!$D$11,AND('Debt strategy'!$D$9='Debt strategy'!$D$11,0&lt;2))),1,0),IF(AND(I149+J149-K149&gt;0,OR('Debt strategy'!$D$10&gt;'Debt strategy'!$D$11,AND('Debt strategy'!$D$10='Debt strategy'!$D$11,1&lt;2))),1,0),IF(AND(U149+V149-W149&gt;0,OR('Debt strategy'!$D$12&gt;'Debt strategy'!$D$11,AND('Debt strategy'!$D$12='Debt strategy'!$D$11,3&lt;2))),1,0),IF(AND(AA149+AB149-AC149&gt;0,OR('Debt strategy'!$D$13&gt;'Debt strategy'!$D$11,AND('Debt strategy'!$D$13='Debt strategy'!$D$11,4&lt;2))),1,0)))</x:f>
        <x:v>99</x:v>
      </x:c>
      <x:c r="S149" s="6" t="n">
        <x:f>IF('Debt strategy'!$C$16&gt;0,0,MIN(O149+P149-Q149,MAX(0,'Debt strategy'!$C$5-SUM(E149,K149,Q149,W149,AC149)-SUM(IF(F149&lt;R149,C149+D149-E149,0),IF(L149&lt;R149,I149+J149-K149,0),IF(X149&lt;R149,U149+V149-W149,0),IF(AD149&lt;R149,AA149+AB149-AC149,0)))))</x:f>
        <x:v>0</x:v>
      </x:c>
      <x:c r="T149" s="6" t="n">
        <x:f>ROUND(MAX(0,O149+P149-Q149-S149),2)</x:f>
        <x:v>0</x:v>
      </x:c>
      <x:c r="U149" s="6" t="n">
        <x:f>Z148</x:f>
        <x:v>0</x:v>
      </x:c>
      <x:c r="V149" s="6" t="n">
        <x:f>ROUND(U149*'Debt strategy'!$D$12/12,2)</x:f>
        <x:v>0</x:v>
      </x:c>
      <x:c r="W149" s="6" t="n">
        <x:f>MIN(U149+V149,'Debt strategy'!$E$12)</x:f>
        <x:v>0</x:v>
      </x:c>
      <x:c r="X149" s="27" t="n">
        <x:f>IF(U149+V149-W149&lt;=0,99,1+SUM(IF(AND(C149+D149-E149&gt;0,OR('Debt strategy'!$D$9&gt;'Debt strategy'!$D$12,AND('Debt strategy'!$D$9='Debt strategy'!$D$12,0&lt;3))),1,0),IF(AND(I149+J149-K149&gt;0,OR('Debt strategy'!$D$10&gt;'Debt strategy'!$D$12,AND('Debt strategy'!$D$10='Debt strategy'!$D$12,1&lt;3))),1,0),IF(AND(O149+P149-Q149&gt;0,OR('Debt strategy'!$D$11&gt;'Debt strategy'!$D$12,AND('Debt strategy'!$D$11='Debt strategy'!$D$12,2&lt;3))),1,0),IF(AND(AA149+AB149-AC149&gt;0,OR('Debt strategy'!$D$13&gt;'Debt strategy'!$D$12,AND('Debt strategy'!$D$13='Debt strategy'!$D$12,4&lt;3))),1,0)))</x:f>
        <x:v>99</x:v>
      </x:c>
      <x:c r="Y149" s="6" t="n">
        <x:f>IF('Debt strategy'!$C$16&gt;0,0,MIN(U149+V149-W149,MAX(0,'Debt strategy'!$C$5-SUM(E149,K149,Q149,W149,AC149)-SUM(IF(F149&lt;X149,C149+D149-E149,0),IF(L149&lt;X149,I149+J149-K149,0),IF(R149&lt;X149,O149+P149-Q149,0),IF(AD149&lt;X149,AA149+AB149-AC149,0)))))</x:f>
        <x:v>0</x:v>
      </x:c>
      <x:c r="Z149" s="6" t="n">
        <x:f>ROUND(MAX(0,U149+V149-W149-Y149),2)</x:f>
        <x:v>0</x:v>
      </x:c>
      <x:c r="AA149" s="6" t="n">
        <x:f>AF148</x:f>
        <x:v>0</x:v>
      </x:c>
      <x:c r="AB149" s="6" t="n">
        <x:f>ROUND(AA149*'Debt strategy'!$D$13/12,2)</x:f>
        <x:v>0</x:v>
      </x:c>
      <x:c r="AC149" s="6" t="n">
        <x:f>MIN(AA149+AB149,'Debt strategy'!$E$13)</x:f>
        <x:v>0</x:v>
      </x:c>
      <x:c r="AD149" s="27" t="n">
        <x:f>IF(AA149+AB149-AC149&lt;=0,99,1+SUM(IF(AND(C149+D149-E149&gt;0,OR('Debt strategy'!$D$9&gt;'Debt strategy'!$D$13,AND('Debt strategy'!$D$9='Debt strategy'!$D$13,0&lt;4))),1,0),IF(AND(I149+J149-K149&gt;0,OR('Debt strategy'!$D$10&gt;'Debt strategy'!$D$13,AND('Debt strategy'!$D$10='Debt strategy'!$D$13,1&lt;4))),1,0),IF(AND(O149+P149-Q149&gt;0,OR('Debt strategy'!$D$11&gt;'Debt strategy'!$D$13,AND('Debt strategy'!$D$11='Debt strategy'!$D$13,2&lt;4))),1,0),IF(AND(U149+V149-W149&gt;0,OR('Debt strategy'!$D$12&gt;'Debt strategy'!$D$13,AND('Debt strategy'!$D$12='Debt strategy'!$D$13,3&lt;4))),1,0)))</x:f>
        <x:v>99</x:v>
      </x:c>
      <x:c r="AE149" s="6" t="n">
        <x:f>IF('Debt strategy'!$C$16&gt;0,0,MIN(AA149+AB149-AC149,MAX(0,'Debt strategy'!$C$5-SUM(E149,K149,Q149,W149,AC149)-SUM(IF(F149&lt;AD149,C149+D149-E149,0),IF(L149&lt;AD149,I149+J149-K149,0),IF(R149&lt;AD149,O149+P149-Q149,0),IF(X149&lt;AD149,U149+V149-W149,0)))))</x:f>
        <x:v>0</x:v>
      </x:c>
      <x:c r="AF149" s="6" t="n">
        <x:f>ROUND(MAX(0,AA149+AB149-AC149-AE149),2)</x:f>
        <x:v>0</x:v>
      </x:c>
      <x:c r="AG149" s="6" t="n">
        <x:f>SUM(H149,N149,T149,Z149,AF149)</x:f>
        <x:v>0</x:v>
      </x:c>
      <x:c r="AH149" s="6" t="n">
        <x:f>SUM(D149,J149,P149,V149,AB149)+AH148</x:f>
        <x:v>1220.8400000000001</x:v>
      </x:c>
      <x:c r="AI149" s="2"/>
    </x:row>
    <x:row r="150" ht="23" customHeight="1">
      <x:c r="B150" s="2" t="n">
        <x:f>142</x:f>
        <x:v>142</x:v>
      </x:c>
      <x:c r="C150" s="6" t="n">
        <x:f>H149</x:f>
        <x:v>0</x:v>
      </x:c>
      <x:c r="D150" s="6" t="n">
        <x:f>ROUND(C150*'Debt strategy'!$D$9/12,2)</x:f>
        <x:v>0</x:v>
      </x:c>
      <x:c r="E150" s="6" t="n">
        <x:f>MIN(C150+D150,'Debt strategy'!$E$9)</x:f>
        <x:v>0</x:v>
      </x:c>
      <x:c r="F150" s="27" t="n">
        <x:f>IF(C150+D150-E150&lt;=0,99,1+SUM(IF(AND(I150+J150-K150&gt;0,OR('Debt strategy'!$D$10&gt;'Debt strategy'!$D$9,AND('Debt strategy'!$D$10='Debt strategy'!$D$9,1&lt;0))),1,0),IF(AND(O150+P150-Q150&gt;0,OR('Debt strategy'!$D$11&gt;'Debt strategy'!$D$9,AND('Debt strategy'!$D$11='Debt strategy'!$D$9,2&lt;0))),1,0),IF(AND(U150+V150-W150&gt;0,OR('Debt strategy'!$D$12&gt;'Debt strategy'!$D$9,AND('Debt strategy'!$D$12='Debt strategy'!$D$9,3&lt;0))),1,0),IF(AND(AA150+AB150-AC150&gt;0,OR('Debt strategy'!$D$13&gt;'Debt strategy'!$D$9,AND('Debt strategy'!$D$13='Debt strategy'!$D$9,4&lt;0))),1,0)))</x:f>
        <x:v>99</x:v>
      </x:c>
      <x:c r="G150" s="6" t="n">
        <x:f>IF('Debt strategy'!$C$16&gt;0,0,MIN(C150+D150-E150,MAX(0,'Debt strategy'!$C$5-SUM(E150,K150,Q150,W150,AC150)-SUM(IF(L150&lt;F150,I150+J150-K150,0),IF(R150&lt;F150,O150+P150-Q150,0),IF(X150&lt;F150,U150+V150-W150,0),IF(AD150&lt;F150,AA150+AB150-AC150,0)))))</x:f>
        <x:v>0</x:v>
      </x:c>
      <x:c r="H150" s="6" t="n">
        <x:f>ROUND(MAX(0,C150+D150-E150-G150),2)</x:f>
        <x:v>0</x:v>
      </x:c>
      <x:c r="I150" s="6" t="n">
        <x:f>N149</x:f>
        <x:v>0</x:v>
      </x:c>
      <x:c r="J150" s="6" t="n">
        <x:f>ROUND(I150*'Debt strategy'!$D$10/12,2)</x:f>
        <x:v>0</x:v>
      </x:c>
      <x:c r="K150" s="6" t="n">
        <x:f>MIN(I150+J150,'Debt strategy'!$E$10)</x:f>
        <x:v>0</x:v>
      </x:c>
      <x:c r="L150" s="27" t="n">
        <x:f>IF(I150+J150-K150&lt;=0,99,1+SUM(IF(AND(C150+D150-E150&gt;0,OR('Debt strategy'!$D$9&gt;'Debt strategy'!$D$10,AND('Debt strategy'!$D$9='Debt strategy'!$D$10,0&lt;1))),1,0),IF(AND(O150+P150-Q150&gt;0,OR('Debt strategy'!$D$11&gt;'Debt strategy'!$D$10,AND('Debt strategy'!$D$11='Debt strategy'!$D$10,2&lt;1))),1,0),IF(AND(U150+V150-W150&gt;0,OR('Debt strategy'!$D$12&gt;'Debt strategy'!$D$10,AND('Debt strategy'!$D$12='Debt strategy'!$D$10,3&lt;1))),1,0),IF(AND(AA150+AB150-AC150&gt;0,OR('Debt strategy'!$D$13&gt;'Debt strategy'!$D$10,AND('Debt strategy'!$D$13='Debt strategy'!$D$10,4&lt;1))),1,0)))</x:f>
        <x:v>99</x:v>
      </x:c>
      <x:c r="M150" s="6" t="n">
        <x:f>IF('Debt strategy'!$C$16&gt;0,0,MIN(I150+J150-K150,MAX(0,'Debt strategy'!$C$5-SUM(E150,K150,Q150,W150,AC150)-SUM(IF(F150&lt;L150,C150+D150-E150,0),IF(R150&lt;L150,O150+P150-Q150,0),IF(X150&lt;L150,U150+V150-W150,0),IF(AD150&lt;L150,AA150+AB150-AC150,0)))))</x:f>
        <x:v>0</x:v>
      </x:c>
      <x:c r="N150" s="6" t="n">
        <x:f>ROUND(MAX(0,I150+J150-K150-M150),2)</x:f>
        <x:v>0</x:v>
      </x:c>
      <x:c r="O150" s="6" t="n">
        <x:f>T149</x:f>
        <x:v>0</x:v>
      </x:c>
      <x:c r="P150" s="6" t="n">
        <x:f>ROUND(O150*'Debt strategy'!$D$11/12,2)</x:f>
        <x:v>0</x:v>
      </x:c>
      <x:c r="Q150" s="6" t="n">
        <x:f>MIN(O150+P150,'Debt strategy'!$E$11)</x:f>
        <x:v>0</x:v>
      </x:c>
      <x:c r="R150" s="27" t="n">
        <x:f>IF(O150+P150-Q150&lt;=0,99,1+SUM(IF(AND(C150+D150-E150&gt;0,OR('Debt strategy'!$D$9&gt;'Debt strategy'!$D$11,AND('Debt strategy'!$D$9='Debt strategy'!$D$11,0&lt;2))),1,0),IF(AND(I150+J150-K150&gt;0,OR('Debt strategy'!$D$10&gt;'Debt strategy'!$D$11,AND('Debt strategy'!$D$10='Debt strategy'!$D$11,1&lt;2))),1,0),IF(AND(U150+V150-W150&gt;0,OR('Debt strategy'!$D$12&gt;'Debt strategy'!$D$11,AND('Debt strategy'!$D$12='Debt strategy'!$D$11,3&lt;2))),1,0),IF(AND(AA150+AB150-AC150&gt;0,OR('Debt strategy'!$D$13&gt;'Debt strategy'!$D$11,AND('Debt strategy'!$D$13='Debt strategy'!$D$11,4&lt;2))),1,0)))</x:f>
        <x:v>99</x:v>
      </x:c>
      <x:c r="S150" s="6" t="n">
        <x:f>IF('Debt strategy'!$C$16&gt;0,0,MIN(O150+P150-Q150,MAX(0,'Debt strategy'!$C$5-SUM(E150,K150,Q150,W150,AC150)-SUM(IF(F150&lt;R150,C150+D150-E150,0),IF(L150&lt;R150,I150+J150-K150,0),IF(X150&lt;R150,U150+V150-W150,0),IF(AD150&lt;R150,AA150+AB150-AC150,0)))))</x:f>
        <x:v>0</x:v>
      </x:c>
      <x:c r="T150" s="6" t="n">
        <x:f>ROUND(MAX(0,O150+P150-Q150-S150),2)</x:f>
        <x:v>0</x:v>
      </x:c>
      <x:c r="U150" s="6" t="n">
        <x:f>Z149</x:f>
        <x:v>0</x:v>
      </x:c>
      <x:c r="V150" s="6" t="n">
        <x:f>ROUND(U150*'Debt strategy'!$D$12/12,2)</x:f>
        <x:v>0</x:v>
      </x:c>
      <x:c r="W150" s="6" t="n">
        <x:f>MIN(U150+V150,'Debt strategy'!$E$12)</x:f>
        <x:v>0</x:v>
      </x:c>
      <x:c r="X150" s="27" t="n">
        <x:f>IF(U150+V150-W150&lt;=0,99,1+SUM(IF(AND(C150+D150-E150&gt;0,OR('Debt strategy'!$D$9&gt;'Debt strategy'!$D$12,AND('Debt strategy'!$D$9='Debt strategy'!$D$12,0&lt;3))),1,0),IF(AND(I150+J150-K150&gt;0,OR('Debt strategy'!$D$10&gt;'Debt strategy'!$D$12,AND('Debt strategy'!$D$10='Debt strategy'!$D$12,1&lt;3))),1,0),IF(AND(O150+P150-Q150&gt;0,OR('Debt strategy'!$D$11&gt;'Debt strategy'!$D$12,AND('Debt strategy'!$D$11='Debt strategy'!$D$12,2&lt;3))),1,0),IF(AND(AA150+AB150-AC150&gt;0,OR('Debt strategy'!$D$13&gt;'Debt strategy'!$D$12,AND('Debt strategy'!$D$13='Debt strategy'!$D$12,4&lt;3))),1,0)))</x:f>
        <x:v>99</x:v>
      </x:c>
      <x:c r="Y150" s="6" t="n">
        <x:f>IF('Debt strategy'!$C$16&gt;0,0,MIN(U150+V150-W150,MAX(0,'Debt strategy'!$C$5-SUM(E150,K150,Q150,W150,AC150)-SUM(IF(F150&lt;X150,C150+D150-E150,0),IF(L150&lt;X150,I150+J150-K150,0),IF(R150&lt;X150,O150+P150-Q150,0),IF(AD150&lt;X150,AA150+AB150-AC150,0)))))</x:f>
        <x:v>0</x:v>
      </x:c>
      <x:c r="Z150" s="6" t="n">
        <x:f>ROUND(MAX(0,U150+V150-W150-Y150),2)</x:f>
        <x:v>0</x:v>
      </x:c>
      <x:c r="AA150" s="6" t="n">
        <x:f>AF149</x:f>
        <x:v>0</x:v>
      </x:c>
      <x:c r="AB150" s="6" t="n">
        <x:f>ROUND(AA150*'Debt strategy'!$D$13/12,2)</x:f>
        <x:v>0</x:v>
      </x:c>
      <x:c r="AC150" s="6" t="n">
        <x:f>MIN(AA150+AB150,'Debt strategy'!$E$13)</x:f>
        <x:v>0</x:v>
      </x:c>
      <x:c r="AD150" s="27" t="n">
        <x:f>IF(AA150+AB150-AC150&lt;=0,99,1+SUM(IF(AND(C150+D150-E150&gt;0,OR('Debt strategy'!$D$9&gt;'Debt strategy'!$D$13,AND('Debt strategy'!$D$9='Debt strategy'!$D$13,0&lt;4))),1,0),IF(AND(I150+J150-K150&gt;0,OR('Debt strategy'!$D$10&gt;'Debt strategy'!$D$13,AND('Debt strategy'!$D$10='Debt strategy'!$D$13,1&lt;4))),1,0),IF(AND(O150+P150-Q150&gt;0,OR('Debt strategy'!$D$11&gt;'Debt strategy'!$D$13,AND('Debt strategy'!$D$11='Debt strategy'!$D$13,2&lt;4))),1,0),IF(AND(U150+V150-W150&gt;0,OR('Debt strategy'!$D$12&gt;'Debt strategy'!$D$13,AND('Debt strategy'!$D$12='Debt strategy'!$D$13,3&lt;4))),1,0)))</x:f>
        <x:v>99</x:v>
      </x:c>
      <x:c r="AE150" s="6" t="n">
        <x:f>IF('Debt strategy'!$C$16&gt;0,0,MIN(AA150+AB150-AC150,MAX(0,'Debt strategy'!$C$5-SUM(E150,K150,Q150,W150,AC150)-SUM(IF(F150&lt;AD150,C150+D150-E150,0),IF(L150&lt;AD150,I150+J150-K150,0),IF(R150&lt;AD150,O150+P150-Q150,0),IF(X150&lt;AD150,U150+V150-W150,0)))))</x:f>
        <x:v>0</x:v>
      </x:c>
      <x:c r="AF150" s="6" t="n">
        <x:f>ROUND(MAX(0,AA150+AB150-AC150-AE150),2)</x:f>
        <x:v>0</x:v>
      </x:c>
      <x:c r="AG150" s="6" t="n">
        <x:f>SUM(H150,N150,T150,Z150,AF150)</x:f>
        <x:v>0</x:v>
      </x:c>
      <x:c r="AH150" s="6" t="n">
        <x:f>SUM(D150,J150,P150,V150,AB150)+AH149</x:f>
        <x:v>1220.8400000000001</x:v>
      </x:c>
      <x:c r="AI150" s="2"/>
    </x:row>
    <x:row r="151" ht="23" customHeight="1">
      <x:c r="B151" s="2" t="n">
        <x:f>143</x:f>
        <x:v>143</x:v>
      </x:c>
      <x:c r="C151" s="6" t="n">
        <x:f>H150</x:f>
        <x:v>0</x:v>
      </x:c>
      <x:c r="D151" s="6" t="n">
        <x:f>ROUND(C151*'Debt strategy'!$D$9/12,2)</x:f>
        <x:v>0</x:v>
      </x:c>
      <x:c r="E151" s="6" t="n">
        <x:f>MIN(C151+D151,'Debt strategy'!$E$9)</x:f>
        <x:v>0</x:v>
      </x:c>
      <x:c r="F151" s="27" t="n">
        <x:f>IF(C151+D151-E151&lt;=0,99,1+SUM(IF(AND(I151+J151-K151&gt;0,OR('Debt strategy'!$D$10&gt;'Debt strategy'!$D$9,AND('Debt strategy'!$D$10='Debt strategy'!$D$9,1&lt;0))),1,0),IF(AND(O151+P151-Q151&gt;0,OR('Debt strategy'!$D$11&gt;'Debt strategy'!$D$9,AND('Debt strategy'!$D$11='Debt strategy'!$D$9,2&lt;0))),1,0),IF(AND(U151+V151-W151&gt;0,OR('Debt strategy'!$D$12&gt;'Debt strategy'!$D$9,AND('Debt strategy'!$D$12='Debt strategy'!$D$9,3&lt;0))),1,0),IF(AND(AA151+AB151-AC151&gt;0,OR('Debt strategy'!$D$13&gt;'Debt strategy'!$D$9,AND('Debt strategy'!$D$13='Debt strategy'!$D$9,4&lt;0))),1,0)))</x:f>
        <x:v>99</x:v>
      </x:c>
      <x:c r="G151" s="6" t="n">
        <x:f>IF('Debt strategy'!$C$16&gt;0,0,MIN(C151+D151-E151,MAX(0,'Debt strategy'!$C$5-SUM(E151,K151,Q151,W151,AC151)-SUM(IF(L151&lt;F151,I151+J151-K151,0),IF(R151&lt;F151,O151+P151-Q151,0),IF(X151&lt;F151,U151+V151-W151,0),IF(AD151&lt;F151,AA151+AB151-AC151,0)))))</x:f>
        <x:v>0</x:v>
      </x:c>
      <x:c r="H151" s="6" t="n">
        <x:f>ROUND(MAX(0,C151+D151-E151-G151),2)</x:f>
        <x:v>0</x:v>
      </x:c>
      <x:c r="I151" s="6" t="n">
        <x:f>N150</x:f>
        <x:v>0</x:v>
      </x:c>
      <x:c r="J151" s="6" t="n">
        <x:f>ROUND(I151*'Debt strategy'!$D$10/12,2)</x:f>
        <x:v>0</x:v>
      </x:c>
      <x:c r="K151" s="6" t="n">
        <x:f>MIN(I151+J151,'Debt strategy'!$E$10)</x:f>
        <x:v>0</x:v>
      </x:c>
      <x:c r="L151" s="27" t="n">
        <x:f>IF(I151+J151-K151&lt;=0,99,1+SUM(IF(AND(C151+D151-E151&gt;0,OR('Debt strategy'!$D$9&gt;'Debt strategy'!$D$10,AND('Debt strategy'!$D$9='Debt strategy'!$D$10,0&lt;1))),1,0),IF(AND(O151+P151-Q151&gt;0,OR('Debt strategy'!$D$11&gt;'Debt strategy'!$D$10,AND('Debt strategy'!$D$11='Debt strategy'!$D$10,2&lt;1))),1,0),IF(AND(U151+V151-W151&gt;0,OR('Debt strategy'!$D$12&gt;'Debt strategy'!$D$10,AND('Debt strategy'!$D$12='Debt strategy'!$D$10,3&lt;1))),1,0),IF(AND(AA151+AB151-AC151&gt;0,OR('Debt strategy'!$D$13&gt;'Debt strategy'!$D$10,AND('Debt strategy'!$D$13='Debt strategy'!$D$10,4&lt;1))),1,0)))</x:f>
        <x:v>99</x:v>
      </x:c>
      <x:c r="M151" s="6" t="n">
        <x:f>IF('Debt strategy'!$C$16&gt;0,0,MIN(I151+J151-K151,MAX(0,'Debt strategy'!$C$5-SUM(E151,K151,Q151,W151,AC151)-SUM(IF(F151&lt;L151,C151+D151-E151,0),IF(R151&lt;L151,O151+P151-Q151,0),IF(X151&lt;L151,U151+V151-W151,0),IF(AD151&lt;L151,AA151+AB151-AC151,0)))))</x:f>
        <x:v>0</x:v>
      </x:c>
      <x:c r="N151" s="6" t="n">
        <x:f>ROUND(MAX(0,I151+J151-K151-M151),2)</x:f>
        <x:v>0</x:v>
      </x:c>
      <x:c r="O151" s="6" t="n">
        <x:f>T150</x:f>
        <x:v>0</x:v>
      </x:c>
      <x:c r="P151" s="6" t="n">
        <x:f>ROUND(O151*'Debt strategy'!$D$11/12,2)</x:f>
        <x:v>0</x:v>
      </x:c>
      <x:c r="Q151" s="6" t="n">
        <x:f>MIN(O151+P151,'Debt strategy'!$E$11)</x:f>
        <x:v>0</x:v>
      </x:c>
      <x:c r="R151" s="27" t="n">
        <x:f>IF(O151+P151-Q151&lt;=0,99,1+SUM(IF(AND(C151+D151-E151&gt;0,OR('Debt strategy'!$D$9&gt;'Debt strategy'!$D$11,AND('Debt strategy'!$D$9='Debt strategy'!$D$11,0&lt;2))),1,0),IF(AND(I151+J151-K151&gt;0,OR('Debt strategy'!$D$10&gt;'Debt strategy'!$D$11,AND('Debt strategy'!$D$10='Debt strategy'!$D$11,1&lt;2))),1,0),IF(AND(U151+V151-W151&gt;0,OR('Debt strategy'!$D$12&gt;'Debt strategy'!$D$11,AND('Debt strategy'!$D$12='Debt strategy'!$D$11,3&lt;2))),1,0),IF(AND(AA151+AB151-AC151&gt;0,OR('Debt strategy'!$D$13&gt;'Debt strategy'!$D$11,AND('Debt strategy'!$D$13='Debt strategy'!$D$11,4&lt;2))),1,0)))</x:f>
        <x:v>99</x:v>
      </x:c>
      <x:c r="S151" s="6" t="n">
        <x:f>IF('Debt strategy'!$C$16&gt;0,0,MIN(O151+P151-Q151,MAX(0,'Debt strategy'!$C$5-SUM(E151,K151,Q151,W151,AC151)-SUM(IF(F151&lt;R151,C151+D151-E151,0),IF(L151&lt;R151,I151+J151-K151,0),IF(X151&lt;R151,U151+V151-W151,0),IF(AD151&lt;R151,AA151+AB151-AC151,0)))))</x:f>
        <x:v>0</x:v>
      </x:c>
      <x:c r="T151" s="6" t="n">
        <x:f>ROUND(MAX(0,O151+P151-Q151-S151),2)</x:f>
        <x:v>0</x:v>
      </x:c>
      <x:c r="U151" s="6" t="n">
        <x:f>Z150</x:f>
        <x:v>0</x:v>
      </x:c>
      <x:c r="V151" s="6" t="n">
        <x:f>ROUND(U151*'Debt strategy'!$D$12/12,2)</x:f>
        <x:v>0</x:v>
      </x:c>
      <x:c r="W151" s="6" t="n">
        <x:f>MIN(U151+V151,'Debt strategy'!$E$12)</x:f>
        <x:v>0</x:v>
      </x:c>
      <x:c r="X151" s="27" t="n">
        <x:f>IF(U151+V151-W151&lt;=0,99,1+SUM(IF(AND(C151+D151-E151&gt;0,OR('Debt strategy'!$D$9&gt;'Debt strategy'!$D$12,AND('Debt strategy'!$D$9='Debt strategy'!$D$12,0&lt;3))),1,0),IF(AND(I151+J151-K151&gt;0,OR('Debt strategy'!$D$10&gt;'Debt strategy'!$D$12,AND('Debt strategy'!$D$10='Debt strategy'!$D$12,1&lt;3))),1,0),IF(AND(O151+P151-Q151&gt;0,OR('Debt strategy'!$D$11&gt;'Debt strategy'!$D$12,AND('Debt strategy'!$D$11='Debt strategy'!$D$12,2&lt;3))),1,0),IF(AND(AA151+AB151-AC151&gt;0,OR('Debt strategy'!$D$13&gt;'Debt strategy'!$D$12,AND('Debt strategy'!$D$13='Debt strategy'!$D$12,4&lt;3))),1,0)))</x:f>
        <x:v>99</x:v>
      </x:c>
      <x:c r="Y151" s="6" t="n">
        <x:f>IF('Debt strategy'!$C$16&gt;0,0,MIN(U151+V151-W151,MAX(0,'Debt strategy'!$C$5-SUM(E151,K151,Q151,W151,AC151)-SUM(IF(F151&lt;X151,C151+D151-E151,0),IF(L151&lt;X151,I151+J151-K151,0),IF(R151&lt;X151,O151+P151-Q151,0),IF(AD151&lt;X151,AA151+AB151-AC151,0)))))</x:f>
        <x:v>0</x:v>
      </x:c>
      <x:c r="Z151" s="6" t="n">
        <x:f>ROUND(MAX(0,U151+V151-W151-Y151),2)</x:f>
        <x:v>0</x:v>
      </x:c>
      <x:c r="AA151" s="6" t="n">
        <x:f>AF150</x:f>
        <x:v>0</x:v>
      </x:c>
      <x:c r="AB151" s="6" t="n">
        <x:f>ROUND(AA151*'Debt strategy'!$D$13/12,2)</x:f>
        <x:v>0</x:v>
      </x:c>
      <x:c r="AC151" s="6" t="n">
        <x:f>MIN(AA151+AB151,'Debt strategy'!$E$13)</x:f>
        <x:v>0</x:v>
      </x:c>
      <x:c r="AD151" s="27" t="n">
        <x:f>IF(AA151+AB151-AC151&lt;=0,99,1+SUM(IF(AND(C151+D151-E151&gt;0,OR('Debt strategy'!$D$9&gt;'Debt strategy'!$D$13,AND('Debt strategy'!$D$9='Debt strategy'!$D$13,0&lt;4))),1,0),IF(AND(I151+J151-K151&gt;0,OR('Debt strategy'!$D$10&gt;'Debt strategy'!$D$13,AND('Debt strategy'!$D$10='Debt strategy'!$D$13,1&lt;4))),1,0),IF(AND(O151+P151-Q151&gt;0,OR('Debt strategy'!$D$11&gt;'Debt strategy'!$D$13,AND('Debt strategy'!$D$11='Debt strategy'!$D$13,2&lt;4))),1,0),IF(AND(U151+V151-W151&gt;0,OR('Debt strategy'!$D$12&gt;'Debt strategy'!$D$13,AND('Debt strategy'!$D$12='Debt strategy'!$D$13,3&lt;4))),1,0)))</x:f>
        <x:v>99</x:v>
      </x:c>
      <x:c r="AE151" s="6" t="n">
        <x:f>IF('Debt strategy'!$C$16&gt;0,0,MIN(AA151+AB151-AC151,MAX(0,'Debt strategy'!$C$5-SUM(E151,K151,Q151,W151,AC151)-SUM(IF(F151&lt;AD151,C151+D151-E151,0),IF(L151&lt;AD151,I151+J151-K151,0),IF(R151&lt;AD151,O151+P151-Q151,0),IF(X151&lt;AD151,U151+V151-W151,0)))))</x:f>
        <x:v>0</x:v>
      </x:c>
      <x:c r="AF151" s="6" t="n">
        <x:f>ROUND(MAX(0,AA151+AB151-AC151-AE151),2)</x:f>
        <x:v>0</x:v>
      </x:c>
      <x:c r="AG151" s="6" t="n">
        <x:f>SUM(H151,N151,T151,Z151,AF151)</x:f>
        <x:v>0</x:v>
      </x:c>
      <x:c r="AH151" s="6" t="n">
        <x:f>SUM(D151,J151,P151,V151,AB151)+AH150</x:f>
        <x:v>1220.8400000000001</x:v>
      </x:c>
      <x:c r="AI151" s="2"/>
    </x:row>
    <x:row r="152" ht="23" customHeight="1">
      <x:c r="B152" s="2" t="n">
        <x:f>144</x:f>
        <x:v>144</x:v>
      </x:c>
      <x:c r="C152" s="6" t="n">
        <x:f>H151</x:f>
        <x:v>0</x:v>
      </x:c>
      <x:c r="D152" s="6" t="n">
        <x:f>ROUND(C152*'Debt strategy'!$D$9/12,2)</x:f>
        <x:v>0</x:v>
      </x:c>
      <x:c r="E152" s="6" t="n">
        <x:f>MIN(C152+D152,'Debt strategy'!$E$9)</x:f>
        <x:v>0</x:v>
      </x:c>
      <x:c r="F152" s="27" t="n">
        <x:f>IF(C152+D152-E152&lt;=0,99,1+SUM(IF(AND(I152+J152-K152&gt;0,OR('Debt strategy'!$D$10&gt;'Debt strategy'!$D$9,AND('Debt strategy'!$D$10='Debt strategy'!$D$9,1&lt;0))),1,0),IF(AND(O152+P152-Q152&gt;0,OR('Debt strategy'!$D$11&gt;'Debt strategy'!$D$9,AND('Debt strategy'!$D$11='Debt strategy'!$D$9,2&lt;0))),1,0),IF(AND(U152+V152-W152&gt;0,OR('Debt strategy'!$D$12&gt;'Debt strategy'!$D$9,AND('Debt strategy'!$D$12='Debt strategy'!$D$9,3&lt;0))),1,0),IF(AND(AA152+AB152-AC152&gt;0,OR('Debt strategy'!$D$13&gt;'Debt strategy'!$D$9,AND('Debt strategy'!$D$13='Debt strategy'!$D$9,4&lt;0))),1,0)))</x:f>
        <x:v>99</x:v>
      </x:c>
      <x:c r="G152" s="6" t="n">
        <x:f>IF('Debt strategy'!$C$16&gt;0,0,MIN(C152+D152-E152,MAX(0,'Debt strategy'!$C$5-SUM(E152,K152,Q152,W152,AC152)-SUM(IF(L152&lt;F152,I152+J152-K152,0),IF(R152&lt;F152,O152+P152-Q152,0),IF(X152&lt;F152,U152+V152-W152,0),IF(AD152&lt;F152,AA152+AB152-AC152,0)))))</x:f>
        <x:v>0</x:v>
      </x:c>
      <x:c r="H152" s="6" t="n">
        <x:f>ROUND(MAX(0,C152+D152-E152-G152),2)</x:f>
        <x:v>0</x:v>
      </x:c>
      <x:c r="I152" s="6" t="n">
        <x:f>N151</x:f>
        <x:v>0</x:v>
      </x:c>
      <x:c r="J152" s="6" t="n">
        <x:f>ROUND(I152*'Debt strategy'!$D$10/12,2)</x:f>
        <x:v>0</x:v>
      </x:c>
      <x:c r="K152" s="6" t="n">
        <x:f>MIN(I152+J152,'Debt strategy'!$E$10)</x:f>
        <x:v>0</x:v>
      </x:c>
      <x:c r="L152" s="27" t="n">
        <x:f>IF(I152+J152-K152&lt;=0,99,1+SUM(IF(AND(C152+D152-E152&gt;0,OR('Debt strategy'!$D$9&gt;'Debt strategy'!$D$10,AND('Debt strategy'!$D$9='Debt strategy'!$D$10,0&lt;1))),1,0),IF(AND(O152+P152-Q152&gt;0,OR('Debt strategy'!$D$11&gt;'Debt strategy'!$D$10,AND('Debt strategy'!$D$11='Debt strategy'!$D$10,2&lt;1))),1,0),IF(AND(U152+V152-W152&gt;0,OR('Debt strategy'!$D$12&gt;'Debt strategy'!$D$10,AND('Debt strategy'!$D$12='Debt strategy'!$D$10,3&lt;1))),1,0),IF(AND(AA152+AB152-AC152&gt;0,OR('Debt strategy'!$D$13&gt;'Debt strategy'!$D$10,AND('Debt strategy'!$D$13='Debt strategy'!$D$10,4&lt;1))),1,0)))</x:f>
        <x:v>99</x:v>
      </x:c>
      <x:c r="M152" s="6" t="n">
        <x:f>IF('Debt strategy'!$C$16&gt;0,0,MIN(I152+J152-K152,MAX(0,'Debt strategy'!$C$5-SUM(E152,K152,Q152,W152,AC152)-SUM(IF(F152&lt;L152,C152+D152-E152,0),IF(R152&lt;L152,O152+P152-Q152,0),IF(X152&lt;L152,U152+V152-W152,0),IF(AD152&lt;L152,AA152+AB152-AC152,0)))))</x:f>
        <x:v>0</x:v>
      </x:c>
      <x:c r="N152" s="6" t="n">
        <x:f>ROUND(MAX(0,I152+J152-K152-M152),2)</x:f>
        <x:v>0</x:v>
      </x:c>
      <x:c r="O152" s="6" t="n">
        <x:f>T151</x:f>
        <x:v>0</x:v>
      </x:c>
      <x:c r="P152" s="6" t="n">
        <x:f>ROUND(O152*'Debt strategy'!$D$11/12,2)</x:f>
        <x:v>0</x:v>
      </x:c>
      <x:c r="Q152" s="6" t="n">
        <x:f>MIN(O152+P152,'Debt strategy'!$E$11)</x:f>
        <x:v>0</x:v>
      </x:c>
      <x:c r="R152" s="27" t="n">
        <x:f>IF(O152+P152-Q152&lt;=0,99,1+SUM(IF(AND(C152+D152-E152&gt;0,OR('Debt strategy'!$D$9&gt;'Debt strategy'!$D$11,AND('Debt strategy'!$D$9='Debt strategy'!$D$11,0&lt;2))),1,0),IF(AND(I152+J152-K152&gt;0,OR('Debt strategy'!$D$10&gt;'Debt strategy'!$D$11,AND('Debt strategy'!$D$10='Debt strategy'!$D$11,1&lt;2))),1,0),IF(AND(U152+V152-W152&gt;0,OR('Debt strategy'!$D$12&gt;'Debt strategy'!$D$11,AND('Debt strategy'!$D$12='Debt strategy'!$D$11,3&lt;2))),1,0),IF(AND(AA152+AB152-AC152&gt;0,OR('Debt strategy'!$D$13&gt;'Debt strategy'!$D$11,AND('Debt strategy'!$D$13='Debt strategy'!$D$11,4&lt;2))),1,0)))</x:f>
        <x:v>99</x:v>
      </x:c>
      <x:c r="S152" s="6" t="n">
        <x:f>IF('Debt strategy'!$C$16&gt;0,0,MIN(O152+P152-Q152,MAX(0,'Debt strategy'!$C$5-SUM(E152,K152,Q152,W152,AC152)-SUM(IF(F152&lt;R152,C152+D152-E152,0),IF(L152&lt;R152,I152+J152-K152,0),IF(X152&lt;R152,U152+V152-W152,0),IF(AD152&lt;R152,AA152+AB152-AC152,0)))))</x:f>
        <x:v>0</x:v>
      </x:c>
      <x:c r="T152" s="6" t="n">
        <x:f>ROUND(MAX(0,O152+P152-Q152-S152),2)</x:f>
        <x:v>0</x:v>
      </x:c>
      <x:c r="U152" s="6" t="n">
        <x:f>Z151</x:f>
        <x:v>0</x:v>
      </x:c>
      <x:c r="V152" s="6" t="n">
        <x:f>ROUND(U152*'Debt strategy'!$D$12/12,2)</x:f>
        <x:v>0</x:v>
      </x:c>
      <x:c r="W152" s="6" t="n">
        <x:f>MIN(U152+V152,'Debt strategy'!$E$12)</x:f>
        <x:v>0</x:v>
      </x:c>
      <x:c r="X152" s="27" t="n">
        <x:f>IF(U152+V152-W152&lt;=0,99,1+SUM(IF(AND(C152+D152-E152&gt;0,OR('Debt strategy'!$D$9&gt;'Debt strategy'!$D$12,AND('Debt strategy'!$D$9='Debt strategy'!$D$12,0&lt;3))),1,0),IF(AND(I152+J152-K152&gt;0,OR('Debt strategy'!$D$10&gt;'Debt strategy'!$D$12,AND('Debt strategy'!$D$10='Debt strategy'!$D$12,1&lt;3))),1,0),IF(AND(O152+P152-Q152&gt;0,OR('Debt strategy'!$D$11&gt;'Debt strategy'!$D$12,AND('Debt strategy'!$D$11='Debt strategy'!$D$12,2&lt;3))),1,0),IF(AND(AA152+AB152-AC152&gt;0,OR('Debt strategy'!$D$13&gt;'Debt strategy'!$D$12,AND('Debt strategy'!$D$13='Debt strategy'!$D$12,4&lt;3))),1,0)))</x:f>
        <x:v>99</x:v>
      </x:c>
      <x:c r="Y152" s="6" t="n">
        <x:f>IF('Debt strategy'!$C$16&gt;0,0,MIN(U152+V152-W152,MAX(0,'Debt strategy'!$C$5-SUM(E152,K152,Q152,W152,AC152)-SUM(IF(F152&lt;X152,C152+D152-E152,0),IF(L152&lt;X152,I152+J152-K152,0),IF(R152&lt;X152,O152+P152-Q152,0),IF(AD152&lt;X152,AA152+AB152-AC152,0)))))</x:f>
        <x:v>0</x:v>
      </x:c>
      <x:c r="Z152" s="6" t="n">
        <x:f>ROUND(MAX(0,U152+V152-W152-Y152),2)</x:f>
        <x:v>0</x:v>
      </x:c>
      <x:c r="AA152" s="6" t="n">
        <x:f>AF151</x:f>
        <x:v>0</x:v>
      </x:c>
      <x:c r="AB152" s="6" t="n">
        <x:f>ROUND(AA152*'Debt strategy'!$D$13/12,2)</x:f>
        <x:v>0</x:v>
      </x:c>
      <x:c r="AC152" s="6" t="n">
        <x:f>MIN(AA152+AB152,'Debt strategy'!$E$13)</x:f>
        <x:v>0</x:v>
      </x:c>
      <x:c r="AD152" s="27" t="n">
        <x:f>IF(AA152+AB152-AC152&lt;=0,99,1+SUM(IF(AND(C152+D152-E152&gt;0,OR('Debt strategy'!$D$9&gt;'Debt strategy'!$D$13,AND('Debt strategy'!$D$9='Debt strategy'!$D$13,0&lt;4))),1,0),IF(AND(I152+J152-K152&gt;0,OR('Debt strategy'!$D$10&gt;'Debt strategy'!$D$13,AND('Debt strategy'!$D$10='Debt strategy'!$D$13,1&lt;4))),1,0),IF(AND(O152+P152-Q152&gt;0,OR('Debt strategy'!$D$11&gt;'Debt strategy'!$D$13,AND('Debt strategy'!$D$11='Debt strategy'!$D$13,2&lt;4))),1,0),IF(AND(U152+V152-W152&gt;0,OR('Debt strategy'!$D$12&gt;'Debt strategy'!$D$13,AND('Debt strategy'!$D$12='Debt strategy'!$D$13,3&lt;4))),1,0)))</x:f>
        <x:v>99</x:v>
      </x:c>
      <x:c r="AE152" s="6" t="n">
        <x:f>IF('Debt strategy'!$C$16&gt;0,0,MIN(AA152+AB152-AC152,MAX(0,'Debt strategy'!$C$5-SUM(E152,K152,Q152,W152,AC152)-SUM(IF(F152&lt;AD152,C152+D152-E152,0),IF(L152&lt;AD152,I152+J152-K152,0),IF(R152&lt;AD152,O152+P152-Q152,0),IF(X152&lt;AD152,U152+V152-W152,0)))))</x:f>
        <x:v>0</x:v>
      </x:c>
      <x:c r="AF152" s="6" t="n">
        <x:f>ROUND(MAX(0,AA152+AB152-AC152-AE152),2)</x:f>
        <x:v>0</x:v>
      </x:c>
      <x:c r="AG152" s="6" t="n">
        <x:f>SUM(H152,N152,T152,Z152,AF152)</x:f>
        <x:v>0</x:v>
      </x:c>
      <x:c r="AH152" s="6" t="n">
        <x:f>SUM(D152,J152,P152,V152,AB152)+AH151</x:f>
        <x:v>1220.8400000000001</x:v>
      </x:c>
      <x:c r="AI152" s="2"/>
    </x:row>
    <x:row r="153" ht="23" customHeight="1">
      <x:c r="B153" s="2" t="n">
        <x:f>145</x:f>
        <x:v>145</x:v>
      </x:c>
      <x:c r="C153" s="6" t="n">
        <x:f>H152</x:f>
        <x:v>0</x:v>
      </x:c>
      <x:c r="D153" s="6" t="n">
        <x:f>ROUND(C153*'Debt strategy'!$D$9/12,2)</x:f>
        <x:v>0</x:v>
      </x:c>
      <x:c r="E153" s="6" t="n">
        <x:f>MIN(C153+D153,'Debt strategy'!$E$9)</x:f>
        <x:v>0</x:v>
      </x:c>
      <x:c r="F153" s="27" t="n">
        <x:f>IF(C153+D153-E153&lt;=0,99,1+SUM(IF(AND(I153+J153-K153&gt;0,OR('Debt strategy'!$D$10&gt;'Debt strategy'!$D$9,AND('Debt strategy'!$D$10='Debt strategy'!$D$9,1&lt;0))),1,0),IF(AND(O153+P153-Q153&gt;0,OR('Debt strategy'!$D$11&gt;'Debt strategy'!$D$9,AND('Debt strategy'!$D$11='Debt strategy'!$D$9,2&lt;0))),1,0),IF(AND(U153+V153-W153&gt;0,OR('Debt strategy'!$D$12&gt;'Debt strategy'!$D$9,AND('Debt strategy'!$D$12='Debt strategy'!$D$9,3&lt;0))),1,0),IF(AND(AA153+AB153-AC153&gt;0,OR('Debt strategy'!$D$13&gt;'Debt strategy'!$D$9,AND('Debt strategy'!$D$13='Debt strategy'!$D$9,4&lt;0))),1,0)))</x:f>
        <x:v>99</x:v>
      </x:c>
      <x:c r="G153" s="6" t="n">
        <x:f>IF('Debt strategy'!$C$16&gt;0,0,MIN(C153+D153-E153,MAX(0,'Debt strategy'!$C$5-SUM(E153,K153,Q153,W153,AC153)-SUM(IF(L153&lt;F153,I153+J153-K153,0),IF(R153&lt;F153,O153+P153-Q153,0),IF(X153&lt;F153,U153+V153-W153,0),IF(AD153&lt;F153,AA153+AB153-AC153,0)))))</x:f>
        <x:v>0</x:v>
      </x:c>
      <x:c r="H153" s="6" t="n">
        <x:f>ROUND(MAX(0,C153+D153-E153-G153),2)</x:f>
        <x:v>0</x:v>
      </x:c>
      <x:c r="I153" s="6" t="n">
        <x:f>N152</x:f>
        <x:v>0</x:v>
      </x:c>
      <x:c r="J153" s="6" t="n">
        <x:f>ROUND(I153*'Debt strategy'!$D$10/12,2)</x:f>
        <x:v>0</x:v>
      </x:c>
      <x:c r="K153" s="6" t="n">
        <x:f>MIN(I153+J153,'Debt strategy'!$E$10)</x:f>
        <x:v>0</x:v>
      </x:c>
      <x:c r="L153" s="27" t="n">
        <x:f>IF(I153+J153-K153&lt;=0,99,1+SUM(IF(AND(C153+D153-E153&gt;0,OR('Debt strategy'!$D$9&gt;'Debt strategy'!$D$10,AND('Debt strategy'!$D$9='Debt strategy'!$D$10,0&lt;1))),1,0),IF(AND(O153+P153-Q153&gt;0,OR('Debt strategy'!$D$11&gt;'Debt strategy'!$D$10,AND('Debt strategy'!$D$11='Debt strategy'!$D$10,2&lt;1))),1,0),IF(AND(U153+V153-W153&gt;0,OR('Debt strategy'!$D$12&gt;'Debt strategy'!$D$10,AND('Debt strategy'!$D$12='Debt strategy'!$D$10,3&lt;1))),1,0),IF(AND(AA153+AB153-AC153&gt;0,OR('Debt strategy'!$D$13&gt;'Debt strategy'!$D$10,AND('Debt strategy'!$D$13='Debt strategy'!$D$10,4&lt;1))),1,0)))</x:f>
        <x:v>99</x:v>
      </x:c>
      <x:c r="M153" s="6" t="n">
        <x:f>IF('Debt strategy'!$C$16&gt;0,0,MIN(I153+J153-K153,MAX(0,'Debt strategy'!$C$5-SUM(E153,K153,Q153,W153,AC153)-SUM(IF(F153&lt;L153,C153+D153-E153,0),IF(R153&lt;L153,O153+P153-Q153,0),IF(X153&lt;L153,U153+V153-W153,0),IF(AD153&lt;L153,AA153+AB153-AC153,0)))))</x:f>
        <x:v>0</x:v>
      </x:c>
      <x:c r="N153" s="6" t="n">
        <x:f>ROUND(MAX(0,I153+J153-K153-M153),2)</x:f>
        <x:v>0</x:v>
      </x:c>
      <x:c r="O153" s="6" t="n">
        <x:f>T152</x:f>
        <x:v>0</x:v>
      </x:c>
      <x:c r="P153" s="6" t="n">
        <x:f>ROUND(O153*'Debt strategy'!$D$11/12,2)</x:f>
        <x:v>0</x:v>
      </x:c>
      <x:c r="Q153" s="6" t="n">
        <x:f>MIN(O153+P153,'Debt strategy'!$E$11)</x:f>
        <x:v>0</x:v>
      </x:c>
      <x:c r="R153" s="27" t="n">
        <x:f>IF(O153+P153-Q153&lt;=0,99,1+SUM(IF(AND(C153+D153-E153&gt;0,OR('Debt strategy'!$D$9&gt;'Debt strategy'!$D$11,AND('Debt strategy'!$D$9='Debt strategy'!$D$11,0&lt;2))),1,0),IF(AND(I153+J153-K153&gt;0,OR('Debt strategy'!$D$10&gt;'Debt strategy'!$D$11,AND('Debt strategy'!$D$10='Debt strategy'!$D$11,1&lt;2))),1,0),IF(AND(U153+V153-W153&gt;0,OR('Debt strategy'!$D$12&gt;'Debt strategy'!$D$11,AND('Debt strategy'!$D$12='Debt strategy'!$D$11,3&lt;2))),1,0),IF(AND(AA153+AB153-AC153&gt;0,OR('Debt strategy'!$D$13&gt;'Debt strategy'!$D$11,AND('Debt strategy'!$D$13='Debt strategy'!$D$11,4&lt;2))),1,0)))</x:f>
        <x:v>99</x:v>
      </x:c>
      <x:c r="S153" s="6" t="n">
        <x:f>IF('Debt strategy'!$C$16&gt;0,0,MIN(O153+P153-Q153,MAX(0,'Debt strategy'!$C$5-SUM(E153,K153,Q153,W153,AC153)-SUM(IF(F153&lt;R153,C153+D153-E153,0),IF(L153&lt;R153,I153+J153-K153,0),IF(X153&lt;R153,U153+V153-W153,0),IF(AD153&lt;R153,AA153+AB153-AC153,0)))))</x:f>
        <x:v>0</x:v>
      </x:c>
      <x:c r="T153" s="6" t="n">
        <x:f>ROUND(MAX(0,O153+P153-Q153-S153),2)</x:f>
        <x:v>0</x:v>
      </x:c>
      <x:c r="U153" s="6" t="n">
        <x:f>Z152</x:f>
        <x:v>0</x:v>
      </x:c>
      <x:c r="V153" s="6" t="n">
        <x:f>ROUND(U153*'Debt strategy'!$D$12/12,2)</x:f>
        <x:v>0</x:v>
      </x:c>
      <x:c r="W153" s="6" t="n">
        <x:f>MIN(U153+V153,'Debt strategy'!$E$12)</x:f>
        <x:v>0</x:v>
      </x:c>
      <x:c r="X153" s="27" t="n">
        <x:f>IF(U153+V153-W153&lt;=0,99,1+SUM(IF(AND(C153+D153-E153&gt;0,OR('Debt strategy'!$D$9&gt;'Debt strategy'!$D$12,AND('Debt strategy'!$D$9='Debt strategy'!$D$12,0&lt;3))),1,0),IF(AND(I153+J153-K153&gt;0,OR('Debt strategy'!$D$10&gt;'Debt strategy'!$D$12,AND('Debt strategy'!$D$10='Debt strategy'!$D$12,1&lt;3))),1,0),IF(AND(O153+P153-Q153&gt;0,OR('Debt strategy'!$D$11&gt;'Debt strategy'!$D$12,AND('Debt strategy'!$D$11='Debt strategy'!$D$12,2&lt;3))),1,0),IF(AND(AA153+AB153-AC153&gt;0,OR('Debt strategy'!$D$13&gt;'Debt strategy'!$D$12,AND('Debt strategy'!$D$13='Debt strategy'!$D$12,4&lt;3))),1,0)))</x:f>
        <x:v>99</x:v>
      </x:c>
      <x:c r="Y153" s="6" t="n">
        <x:f>IF('Debt strategy'!$C$16&gt;0,0,MIN(U153+V153-W153,MAX(0,'Debt strategy'!$C$5-SUM(E153,K153,Q153,W153,AC153)-SUM(IF(F153&lt;X153,C153+D153-E153,0),IF(L153&lt;X153,I153+J153-K153,0),IF(R153&lt;X153,O153+P153-Q153,0),IF(AD153&lt;X153,AA153+AB153-AC153,0)))))</x:f>
        <x:v>0</x:v>
      </x:c>
      <x:c r="Z153" s="6" t="n">
        <x:f>ROUND(MAX(0,U153+V153-W153-Y153),2)</x:f>
        <x:v>0</x:v>
      </x:c>
      <x:c r="AA153" s="6" t="n">
        <x:f>AF152</x:f>
        <x:v>0</x:v>
      </x:c>
      <x:c r="AB153" s="6" t="n">
        <x:f>ROUND(AA153*'Debt strategy'!$D$13/12,2)</x:f>
        <x:v>0</x:v>
      </x:c>
      <x:c r="AC153" s="6" t="n">
        <x:f>MIN(AA153+AB153,'Debt strategy'!$E$13)</x:f>
        <x:v>0</x:v>
      </x:c>
      <x:c r="AD153" s="27" t="n">
        <x:f>IF(AA153+AB153-AC153&lt;=0,99,1+SUM(IF(AND(C153+D153-E153&gt;0,OR('Debt strategy'!$D$9&gt;'Debt strategy'!$D$13,AND('Debt strategy'!$D$9='Debt strategy'!$D$13,0&lt;4))),1,0),IF(AND(I153+J153-K153&gt;0,OR('Debt strategy'!$D$10&gt;'Debt strategy'!$D$13,AND('Debt strategy'!$D$10='Debt strategy'!$D$13,1&lt;4))),1,0),IF(AND(O153+P153-Q153&gt;0,OR('Debt strategy'!$D$11&gt;'Debt strategy'!$D$13,AND('Debt strategy'!$D$11='Debt strategy'!$D$13,2&lt;4))),1,0),IF(AND(U153+V153-W153&gt;0,OR('Debt strategy'!$D$12&gt;'Debt strategy'!$D$13,AND('Debt strategy'!$D$12='Debt strategy'!$D$13,3&lt;4))),1,0)))</x:f>
        <x:v>99</x:v>
      </x:c>
      <x:c r="AE153" s="6" t="n">
        <x:f>IF('Debt strategy'!$C$16&gt;0,0,MIN(AA153+AB153-AC153,MAX(0,'Debt strategy'!$C$5-SUM(E153,K153,Q153,W153,AC153)-SUM(IF(F153&lt;AD153,C153+D153-E153,0),IF(L153&lt;AD153,I153+J153-K153,0),IF(R153&lt;AD153,O153+P153-Q153,0),IF(X153&lt;AD153,U153+V153-W153,0)))))</x:f>
        <x:v>0</x:v>
      </x:c>
      <x:c r="AF153" s="6" t="n">
        <x:f>ROUND(MAX(0,AA153+AB153-AC153-AE153),2)</x:f>
        <x:v>0</x:v>
      </x:c>
      <x:c r="AG153" s="6" t="n">
        <x:f>SUM(H153,N153,T153,Z153,AF153)</x:f>
        <x:v>0</x:v>
      </x:c>
      <x:c r="AH153" s="6" t="n">
        <x:f>SUM(D153,J153,P153,V153,AB153)+AH152</x:f>
        <x:v>1220.8400000000001</x:v>
      </x:c>
      <x:c r="AI153" s="2"/>
    </x:row>
    <x:row r="154" ht="23" customHeight="1">
      <x:c r="B154" s="2" t="n">
        <x:f>146</x:f>
        <x:v>146</x:v>
      </x:c>
      <x:c r="C154" s="6" t="n">
        <x:f>H153</x:f>
        <x:v>0</x:v>
      </x:c>
      <x:c r="D154" s="6" t="n">
        <x:f>ROUND(C154*'Debt strategy'!$D$9/12,2)</x:f>
        <x:v>0</x:v>
      </x:c>
      <x:c r="E154" s="6" t="n">
        <x:f>MIN(C154+D154,'Debt strategy'!$E$9)</x:f>
        <x:v>0</x:v>
      </x:c>
      <x:c r="F154" s="27" t="n">
        <x:f>IF(C154+D154-E154&lt;=0,99,1+SUM(IF(AND(I154+J154-K154&gt;0,OR('Debt strategy'!$D$10&gt;'Debt strategy'!$D$9,AND('Debt strategy'!$D$10='Debt strategy'!$D$9,1&lt;0))),1,0),IF(AND(O154+P154-Q154&gt;0,OR('Debt strategy'!$D$11&gt;'Debt strategy'!$D$9,AND('Debt strategy'!$D$11='Debt strategy'!$D$9,2&lt;0))),1,0),IF(AND(U154+V154-W154&gt;0,OR('Debt strategy'!$D$12&gt;'Debt strategy'!$D$9,AND('Debt strategy'!$D$12='Debt strategy'!$D$9,3&lt;0))),1,0),IF(AND(AA154+AB154-AC154&gt;0,OR('Debt strategy'!$D$13&gt;'Debt strategy'!$D$9,AND('Debt strategy'!$D$13='Debt strategy'!$D$9,4&lt;0))),1,0)))</x:f>
        <x:v>99</x:v>
      </x:c>
      <x:c r="G154" s="6" t="n">
        <x:f>IF('Debt strategy'!$C$16&gt;0,0,MIN(C154+D154-E154,MAX(0,'Debt strategy'!$C$5-SUM(E154,K154,Q154,W154,AC154)-SUM(IF(L154&lt;F154,I154+J154-K154,0),IF(R154&lt;F154,O154+P154-Q154,0),IF(X154&lt;F154,U154+V154-W154,0),IF(AD154&lt;F154,AA154+AB154-AC154,0)))))</x:f>
        <x:v>0</x:v>
      </x:c>
      <x:c r="H154" s="6" t="n">
        <x:f>ROUND(MAX(0,C154+D154-E154-G154),2)</x:f>
        <x:v>0</x:v>
      </x:c>
      <x:c r="I154" s="6" t="n">
        <x:f>N153</x:f>
        <x:v>0</x:v>
      </x:c>
      <x:c r="J154" s="6" t="n">
        <x:f>ROUND(I154*'Debt strategy'!$D$10/12,2)</x:f>
        <x:v>0</x:v>
      </x:c>
      <x:c r="K154" s="6" t="n">
        <x:f>MIN(I154+J154,'Debt strategy'!$E$10)</x:f>
        <x:v>0</x:v>
      </x:c>
      <x:c r="L154" s="27" t="n">
        <x:f>IF(I154+J154-K154&lt;=0,99,1+SUM(IF(AND(C154+D154-E154&gt;0,OR('Debt strategy'!$D$9&gt;'Debt strategy'!$D$10,AND('Debt strategy'!$D$9='Debt strategy'!$D$10,0&lt;1))),1,0),IF(AND(O154+P154-Q154&gt;0,OR('Debt strategy'!$D$11&gt;'Debt strategy'!$D$10,AND('Debt strategy'!$D$11='Debt strategy'!$D$10,2&lt;1))),1,0),IF(AND(U154+V154-W154&gt;0,OR('Debt strategy'!$D$12&gt;'Debt strategy'!$D$10,AND('Debt strategy'!$D$12='Debt strategy'!$D$10,3&lt;1))),1,0),IF(AND(AA154+AB154-AC154&gt;0,OR('Debt strategy'!$D$13&gt;'Debt strategy'!$D$10,AND('Debt strategy'!$D$13='Debt strategy'!$D$10,4&lt;1))),1,0)))</x:f>
        <x:v>99</x:v>
      </x:c>
      <x:c r="M154" s="6" t="n">
        <x:f>IF('Debt strategy'!$C$16&gt;0,0,MIN(I154+J154-K154,MAX(0,'Debt strategy'!$C$5-SUM(E154,K154,Q154,W154,AC154)-SUM(IF(F154&lt;L154,C154+D154-E154,0),IF(R154&lt;L154,O154+P154-Q154,0),IF(X154&lt;L154,U154+V154-W154,0),IF(AD154&lt;L154,AA154+AB154-AC154,0)))))</x:f>
        <x:v>0</x:v>
      </x:c>
      <x:c r="N154" s="6" t="n">
        <x:f>ROUND(MAX(0,I154+J154-K154-M154),2)</x:f>
        <x:v>0</x:v>
      </x:c>
      <x:c r="O154" s="6" t="n">
        <x:f>T153</x:f>
        <x:v>0</x:v>
      </x:c>
      <x:c r="P154" s="6" t="n">
        <x:f>ROUND(O154*'Debt strategy'!$D$11/12,2)</x:f>
        <x:v>0</x:v>
      </x:c>
      <x:c r="Q154" s="6" t="n">
        <x:f>MIN(O154+P154,'Debt strategy'!$E$11)</x:f>
        <x:v>0</x:v>
      </x:c>
      <x:c r="R154" s="27" t="n">
        <x:f>IF(O154+P154-Q154&lt;=0,99,1+SUM(IF(AND(C154+D154-E154&gt;0,OR('Debt strategy'!$D$9&gt;'Debt strategy'!$D$11,AND('Debt strategy'!$D$9='Debt strategy'!$D$11,0&lt;2))),1,0),IF(AND(I154+J154-K154&gt;0,OR('Debt strategy'!$D$10&gt;'Debt strategy'!$D$11,AND('Debt strategy'!$D$10='Debt strategy'!$D$11,1&lt;2))),1,0),IF(AND(U154+V154-W154&gt;0,OR('Debt strategy'!$D$12&gt;'Debt strategy'!$D$11,AND('Debt strategy'!$D$12='Debt strategy'!$D$11,3&lt;2))),1,0),IF(AND(AA154+AB154-AC154&gt;0,OR('Debt strategy'!$D$13&gt;'Debt strategy'!$D$11,AND('Debt strategy'!$D$13='Debt strategy'!$D$11,4&lt;2))),1,0)))</x:f>
        <x:v>99</x:v>
      </x:c>
      <x:c r="S154" s="6" t="n">
        <x:f>IF('Debt strategy'!$C$16&gt;0,0,MIN(O154+P154-Q154,MAX(0,'Debt strategy'!$C$5-SUM(E154,K154,Q154,W154,AC154)-SUM(IF(F154&lt;R154,C154+D154-E154,0),IF(L154&lt;R154,I154+J154-K154,0),IF(X154&lt;R154,U154+V154-W154,0),IF(AD154&lt;R154,AA154+AB154-AC154,0)))))</x:f>
        <x:v>0</x:v>
      </x:c>
      <x:c r="T154" s="6" t="n">
        <x:f>ROUND(MAX(0,O154+P154-Q154-S154),2)</x:f>
        <x:v>0</x:v>
      </x:c>
      <x:c r="U154" s="6" t="n">
        <x:f>Z153</x:f>
        <x:v>0</x:v>
      </x:c>
      <x:c r="V154" s="6" t="n">
        <x:f>ROUND(U154*'Debt strategy'!$D$12/12,2)</x:f>
        <x:v>0</x:v>
      </x:c>
      <x:c r="W154" s="6" t="n">
        <x:f>MIN(U154+V154,'Debt strategy'!$E$12)</x:f>
        <x:v>0</x:v>
      </x:c>
      <x:c r="X154" s="27" t="n">
        <x:f>IF(U154+V154-W154&lt;=0,99,1+SUM(IF(AND(C154+D154-E154&gt;0,OR('Debt strategy'!$D$9&gt;'Debt strategy'!$D$12,AND('Debt strategy'!$D$9='Debt strategy'!$D$12,0&lt;3))),1,0),IF(AND(I154+J154-K154&gt;0,OR('Debt strategy'!$D$10&gt;'Debt strategy'!$D$12,AND('Debt strategy'!$D$10='Debt strategy'!$D$12,1&lt;3))),1,0),IF(AND(O154+P154-Q154&gt;0,OR('Debt strategy'!$D$11&gt;'Debt strategy'!$D$12,AND('Debt strategy'!$D$11='Debt strategy'!$D$12,2&lt;3))),1,0),IF(AND(AA154+AB154-AC154&gt;0,OR('Debt strategy'!$D$13&gt;'Debt strategy'!$D$12,AND('Debt strategy'!$D$13='Debt strategy'!$D$12,4&lt;3))),1,0)))</x:f>
        <x:v>99</x:v>
      </x:c>
      <x:c r="Y154" s="6" t="n">
        <x:f>IF('Debt strategy'!$C$16&gt;0,0,MIN(U154+V154-W154,MAX(0,'Debt strategy'!$C$5-SUM(E154,K154,Q154,W154,AC154)-SUM(IF(F154&lt;X154,C154+D154-E154,0),IF(L154&lt;X154,I154+J154-K154,0),IF(R154&lt;X154,O154+P154-Q154,0),IF(AD154&lt;X154,AA154+AB154-AC154,0)))))</x:f>
        <x:v>0</x:v>
      </x:c>
      <x:c r="Z154" s="6" t="n">
        <x:f>ROUND(MAX(0,U154+V154-W154-Y154),2)</x:f>
        <x:v>0</x:v>
      </x:c>
      <x:c r="AA154" s="6" t="n">
        <x:f>AF153</x:f>
        <x:v>0</x:v>
      </x:c>
      <x:c r="AB154" s="6" t="n">
        <x:f>ROUND(AA154*'Debt strategy'!$D$13/12,2)</x:f>
        <x:v>0</x:v>
      </x:c>
      <x:c r="AC154" s="6" t="n">
        <x:f>MIN(AA154+AB154,'Debt strategy'!$E$13)</x:f>
        <x:v>0</x:v>
      </x:c>
      <x:c r="AD154" s="27" t="n">
        <x:f>IF(AA154+AB154-AC154&lt;=0,99,1+SUM(IF(AND(C154+D154-E154&gt;0,OR('Debt strategy'!$D$9&gt;'Debt strategy'!$D$13,AND('Debt strategy'!$D$9='Debt strategy'!$D$13,0&lt;4))),1,0),IF(AND(I154+J154-K154&gt;0,OR('Debt strategy'!$D$10&gt;'Debt strategy'!$D$13,AND('Debt strategy'!$D$10='Debt strategy'!$D$13,1&lt;4))),1,0),IF(AND(O154+P154-Q154&gt;0,OR('Debt strategy'!$D$11&gt;'Debt strategy'!$D$13,AND('Debt strategy'!$D$11='Debt strategy'!$D$13,2&lt;4))),1,0),IF(AND(U154+V154-W154&gt;0,OR('Debt strategy'!$D$12&gt;'Debt strategy'!$D$13,AND('Debt strategy'!$D$12='Debt strategy'!$D$13,3&lt;4))),1,0)))</x:f>
        <x:v>99</x:v>
      </x:c>
      <x:c r="AE154" s="6" t="n">
        <x:f>IF('Debt strategy'!$C$16&gt;0,0,MIN(AA154+AB154-AC154,MAX(0,'Debt strategy'!$C$5-SUM(E154,K154,Q154,W154,AC154)-SUM(IF(F154&lt;AD154,C154+D154-E154,0),IF(L154&lt;AD154,I154+J154-K154,0),IF(R154&lt;AD154,O154+P154-Q154,0),IF(X154&lt;AD154,U154+V154-W154,0)))))</x:f>
        <x:v>0</x:v>
      </x:c>
      <x:c r="AF154" s="6" t="n">
        <x:f>ROUND(MAX(0,AA154+AB154-AC154-AE154),2)</x:f>
        <x:v>0</x:v>
      </x:c>
      <x:c r="AG154" s="6" t="n">
        <x:f>SUM(H154,N154,T154,Z154,AF154)</x:f>
        <x:v>0</x:v>
      </x:c>
      <x:c r="AH154" s="6" t="n">
        <x:f>SUM(D154,J154,P154,V154,AB154)+AH153</x:f>
        <x:v>1220.8400000000001</x:v>
      </x:c>
      <x:c r="AI154" s="2"/>
    </x:row>
    <x:row r="155" ht="23" customHeight="1">
      <x:c r="B155" s="2" t="n">
        <x:f>147</x:f>
        <x:v>147</x:v>
      </x:c>
      <x:c r="C155" s="6" t="n">
        <x:f>H154</x:f>
        <x:v>0</x:v>
      </x:c>
      <x:c r="D155" s="6" t="n">
        <x:f>ROUND(C155*'Debt strategy'!$D$9/12,2)</x:f>
        <x:v>0</x:v>
      </x:c>
      <x:c r="E155" s="6" t="n">
        <x:f>MIN(C155+D155,'Debt strategy'!$E$9)</x:f>
        <x:v>0</x:v>
      </x:c>
      <x:c r="F155" s="27" t="n">
        <x:f>IF(C155+D155-E155&lt;=0,99,1+SUM(IF(AND(I155+J155-K155&gt;0,OR('Debt strategy'!$D$10&gt;'Debt strategy'!$D$9,AND('Debt strategy'!$D$10='Debt strategy'!$D$9,1&lt;0))),1,0),IF(AND(O155+P155-Q155&gt;0,OR('Debt strategy'!$D$11&gt;'Debt strategy'!$D$9,AND('Debt strategy'!$D$11='Debt strategy'!$D$9,2&lt;0))),1,0),IF(AND(U155+V155-W155&gt;0,OR('Debt strategy'!$D$12&gt;'Debt strategy'!$D$9,AND('Debt strategy'!$D$12='Debt strategy'!$D$9,3&lt;0))),1,0),IF(AND(AA155+AB155-AC155&gt;0,OR('Debt strategy'!$D$13&gt;'Debt strategy'!$D$9,AND('Debt strategy'!$D$13='Debt strategy'!$D$9,4&lt;0))),1,0)))</x:f>
        <x:v>99</x:v>
      </x:c>
      <x:c r="G155" s="6" t="n">
        <x:f>IF('Debt strategy'!$C$16&gt;0,0,MIN(C155+D155-E155,MAX(0,'Debt strategy'!$C$5-SUM(E155,K155,Q155,W155,AC155)-SUM(IF(L155&lt;F155,I155+J155-K155,0),IF(R155&lt;F155,O155+P155-Q155,0),IF(X155&lt;F155,U155+V155-W155,0),IF(AD155&lt;F155,AA155+AB155-AC155,0)))))</x:f>
        <x:v>0</x:v>
      </x:c>
      <x:c r="H155" s="6" t="n">
        <x:f>ROUND(MAX(0,C155+D155-E155-G155),2)</x:f>
        <x:v>0</x:v>
      </x:c>
      <x:c r="I155" s="6" t="n">
        <x:f>N154</x:f>
        <x:v>0</x:v>
      </x:c>
      <x:c r="J155" s="6" t="n">
        <x:f>ROUND(I155*'Debt strategy'!$D$10/12,2)</x:f>
        <x:v>0</x:v>
      </x:c>
      <x:c r="K155" s="6" t="n">
        <x:f>MIN(I155+J155,'Debt strategy'!$E$10)</x:f>
        <x:v>0</x:v>
      </x:c>
      <x:c r="L155" s="27" t="n">
        <x:f>IF(I155+J155-K155&lt;=0,99,1+SUM(IF(AND(C155+D155-E155&gt;0,OR('Debt strategy'!$D$9&gt;'Debt strategy'!$D$10,AND('Debt strategy'!$D$9='Debt strategy'!$D$10,0&lt;1))),1,0),IF(AND(O155+P155-Q155&gt;0,OR('Debt strategy'!$D$11&gt;'Debt strategy'!$D$10,AND('Debt strategy'!$D$11='Debt strategy'!$D$10,2&lt;1))),1,0),IF(AND(U155+V155-W155&gt;0,OR('Debt strategy'!$D$12&gt;'Debt strategy'!$D$10,AND('Debt strategy'!$D$12='Debt strategy'!$D$10,3&lt;1))),1,0),IF(AND(AA155+AB155-AC155&gt;0,OR('Debt strategy'!$D$13&gt;'Debt strategy'!$D$10,AND('Debt strategy'!$D$13='Debt strategy'!$D$10,4&lt;1))),1,0)))</x:f>
        <x:v>99</x:v>
      </x:c>
      <x:c r="M155" s="6" t="n">
        <x:f>IF('Debt strategy'!$C$16&gt;0,0,MIN(I155+J155-K155,MAX(0,'Debt strategy'!$C$5-SUM(E155,K155,Q155,W155,AC155)-SUM(IF(F155&lt;L155,C155+D155-E155,0),IF(R155&lt;L155,O155+P155-Q155,0),IF(X155&lt;L155,U155+V155-W155,0),IF(AD155&lt;L155,AA155+AB155-AC155,0)))))</x:f>
        <x:v>0</x:v>
      </x:c>
      <x:c r="N155" s="6" t="n">
        <x:f>ROUND(MAX(0,I155+J155-K155-M155),2)</x:f>
        <x:v>0</x:v>
      </x:c>
      <x:c r="O155" s="6" t="n">
        <x:f>T154</x:f>
        <x:v>0</x:v>
      </x:c>
      <x:c r="P155" s="6" t="n">
        <x:f>ROUND(O155*'Debt strategy'!$D$11/12,2)</x:f>
        <x:v>0</x:v>
      </x:c>
      <x:c r="Q155" s="6" t="n">
        <x:f>MIN(O155+P155,'Debt strategy'!$E$11)</x:f>
        <x:v>0</x:v>
      </x:c>
      <x:c r="R155" s="27" t="n">
        <x:f>IF(O155+P155-Q155&lt;=0,99,1+SUM(IF(AND(C155+D155-E155&gt;0,OR('Debt strategy'!$D$9&gt;'Debt strategy'!$D$11,AND('Debt strategy'!$D$9='Debt strategy'!$D$11,0&lt;2))),1,0),IF(AND(I155+J155-K155&gt;0,OR('Debt strategy'!$D$10&gt;'Debt strategy'!$D$11,AND('Debt strategy'!$D$10='Debt strategy'!$D$11,1&lt;2))),1,0),IF(AND(U155+V155-W155&gt;0,OR('Debt strategy'!$D$12&gt;'Debt strategy'!$D$11,AND('Debt strategy'!$D$12='Debt strategy'!$D$11,3&lt;2))),1,0),IF(AND(AA155+AB155-AC155&gt;0,OR('Debt strategy'!$D$13&gt;'Debt strategy'!$D$11,AND('Debt strategy'!$D$13='Debt strategy'!$D$11,4&lt;2))),1,0)))</x:f>
        <x:v>99</x:v>
      </x:c>
      <x:c r="S155" s="6" t="n">
        <x:f>IF('Debt strategy'!$C$16&gt;0,0,MIN(O155+P155-Q155,MAX(0,'Debt strategy'!$C$5-SUM(E155,K155,Q155,W155,AC155)-SUM(IF(F155&lt;R155,C155+D155-E155,0),IF(L155&lt;R155,I155+J155-K155,0),IF(X155&lt;R155,U155+V155-W155,0),IF(AD155&lt;R155,AA155+AB155-AC155,0)))))</x:f>
        <x:v>0</x:v>
      </x:c>
      <x:c r="T155" s="6" t="n">
        <x:f>ROUND(MAX(0,O155+P155-Q155-S155),2)</x:f>
        <x:v>0</x:v>
      </x:c>
      <x:c r="U155" s="6" t="n">
        <x:f>Z154</x:f>
        <x:v>0</x:v>
      </x:c>
      <x:c r="V155" s="6" t="n">
        <x:f>ROUND(U155*'Debt strategy'!$D$12/12,2)</x:f>
        <x:v>0</x:v>
      </x:c>
      <x:c r="W155" s="6" t="n">
        <x:f>MIN(U155+V155,'Debt strategy'!$E$12)</x:f>
        <x:v>0</x:v>
      </x:c>
      <x:c r="X155" s="27" t="n">
        <x:f>IF(U155+V155-W155&lt;=0,99,1+SUM(IF(AND(C155+D155-E155&gt;0,OR('Debt strategy'!$D$9&gt;'Debt strategy'!$D$12,AND('Debt strategy'!$D$9='Debt strategy'!$D$12,0&lt;3))),1,0),IF(AND(I155+J155-K155&gt;0,OR('Debt strategy'!$D$10&gt;'Debt strategy'!$D$12,AND('Debt strategy'!$D$10='Debt strategy'!$D$12,1&lt;3))),1,0),IF(AND(O155+P155-Q155&gt;0,OR('Debt strategy'!$D$11&gt;'Debt strategy'!$D$12,AND('Debt strategy'!$D$11='Debt strategy'!$D$12,2&lt;3))),1,0),IF(AND(AA155+AB155-AC155&gt;0,OR('Debt strategy'!$D$13&gt;'Debt strategy'!$D$12,AND('Debt strategy'!$D$13='Debt strategy'!$D$12,4&lt;3))),1,0)))</x:f>
        <x:v>99</x:v>
      </x:c>
      <x:c r="Y155" s="6" t="n">
        <x:f>IF('Debt strategy'!$C$16&gt;0,0,MIN(U155+V155-W155,MAX(0,'Debt strategy'!$C$5-SUM(E155,K155,Q155,W155,AC155)-SUM(IF(F155&lt;X155,C155+D155-E155,0),IF(L155&lt;X155,I155+J155-K155,0),IF(R155&lt;X155,O155+P155-Q155,0),IF(AD155&lt;X155,AA155+AB155-AC155,0)))))</x:f>
        <x:v>0</x:v>
      </x:c>
      <x:c r="Z155" s="6" t="n">
        <x:f>ROUND(MAX(0,U155+V155-W155-Y155),2)</x:f>
        <x:v>0</x:v>
      </x:c>
      <x:c r="AA155" s="6" t="n">
        <x:f>AF154</x:f>
        <x:v>0</x:v>
      </x:c>
      <x:c r="AB155" s="6" t="n">
        <x:f>ROUND(AA155*'Debt strategy'!$D$13/12,2)</x:f>
        <x:v>0</x:v>
      </x:c>
      <x:c r="AC155" s="6" t="n">
        <x:f>MIN(AA155+AB155,'Debt strategy'!$E$13)</x:f>
        <x:v>0</x:v>
      </x:c>
      <x:c r="AD155" s="27" t="n">
        <x:f>IF(AA155+AB155-AC155&lt;=0,99,1+SUM(IF(AND(C155+D155-E155&gt;0,OR('Debt strategy'!$D$9&gt;'Debt strategy'!$D$13,AND('Debt strategy'!$D$9='Debt strategy'!$D$13,0&lt;4))),1,0),IF(AND(I155+J155-K155&gt;0,OR('Debt strategy'!$D$10&gt;'Debt strategy'!$D$13,AND('Debt strategy'!$D$10='Debt strategy'!$D$13,1&lt;4))),1,0),IF(AND(O155+P155-Q155&gt;0,OR('Debt strategy'!$D$11&gt;'Debt strategy'!$D$13,AND('Debt strategy'!$D$11='Debt strategy'!$D$13,2&lt;4))),1,0),IF(AND(U155+V155-W155&gt;0,OR('Debt strategy'!$D$12&gt;'Debt strategy'!$D$13,AND('Debt strategy'!$D$12='Debt strategy'!$D$13,3&lt;4))),1,0)))</x:f>
        <x:v>99</x:v>
      </x:c>
      <x:c r="AE155" s="6" t="n">
        <x:f>IF('Debt strategy'!$C$16&gt;0,0,MIN(AA155+AB155-AC155,MAX(0,'Debt strategy'!$C$5-SUM(E155,K155,Q155,W155,AC155)-SUM(IF(F155&lt;AD155,C155+D155-E155,0),IF(L155&lt;AD155,I155+J155-K155,0),IF(R155&lt;AD155,O155+P155-Q155,0),IF(X155&lt;AD155,U155+V155-W155,0)))))</x:f>
        <x:v>0</x:v>
      </x:c>
      <x:c r="AF155" s="6" t="n">
        <x:f>ROUND(MAX(0,AA155+AB155-AC155-AE155),2)</x:f>
        <x:v>0</x:v>
      </x:c>
      <x:c r="AG155" s="6" t="n">
        <x:f>SUM(H155,N155,T155,Z155,AF155)</x:f>
        <x:v>0</x:v>
      </x:c>
      <x:c r="AH155" s="6" t="n">
        <x:f>SUM(D155,J155,P155,V155,AB155)+AH154</x:f>
        <x:v>1220.8400000000001</x:v>
      </x:c>
      <x:c r="AI155" s="2"/>
    </x:row>
    <x:row r="156" ht="23" customHeight="1">
      <x:c r="B156" s="2" t="n">
        <x:f>148</x:f>
        <x:v>148</x:v>
      </x:c>
      <x:c r="C156" s="6" t="n">
        <x:f>H155</x:f>
        <x:v>0</x:v>
      </x:c>
      <x:c r="D156" s="6" t="n">
        <x:f>ROUND(C156*'Debt strategy'!$D$9/12,2)</x:f>
        <x:v>0</x:v>
      </x:c>
      <x:c r="E156" s="6" t="n">
        <x:f>MIN(C156+D156,'Debt strategy'!$E$9)</x:f>
        <x:v>0</x:v>
      </x:c>
      <x:c r="F156" s="27" t="n">
        <x:f>IF(C156+D156-E156&lt;=0,99,1+SUM(IF(AND(I156+J156-K156&gt;0,OR('Debt strategy'!$D$10&gt;'Debt strategy'!$D$9,AND('Debt strategy'!$D$10='Debt strategy'!$D$9,1&lt;0))),1,0),IF(AND(O156+P156-Q156&gt;0,OR('Debt strategy'!$D$11&gt;'Debt strategy'!$D$9,AND('Debt strategy'!$D$11='Debt strategy'!$D$9,2&lt;0))),1,0),IF(AND(U156+V156-W156&gt;0,OR('Debt strategy'!$D$12&gt;'Debt strategy'!$D$9,AND('Debt strategy'!$D$12='Debt strategy'!$D$9,3&lt;0))),1,0),IF(AND(AA156+AB156-AC156&gt;0,OR('Debt strategy'!$D$13&gt;'Debt strategy'!$D$9,AND('Debt strategy'!$D$13='Debt strategy'!$D$9,4&lt;0))),1,0)))</x:f>
        <x:v>99</x:v>
      </x:c>
      <x:c r="G156" s="6" t="n">
        <x:f>IF('Debt strategy'!$C$16&gt;0,0,MIN(C156+D156-E156,MAX(0,'Debt strategy'!$C$5-SUM(E156,K156,Q156,W156,AC156)-SUM(IF(L156&lt;F156,I156+J156-K156,0),IF(R156&lt;F156,O156+P156-Q156,0),IF(X156&lt;F156,U156+V156-W156,0),IF(AD156&lt;F156,AA156+AB156-AC156,0)))))</x:f>
        <x:v>0</x:v>
      </x:c>
      <x:c r="H156" s="6" t="n">
        <x:f>ROUND(MAX(0,C156+D156-E156-G156),2)</x:f>
        <x:v>0</x:v>
      </x:c>
      <x:c r="I156" s="6" t="n">
        <x:f>N155</x:f>
        <x:v>0</x:v>
      </x:c>
      <x:c r="J156" s="6" t="n">
        <x:f>ROUND(I156*'Debt strategy'!$D$10/12,2)</x:f>
        <x:v>0</x:v>
      </x:c>
      <x:c r="K156" s="6" t="n">
        <x:f>MIN(I156+J156,'Debt strategy'!$E$10)</x:f>
        <x:v>0</x:v>
      </x:c>
      <x:c r="L156" s="27" t="n">
        <x:f>IF(I156+J156-K156&lt;=0,99,1+SUM(IF(AND(C156+D156-E156&gt;0,OR('Debt strategy'!$D$9&gt;'Debt strategy'!$D$10,AND('Debt strategy'!$D$9='Debt strategy'!$D$10,0&lt;1))),1,0),IF(AND(O156+P156-Q156&gt;0,OR('Debt strategy'!$D$11&gt;'Debt strategy'!$D$10,AND('Debt strategy'!$D$11='Debt strategy'!$D$10,2&lt;1))),1,0),IF(AND(U156+V156-W156&gt;0,OR('Debt strategy'!$D$12&gt;'Debt strategy'!$D$10,AND('Debt strategy'!$D$12='Debt strategy'!$D$10,3&lt;1))),1,0),IF(AND(AA156+AB156-AC156&gt;0,OR('Debt strategy'!$D$13&gt;'Debt strategy'!$D$10,AND('Debt strategy'!$D$13='Debt strategy'!$D$10,4&lt;1))),1,0)))</x:f>
        <x:v>99</x:v>
      </x:c>
      <x:c r="M156" s="6" t="n">
        <x:f>IF('Debt strategy'!$C$16&gt;0,0,MIN(I156+J156-K156,MAX(0,'Debt strategy'!$C$5-SUM(E156,K156,Q156,W156,AC156)-SUM(IF(F156&lt;L156,C156+D156-E156,0),IF(R156&lt;L156,O156+P156-Q156,0),IF(X156&lt;L156,U156+V156-W156,0),IF(AD156&lt;L156,AA156+AB156-AC156,0)))))</x:f>
        <x:v>0</x:v>
      </x:c>
      <x:c r="N156" s="6" t="n">
        <x:f>ROUND(MAX(0,I156+J156-K156-M156),2)</x:f>
        <x:v>0</x:v>
      </x:c>
      <x:c r="O156" s="6" t="n">
        <x:f>T155</x:f>
        <x:v>0</x:v>
      </x:c>
      <x:c r="P156" s="6" t="n">
        <x:f>ROUND(O156*'Debt strategy'!$D$11/12,2)</x:f>
        <x:v>0</x:v>
      </x:c>
      <x:c r="Q156" s="6" t="n">
        <x:f>MIN(O156+P156,'Debt strategy'!$E$11)</x:f>
        <x:v>0</x:v>
      </x:c>
      <x:c r="R156" s="27" t="n">
        <x:f>IF(O156+P156-Q156&lt;=0,99,1+SUM(IF(AND(C156+D156-E156&gt;0,OR('Debt strategy'!$D$9&gt;'Debt strategy'!$D$11,AND('Debt strategy'!$D$9='Debt strategy'!$D$11,0&lt;2))),1,0),IF(AND(I156+J156-K156&gt;0,OR('Debt strategy'!$D$10&gt;'Debt strategy'!$D$11,AND('Debt strategy'!$D$10='Debt strategy'!$D$11,1&lt;2))),1,0),IF(AND(U156+V156-W156&gt;0,OR('Debt strategy'!$D$12&gt;'Debt strategy'!$D$11,AND('Debt strategy'!$D$12='Debt strategy'!$D$11,3&lt;2))),1,0),IF(AND(AA156+AB156-AC156&gt;0,OR('Debt strategy'!$D$13&gt;'Debt strategy'!$D$11,AND('Debt strategy'!$D$13='Debt strategy'!$D$11,4&lt;2))),1,0)))</x:f>
        <x:v>99</x:v>
      </x:c>
      <x:c r="S156" s="6" t="n">
        <x:f>IF('Debt strategy'!$C$16&gt;0,0,MIN(O156+P156-Q156,MAX(0,'Debt strategy'!$C$5-SUM(E156,K156,Q156,W156,AC156)-SUM(IF(F156&lt;R156,C156+D156-E156,0),IF(L156&lt;R156,I156+J156-K156,0),IF(X156&lt;R156,U156+V156-W156,0),IF(AD156&lt;R156,AA156+AB156-AC156,0)))))</x:f>
        <x:v>0</x:v>
      </x:c>
      <x:c r="T156" s="6" t="n">
        <x:f>ROUND(MAX(0,O156+P156-Q156-S156),2)</x:f>
        <x:v>0</x:v>
      </x:c>
      <x:c r="U156" s="6" t="n">
        <x:f>Z155</x:f>
        <x:v>0</x:v>
      </x:c>
      <x:c r="V156" s="6" t="n">
        <x:f>ROUND(U156*'Debt strategy'!$D$12/12,2)</x:f>
        <x:v>0</x:v>
      </x:c>
      <x:c r="W156" s="6" t="n">
        <x:f>MIN(U156+V156,'Debt strategy'!$E$12)</x:f>
        <x:v>0</x:v>
      </x:c>
      <x:c r="X156" s="27" t="n">
        <x:f>IF(U156+V156-W156&lt;=0,99,1+SUM(IF(AND(C156+D156-E156&gt;0,OR('Debt strategy'!$D$9&gt;'Debt strategy'!$D$12,AND('Debt strategy'!$D$9='Debt strategy'!$D$12,0&lt;3))),1,0),IF(AND(I156+J156-K156&gt;0,OR('Debt strategy'!$D$10&gt;'Debt strategy'!$D$12,AND('Debt strategy'!$D$10='Debt strategy'!$D$12,1&lt;3))),1,0),IF(AND(O156+P156-Q156&gt;0,OR('Debt strategy'!$D$11&gt;'Debt strategy'!$D$12,AND('Debt strategy'!$D$11='Debt strategy'!$D$12,2&lt;3))),1,0),IF(AND(AA156+AB156-AC156&gt;0,OR('Debt strategy'!$D$13&gt;'Debt strategy'!$D$12,AND('Debt strategy'!$D$13='Debt strategy'!$D$12,4&lt;3))),1,0)))</x:f>
        <x:v>99</x:v>
      </x:c>
      <x:c r="Y156" s="6" t="n">
        <x:f>IF('Debt strategy'!$C$16&gt;0,0,MIN(U156+V156-W156,MAX(0,'Debt strategy'!$C$5-SUM(E156,K156,Q156,W156,AC156)-SUM(IF(F156&lt;X156,C156+D156-E156,0),IF(L156&lt;X156,I156+J156-K156,0),IF(R156&lt;X156,O156+P156-Q156,0),IF(AD156&lt;X156,AA156+AB156-AC156,0)))))</x:f>
        <x:v>0</x:v>
      </x:c>
      <x:c r="Z156" s="6" t="n">
        <x:f>ROUND(MAX(0,U156+V156-W156-Y156),2)</x:f>
        <x:v>0</x:v>
      </x:c>
      <x:c r="AA156" s="6" t="n">
        <x:f>AF155</x:f>
        <x:v>0</x:v>
      </x:c>
      <x:c r="AB156" s="6" t="n">
        <x:f>ROUND(AA156*'Debt strategy'!$D$13/12,2)</x:f>
        <x:v>0</x:v>
      </x:c>
      <x:c r="AC156" s="6" t="n">
        <x:f>MIN(AA156+AB156,'Debt strategy'!$E$13)</x:f>
        <x:v>0</x:v>
      </x:c>
      <x:c r="AD156" s="27" t="n">
        <x:f>IF(AA156+AB156-AC156&lt;=0,99,1+SUM(IF(AND(C156+D156-E156&gt;0,OR('Debt strategy'!$D$9&gt;'Debt strategy'!$D$13,AND('Debt strategy'!$D$9='Debt strategy'!$D$13,0&lt;4))),1,0),IF(AND(I156+J156-K156&gt;0,OR('Debt strategy'!$D$10&gt;'Debt strategy'!$D$13,AND('Debt strategy'!$D$10='Debt strategy'!$D$13,1&lt;4))),1,0),IF(AND(O156+P156-Q156&gt;0,OR('Debt strategy'!$D$11&gt;'Debt strategy'!$D$13,AND('Debt strategy'!$D$11='Debt strategy'!$D$13,2&lt;4))),1,0),IF(AND(U156+V156-W156&gt;0,OR('Debt strategy'!$D$12&gt;'Debt strategy'!$D$13,AND('Debt strategy'!$D$12='Debt strategy'!$D$13,3&lt;4))),1,0)))</x:f>
        <x:v>99</x:v>
      </x:c>
      <x:c r="AE156" s="6" t="n">
        <x:f>IF('Debt strategy'!$C$16&gt;0,0,MIN(AA156+AB156-AC156,MAX(0,'Debt strategy'!$C$5-SUM(E156,K156,Q156,W156,AC156)-SUM(IF(F156&lt;AD156,C156+D156-E156,0),IF(L156&lt;AD156,I156+J156-K156,0),IF(R156&lt;AD156,O156+P156-Q156,0),IF(X156&lt;AD156,U156+V156-W156,0)))))</x:f>
        <x:v>0</x:v>
      </x:c>
      <x:c r="AF156" s="6" t="n">
        <x:f>ROUND(MAX(0,AA156+AB156-AC156-AE156),2)</x:f>
        <x:v>0</x:v>
      </x:c>
      <x:c r="AG156" s="6" t="n">
        <x:f>SUM(H156,N156,T156,Z156,AF156)</x:f>
        <x:v>0</x:v>
      </x:c>
      <x:c r="AH156" s="6" t="n">
        <x:f>SUM(D156,J156,P156,V156,AB156)+AH155</x:f>
        <x:v>1220.8400000000001</x:v>
      </x:c>
      <x:c r="AI156" s="2"/>
    </x:row>
    <x:row r="157" ht="23" customHeight="1">
      <x:c r="B157" s="2" t="n">
        <x:f>149</x:f>
        <x:v>149</x:v>
      </x:c>
      <x:c r="C157" s="6" t="n">
        <x:f>H156</x:f>
        <x:v>0</x:v>
      </x:c>
      <x:c r="D157" s="6" t="n">
        <x:f>ROUND(C157*'Debt strategy'!$D$9/12,2)</x:f>
        <x:v>0</x:v>
      </x:c>
      <x:c r="E157" s="6" t="n">
        <x:f>MIN(C157+D157,'Debt strategy'!$E$9)</x:f>
        <x:v>0</x:v>
      </x:c>
      <x:c r="F157" s="27" t="n">
        <x:f>IF(C157+D157-E157&lt;=0,99,1+SUM(IF(AND(I157+J157-K157&gt;0,OR('Debt strategy'!$D$10&gt;'Debt strategy'!$D$9,AND('Debt strategy'!$D$10='Debt strategy'!$D$9,1&lt;0))),1,0),IF(AND(O157+P157-Q157&gt;0,OR('Debt strategy'!$D$11&gt;'Debt strategy'!$D$9,AND('Debt strategy'!$D$11='Debt strategy'!$D$9,2&lt;0))),1,0),IF(AND(U157+V157-W157&gt;0,OR('Debt strategy'!$D$12&gt;'Debt strategy'!$D$9,AND('Debt strategy'!$D$12='Debt strategy'!$D$9,3&lt;0))),1,0),IF(AND(AA157+AB157-AC157&gt;0,OR('Debt strategy'!$D$13&gt;'Debt strategy'!$D$9,AND('Debt strategy'!$D$13='Debt strategy'!$D$9,4&lt;0))),1,0)))</x:f>
        <x:v>99</x:v>
      </x:c>
      <x:c r="G157" s="6" t="n">
        <x:f>IF('Debt strategy'!$C$16&gt;0,0,MIN(C157+D157-E157,MAX(0,'Debt strategy'!$C$5-SUM(E157,K157,Q157,W157,AC157)-SUM(IF(L157&lt;F157,I157+J157-K157,0),IF(R157&lt;F157,O157+P157-Q157,0),IF(X157&lt;F157,U157+V157-W157,0),IF(AD157&lt;F157,AA157+AB157-AC157,0)))))</x:f>
        <x:v>0</x:v>
      </x:c>
      <x:c r="H157" s="6" t="n">
        <x:f>ROUND(MAX(0,C157+D157-E157-G157),2)</x:f>
        <x:v>0</x:v>
      </x:c>
      <x:c r="I157" s="6" t="n">
        <x:f>N156</x:f>
        <x:v>0</x:v>
      </x:c>
      <x:c r="J157" s="6" t="n">
        <x:f>ROUND(I157*'Debt strategy'!$D$10/12,2)</x:f>
        <x:v>0</x:v>
      </x:c>
      <x:c r="K157" s="6" t="n">
        <x:f>MIN(I157+J157,'Debt strategy'!$E$10)</x:f>
        <x:v>0</x:v>
      </x:c>
      <x:c r="L157" s="27" t="n">
        <x:f>IF(I157+J157-K157&lt;=0,99,1+SUM(IF(AND(C157+D157-E157&gt;0,OR('Debt strategy'!$D$9&gt;'Debt strategy'!$D$10,AND('Debt strategy'!$D$9='Debt strategy'!$D$10,0&lt;1))),1,0),IF(AND(O157+P157-Q157&gt;0,OR('Debt strategy'!$D$11&gt;'Debt strategy'!$D$10,AND('Debt strategy'!$D$11='Debt strategy'!$D$10,2&lt;1))),1,0),IF(AND(U157+V157-W157&gt;0,OR('Debt strategy'!$D$12&gt;'Debt strategy'!$D$10,AND('Debt strategy'!$D$12='Debt strategy'!$D$10,3&lt;1))),1,0),IF(AND(AA157+AB157-AC157&gt;0,OR('Debt strategy'!$D$13&gt;'Debt strategy'!$D$10,AND('Debt strategy'!$D$13='Debt strategy'!$D$10,4&lt;1))),1,0)))</x:f>
        <x:v>99</x:v>
      </x:c>
      <x:c r="M157" s="6" t="n">
        <x:f>IF('Debt strategy'!$C$16&gt;0,0,MIN(I157+J157-K157,MAX(0,'Debt strategy'!$C$5-SUM(E157,K157,Q157,W157,AC157)-SUM(IF(F157&lt;L157,C157+D157-E157,0),IF(R157&lt;L157,O157+P157-Q157,0),IF(X157&lt;L157,U157+V157-W157,0),IF(AD157&lt;L157,AA157+AB157-AC157,0)))))</x:f>
        <x:v>0</x:v>
      </x:c>
      <x:c r="N157" s="6" t="n">
        <x:f>ROUND(MAX(0,I157+J157-K157-M157),2)</x:f>
        <x:v>0</x:v>
      </x:c>
      <x:c r="O157" s="6" t="n">
        <x:f>T156</x:f>
        <x:v>0</x:v>
      </x:c>
      <x:c r="P157" s="6" t="n">
        <x:f>ROUND(O157*'Debt strategy'!$D$11/12,2)</x:f>
        <x:v>0</x:v>
      </x:c>
      <x:c r="Q157" s="6" t="n">
        <x:f>MIN(O157+P157,'Debt strategy'!$E$11)</x:f>
        <x:v>0</x:v>
      </x:c>
      <x:c r="R157" s="27" t="n">
        <x:f>IF(O157+P157-Q157&lt;=0,99,1+SUM(IF(AND(C157+D157-E157&gt;0,OR('Debt strategy'!$D$9&gt;'Debt strategy'!$D$11,AND('Debt strategy'!$D$9='Debt strategy'!$D$11,0&lt;2))),1,0),IF(AND(I157+J157-K157&gt;0,OR('Debt strategy'!$D$10&gt;'Debt strategy'!$D$11,AND('Debt strategy'!$D$10='Debt strategy'!$D$11,1&lt;2))),1,0),IF(AND(U157+V157-W157&gt;0,OR('Debt strategy'!$D$12&gt;'Debt strategy'!$D$11,AND('Debt strategy'!$D$12='Debt strategy'!$D$11,3&lt;2))),1,0),IF(AND(AA157+AB157-AC157&gt;0,OR('Debt strategy'!$D$13&gt;'Debt strategy'!$D$11,AND('Debt strategy'!$D$13='Debt strategy'!$D$11,4&lt;2))),1,0)))</x:f>
        <x:v>99</x:v>
      </x:c>
      <x:c r="S157" s="6" t="n">
        <x:f>IF('Debt strategy'!$C$16&gt;0,0,MIN(O157+P157-Q157,MAX(0,'Debt strategy'!$C$5-SUM(E157,K157,Q157,W157,AC157)-SUM(IF(F157&lt;R157,C157+D157-E157,0),IF(L157&lt;R157,I157+J157-K157,0),IF(X157&lt;R157,U157+V157-W157,0),IF(AD157&lt;R157,AA157+AB157-AC157,0)))))</x:f>
        <x:v>0</x:v>
      </x:c>
      <x:c r="T157" s="6" t="n">
        <x:f>ROUND(MAX(0,O157+P157-Q157-S157),2)</x:f>
        <x:v>0</x:v>
      </x:c>
      <x:c r="U157" s="6" t="n">
        <x:f>Z156</x:f>
        <x:v>0</x:v>
      </x:c>
      <x:c r="V157" s="6" t="n">
        <x:f>ROUND(U157*'Debt strategy'!$D$12/12,2)</x:f>
        <x:v>0</x:v>
      </x:c>
      <x:c r="W157" s="6" t="n">
        <x:f>MIN(U157+V157,'Debt strategy'!$E$12)</x:f>
        <x:v>0</x:v>
      </x:c>
      <x:c r="X157" s="27" t="n">
        <x:f>IF(U157+V157-W157&lt;=0,99,1+SUM(IF(AND(C157+D157-E157&gt;0,OR('Debt strategy'!$D$9&gt;'Debt strategy'!$D$12,AND('Debt strategy'!$D$9='Debt strategy'!$D$12,0&lt;3))),1,0),IF(AND(I157+J157-K157&gt;0,OR('Debt strategy'!$D$10&gt;'Debt strategy'!$D$12,AND('Debt strategy'!$D$10='Debt strategy'!$D$12,1&lt;3))),1,0),IF(AND(O157+P157-Q157&gt;0,OR('Debt strategy'!$D$11&gt;'Debt strategy'!$D$12,AND('Debt strategy'!$D$11='Debt strategy'!$D$12,2&lt;3))),1,0),IF(AND(AA157+AB157-AC157&gt;0,OR('Debt strategy'!$D$13&gt;'Debt strategy'!$D$12,AND('Debt strategy'!$D$13='Debt strategy'!$D$12,4&lt;3))),1,0)))</x:f>
        <x:v>99</x:v>
      </x:c>
      <x:c r="Y157" s="6" t="n">
        <x:f>IF('Debt strategy'!$C$16&gt;0,0,MIN(U157+V157-W157,MAX(0,'Debt strategy'!$C$5-SUM(E157,K157,Q157,W157,AC157)-SUM(IF(F157&lt;X157,C157+D157-E157,0),IF(L157&lt;X157,I157+J157-K157,0),IF(R157&lt;X157,O157+P157-Q157,0),IF(AD157&lt;X157,AA157+AB157-AC157,0)))))</x:f>
        <x:v>0</x:v>
      </x:c>
      <x:c r="Z157" s="6" t="n">
        <x:f>ROUND(MAX(0,U157+V157-W157-Y157),2)</x:f>
        <x:v>0</x:v>
      </x:c>
      <x:c r="AA157" s="6" t="n">
        <x:f>AF156</x:f>
        <x:v>0</x:v>
      </x:c>
      <x:c r="AB157" s="6" t="n">
        <x:f>ROUND(AA157*'Debt strategy'!$D$13/12,2)</x:f>
        <x:v>0</x:v>
      </x:c>
      <x:c r="AC157" s="6" t="n">
        <x:f>MIN(AA157+AB157,'Debt strategy'!$E$13)</x:f>
        <x:v>0</x:v>
      </x:c>
      <x:c r="AD157" s="27" t="n">
        <x:f>IF(AA157+AB157-AC157&lt;=0,99,1+SUM(IF(AND(C157+D157-E157&gt;0,OR('Debt strategy'!$D$9&gt;'Debt strategy'!$D$13,AND('Debt strategy'!$D$9='Debt strategy'!$D$13,0&lt;4))),1,0),IF(AND(I157+J157-K157&gt;0,OR('Debt strategy'!$D$10&gt;'Debt strategy'!$D$13,AND('Debt strategy'!$D$10='Debt strategy'!$D$13,1&lt;4))),1,0),IF(AND(O157+P157-Q157&gt;0,OR('Debt strategy'!$D$11&gt;'Debt strategy'!$D$13,AND('Debt strategy'!$D$11='Debt strategy'!$D$13,2&lt;4))),1,0),IF(AND(U157+V157-W157&gt;0,OR('Debt strategy'!$D$12&gt;'Debt strategy'!$D$13,AND('Debt strategy'!$D$12='Debt strategy'!$D$13,3&lt;4))),1,0)))</x:f>
        <x:v>99</x:v>
      </x:c>
      <x:c r="AE157" s="6" t="n">
        <x:f>IF('Debt strategy'!$C$16&gt;0,0,MIN(AA157+AB157-AC157,MAX(0,'Debt strategy'!$C$5-SUM(E157,K157,Q157,W157,AC157)-SUM(IF(F157&lt;AD157,C157+D157-E157,0),IF(L157&lt;AD157,I157+J157-K157,0),IF(R157&lt;AD157,O157+P157-Q157,0),IF(X157&lt;AD157,U157+V157-W157,0)))))</x:f>
        <x:v>0</x:v>
      </x:c>
      <x:c r="AF157" s="6" t="n">
        <x:f>ROUND(MAX(0,AA157+AB157-AC157-AE157),2)</x:f>
        <x:v>0</x:v>
      </x:c>
      <x:c r="AG157" s="6" t="n">
        <x:f>SUM(H157,N157,T157,Z157,AF157)</x:f>
        <x:v>0</x:v>
      </x:c>
      <x:c r="AH157" s="6" t="n">
        <x:f>SUM(D157,J157,P157,V157,AB157)+AH156</x:f>
        <x:v>1220.8400000000001</x:v>
      </x:c>
      <x:c r="AI157" s="2"/>
    </x:row>
    <x:row r="158" ht="23" customHeight="1">
      <x:c r="B158" s="2" t="n">
        <x:f>150</x:f>
        <x:v>150</x:v>
      </x:c>
      <x:c r="C158" s="6" t="n">
        <x:f>H157</x:f>
        <x:v>0</x:v>
      </x:c>
      <x:c r="D158" s="6" t="n">
        <x:f>ROUND(C158*'Debt strategy'!$D$9/12,2)</x:f>
        <x:v>0</x:v>
      </x:c>
      <x:c r="E158" s="6" t="n">
        <x:f>MIN(C158+D158,'Debt strategy'!$E$9)</x:f>
        <x:v>0</x:v>
      </x:c>
      <x:c r="F158" s="27" t="n">
        <x:f>IF(C158+D158-E158&lt;=0,99,1+SUM(IF(AND(I158+J158-K158&gt;0,OR('Debt strategy'!$D$10&gt;'Debt strategy'!$D$9,AND('Debt strategy'!$D$10='Debt strategy'!$D$9,1&lt;0))),1,0),IF(AND(O158+P158-Q158&gt;0,OR('Debt strategy'!$D$11&gt;'Debt strategy'!$D$9,AND('Debt strategy'!$D$11='Debt strategy'!$D$9,2&lt;0))),1,0),IF(AND(U158+V158-W158&gt;0,OR('Debt strategy'!$D$12&gt;'Debt strategy'!$D$9,AND('Debt strategy'!$D$12='Debt strategy'!$D$9,3&lt;0))),1,0),IF(AND(AA158+AB158-AC158&gt;0,OR('Debt strategy'!$D$13&gt;'Debt strategy'!$D$9,AND('Debt strategy'!$D$13='Debt strategy'!$D$9,4&lt;0))),1,0)))</x:f>
        <x:v>99</x:v>
      </x:c>
      <x:c r="G158" s="6" t="n">
        <x:f>IF('Debt strategy'!$C$16&gt;0,0,MIN(C158+D158-E158,MAX(0,'Debt strategy'!$C$5-SUM(E158,K158,Q158,W158,AC158)-SUM(IF(L158&lt;F158,I158+J158-K158,0),IF(R158&lt;F158,O158+P158-Q158,0),IF(X158&lt;F158,U158+V158-W158,0),IF(AD158&lt;F158,AA158+AB158-AC158,0)))))</x:f>
        <x:v>0</x:v>
      </x:c>
      <x:c r="H158" s="6" t="n">
        <x:f>ROUND(MAX(0,C158+D158-E158-G158),2)</x:f>
        <x:v>0</x:v>
      </x:c>
      <x:c r="I158" s="6" t="n">
        <x:f>N157</x:f>
        <x:v>0</x:v>
      </x:c>
      <x:c r="J158" s="6" t="n">
        <x:f>ROUND(I158*'Debt strategy'!$D$10/12,2)</x:f>
        <x:v>0</x:v>
      </x:c>
      <x:c r="K158" s="6" t="n">
        <x:f>MIN(I158+J158,'Debt strategy'!$E$10)</x:f>
        <x:v>0</x:v>
      </x:c>
      <x:c r="L158" s="27" t="n">
        <x:f>IF(I158+J158-K158&lt;=0,99,1+SUM(IF(AND(C158+D158-E158&gt;0,OR('Debt strategy'!$D$9&gt;'Debt strategy'!$D$10,AND('Debt strategy'!$D$9='Debt strategy'!$D$10,0&lt;1))),1,0),IF(AND(O158+P158-Q158&gt;0,OR('Debt strategy'!$D$11&gt;'Debt strategy'!$D$10,AND('Debt strategy'!$D$11='Debt strategy'!$D$10,2&lt;1))),1,0),IF(AND(U158+V158-W158&gt;0,OR('Debt strategy'!$D$12&gt;'Debt strategy'!$D$10,AND('Debt strategy'!$D$12='Debt strategy'!$D$10,3&lt;1))),1,0),IF(AND(AA158+AB158-AC158&gt;0,OR('Debt strategy'!$D$13&gt;'Debt strategy'!$D$10,AND('Debt strategy'!$D$13='Debt strategy'!$D$10,4&lt;1))),1,0)))</x:f>
        <x:v>99</x:v>
      </x:c>
      <x:c r="M158" s="6" t="n">
        <x:f>IF('Debt strategy'!$C$16&gt;0,0,MIN(I158+J158-K158,MAX(0,'Debt strategy'!$C$5-SUM(E158,K158,Q158,W158,AC158)-SUM(IF(F158&lt;L158,C158+D158-E158,0),IF(R158&lt;L158,O158+P158-Q158,0),IF(X158&lt;L158,U158+V158-W158,0),IF(AD158&lt;L158,AA158+AB158-AC158,0)))))</x:f>
        <x:v>0</x:v>
      </x:c>
      <x:c r="N158" s="6" t="n">
        <x:f>ROUND(MAX(0,I158+J158-K158-M158),2)</x:f>
        <x:v>0</x:v>
      </x:c>
      <x:c r="O158" s="6" t="n">
        <x:f>T157</x:f>
        <x:v>0</x:v>
      </x:c>
      <x:c r="P158" s="6" t="n">
        <x:f>ROUND(O158*'Debt strategy'!$D$11/12,2)</x:f>
        <x:v>0</x:v>
      </x:c>
      <x:c r="Q158" s="6" t="n">
        <x:f>MIN(O158+P158,'Debt strategy'!$E$11)</x:f>
        <x:v>0</x:v>
      </x:c>
      <x:c r="R158" s="27" t="n">
        <x:f>IF(O158+P158-Q158&lt;=0,99,1+SUM(IF(AND(C158+D158-E158&gt;0,OR('Debt strategy'!$D$9&gt;'Debt strategy'!$D$11,AND('Debt strategy'!$D$9='Debt strategy'!$D$11,0&lt;2))),1,0),IF(AND(I158+J158-K158&gt;0,OR('Debt strategy'!$D$10&gt;'Debt strategy'!$D$11,AND('Debt strategy'!$D$10='Debt strategy'!$D$11,1&lt;2))),1,0),IF(AND(U158+V158-W158&gt;0,OR('Debt strategy'!$D$12&gt;'Debt strategy'!$D$11,AND('Debt strategy'!$D$12='Debt strategy'!$D$11,3&lt;2))),1,0),IF(AND(AA158+AB158-AC158&gt;0,OR('Debt strategy'!$D$13&gt;'Debt strategy'!$D$11,AND('Debt strategy'!$D$13='Debt strategy'!$D$11,4&lt;2))),1,0)))</x:f>
        <x:v>99</x:v>
      </x:c>
      <x:c r="S158" s="6" t="n">
        <x:f>IF('Debt strategy'!$C$16&gt;0,0,MIN(O158+P158-Q158,MAX(0,'Debt strategy'!$C$5-SUM(E158,K158,Q158,W158,AC158)-SUM(IF(F158&lt;R158,C158+D158-E158,0),IF(L158&lt;R158,I158+J158-K158,0),IF(X158&lt;R158,U158+V158-W158,0),IF(AD158&lt;R158,AA158+AB158-AC158,0)))))</x:f>
        <x:v>0</x:v>
      </x:c>
      <x:c r="T158" s="6" t="n">
        <x:f>ROUND(MAX(0,O158+P158-Q158-S158),2)</x:f>
        <x:v>0</x:v>
      </x:c>
      <x:c r="U158" s="6" t="n">
        <x:f>Z157</x:f>
        <x:v>0</x:v>
      </x:c>
      <x:c r="V158" s="6" t="n">
        <x:f>ROUND(U158*'Debt strategy'!$D$12/12,2)</x:f>
        <x:v>0</x:v>
      </x:c>
      <x:c r="W158" s="6" t="n">
        <x:f>MIN(U158+V158,'Debt strategy'!$E$12)</x:f>
        <x:v>0</x:v>
      </x:c>
      <x:c r="X158" s="27" t="n">
        <x:f>IF(U158+V158-W158&lt;=0,99,1+SUM(IF(AND(C158+D158-E158&gt;0,OR('Debt strategy'!$D$9&gt;'Debt strategy'!$D$12,AND('Debt strategy'!$D$9='Debt strategy'!$D$12,0&lt;3))),1,0),IF(AND(I158+J158-K158&gt;0,OR('Debt strategy'!$D$10&gt;'Debt strategy'!$D$12,AND('Debt strategy'!$D$10='Debt strategy'!$D$12,1&lt;3))),1,0),IF(AND(O158+P158-Q158&gt;0,OR('Debt strategy'!$D$11&gt;'Debt strategy'!$D$12,AND('Debt strategy'!$D$11='Debt strategy'!$D$12,2&lt;3))),1,0),IF(AND(AA158+AB158-AC158&gt;0,OR('Debt strategy'!$D$13&gt;'Debt strategy'!$D$12,AND('Debt strategy'!$D$13='Debt strategy'!$D$12,4&lt;3))),1,0)))</x:f>
        <x:v>99</x:v>
      </x:c>
      <x:c r="Y158" s="6" t="n">
        <x:f>IF('Debt strategy'!$C$16&gt;0,0,MIN(U158+V158-W158,MAX(0,'Debt strategy'!$C$5-SUM(E158,K158,Q158,W158,AC158)-SUM(IF(F158&lt;X158,C158+D158-E158,0),IF(L158&lt;X158,I158+J158-K158,0),IF(R158&lt;X158,O158+P158-Q158,0),IF(AD158&lt;X158,AA158+AB158-AC158,0)))))</x:f>
        <x:v>0</x:v>
      </x:c>
      <x:c r="Z158" s="6" t="n">
        <x:f>ROUND(MAX(0,U158+V158-W158-Y158),2)</x:f>
        <x:v>0</x:v>
      </x:c>
      <x:c r="AA158" s="6" t="n">
        <x:f>AF157</x:f>
        <x:v>0</x:v>
      </x:c>
      <x:c r="AB158" s="6" t="n">
        <x:f>ROUND(AA158*'Debt strategy'!$D$13/12,2)</x:f>
        <x:v>0</x:v>
      </x:c>
      <x:c r="AC158" s="6" t="n">
        <x:f>MIN(AA158+AB158,'Debt strategy'!$E$13)</x:f>
        <x:v>0</x:v>
      </x:c>
      <x:c r="AD158" s="27" t="n">
        <x:f>IF(AA158+AB158-AC158&lt;=0,99,1+SUM(IF(AND(C158+D158-E158&gt;0,OR('Debt strategy'!$D$9&gt;'Debt strategy'!$D$13,AND('Debt strategy'!$D$9='Debt strategy'!$D$13,0&lt;4))),1,0),IF(AND(I158+J158-K158&gt;0,OR('Debt strategy'!$D$10&gt;'Debt strategy'!$D$13,AND('Debt strategy'!$D$10='Debt strategy'!$D$13,1&lt;4))),1,0),IF(AND(O158+P158-Q158&gt;0,OR('Debt strategy'!$D$11&gt;'Debt strategy'!$D$13,AND('Debt strategy'!$D$11='Debt strategy'!$D$13,2&lt;4))),1,0),IF(AND(U158+V158-W158&gt;0,OR('Debt strategy'!$D$12&gt;'Debt strategy'!$D$13,AND('Debt strategy'!$D$12='Debt strategy'!$D$13,3&lt;4))),1,0)))</x:f>
        <x:v>99</x:v>
      </x:c>
      <x:c r="AE158" s="6" t="n">
        <x:f>IF('Debt strategy'!$C$16&gt;0,0,MIN(AA158+AB158-AC158,MAX(0,'Debt strategy'!$C$5-SUM(E158,K158,Q158,W158,AC158)-SUM(IF(F158&lt;AD158,C158+D158-E158,0),IF(L158&lt;AD158,I158+J158-K158,0),IF(R158&lt;AD158,O158+P158-Q158,0),IF(X158&lt;AD158,U158+V158-W158,0)))))</x:f>
        <x:v>0</x:v>
      </x:c>
      <x:c r="AF158" s="6" t="n">
        <x:f>ROUND(MAX(0,AA158+AB158-AC158-AE158),2)</x:f>
        <x:v>0</x:v>
      </x:c>
      <x:c r="AG158" s="6" t="n">
        <x:f>SUM(H158,N158,T158,Z158,AF158)</x:f>
        <x:v>0</x:v>
      </x:c>
      <x:c r="AH158" s="6" t="n">
        <x:f>SUM(D158,J158,P158,V158,AB158)+AH157</x:f>
        <x:v>1220.8400000000001</x:v>
      </x:c>
      <x:c r="AI158" s="2"/>
    </x:row>
    <x:row r="159" ht="23" customHeight="1">
      <x:c r="B159" s="2" t="n">
        <x:f>151</x:f>
        <x:v>151</x:v>
      </x:c>
      <x:c r="C159" s="6" t="n">
        <x:f>H158</x:f>
        <x:v>0</x:v>
      </x:c>
      <x:c r="D159" s="6" t="n">
        <x:f>ROUND(C159*'Debt strategy'!$D$9/12,2)</x:f>
        <x:v>0</x:v>
      </x:c>
      <x:c r="E159" s="6" t="n">
        <x:f>MIN(C159+D159,'Debt strategy'!$E$9)</x:f>
        <x:v>0</x:v>
      </x:c>
      <x:c r="F159" s="27" t="n">
        <x:f>IF(C159+D159-E159&lt;=0,99,1+SUM(IF(AND(I159+J159-K159&gt;0,OR('Debt strategy'!$D$10&gt;'Debt strategy'!$D$9,AND('Debt strategy'!$D$10='Debt strategy'!$D$9,1&lt;0))),1,0),IF(AND(O159+P159-Q159&gt;0,OR('Debt strategy'!$D$11&gt;'Debt strategy'!$D$9,AND('Debt strategy'!$D$11='Debt strategy'!$D$9,2&lt;0))),1,0),IF(AND(U159+V159-W159&gt;0,OR('Debt strategy'!$D$12&gt;'Debt strategy'!$D$9,AND('Debt strategy'!$D$12='Debt strategy'!$D$9,3&lt;0))),1,0),IF(AND(AA159+AB159-AC159&gt;0,OR('Debt strategy'!$D$13&gt;'Debt strategy'!$D$9,AND('Debt strategy'!$D$13='Debt strategy'!$D$9,4&lt;0))),1,0)))</x:f>
        <x:v>99</x:v>
      </x:c>
      <x:c r="G159" s="6" t="n">
        <x:f>IF('Debt strategy'!$C$16&gt;0,0,MIN(C159+D159-E159,MAX(0,'Debt strategy'!$C$5-SUM(E159,K159,Q159,W159,AC159)-SUM(IF(L159&lt;F159,I159+J159-K159,0),IF(R159&lt;F159,O159+P159-Q159,0),IF(X159&lt;F159,U159+V159-W159,0),IF(AD159&lt;F159,AA159+AB159-AC159,0)))))</x:f>
        <x:v>0</x:v>
      </x:c>
      <x:c r="H159" s="6" t="n">
        <x:f>ROUND(MAX(0,C159+D159-E159-G159),2)</x:f>
        <x:v>0</x:v>
      </x:c>
      <x:c r="I159" s="6" t="n">
        <x:f>N158</x:f>
        <x:v>0</x:v>
      </x:c>
      <x:c r="J159" s="6" t="n">
        <x:f>ROUND(I159*'Debt strategy'!$D$10/12,2)</x:f>
        <x:v>0</x:v>
      </x:c>
      <x:c r="K159" s="6" t="n">
        <x:f>MIN(I159+J159,'Debt strategy'!$E$10)</x:f>
        <x:v>0</x:v>
      </x:c>
      <x:c r="L159" s="27" t="n">
        <x:f>IF(I159+J159-K159&lt;=0,99,1+SUM(IF(AND(C159+D159-E159&gt;0,OR('Debt strategy'!$D$9&gt;'Debt strategy'!$D$10,AND('Debt strategy'!$D$9='Debt strategy'!$D$10,0&lt;1))),1,0),IF(AND(O159+P159-Q159&gt;0,OR('Debt strategy'!$D$11&gt;'Debt strategy'!$D$10,AND('Debt strategy'!$D$11='Debt strategy'!$D$10,2&lt;1))),1,0),IF(AND(U159+V159-W159&gt;0,OR('Debt strategy'!$D$12&gt;'Debt strategy'!$D$10,AND('Debt strategy'!$D$12='Debt strategy'!$D$10,3&lt;1))),1,0),IF(AND(AA159+AB159-AC159&gt;0,OR('Debt strategy'!$D$13&gt;'Debt strategy'!$D$10,AND('Debt strategy'!$D$13='Debt strategy'!$D$10,4&lt;1))),1,0)))</x:f>
        <x:v>99</x:v>
      </x:c>
      <x:c r="M159" s="6" t="n">
        <x:f>IF('Debt strategy'!$C$16&gt;0,0,MIN(I159+J159-K159,MAX(0,'Debt strategy'!$C$5-SUM(E159,K159,Q159,W159,AC159)-SUM(IF(F159&lt;L159,C159+D159-E159,0),IF(R159&lt;L159,O159+P159-Q159,0),IF(X159&lt;L159,U159+V159-W159,0),IF(AD159&lt;L159,AA159+AB159-AC159,0)))))</x:f>
        <x:v>0</x:v>
      </x:c>
      <x:c r="N159" s="6" t="n">
        <x:f>ROUND(MAX(0,I159+J159-K159-M159),2)</x:f>
        <x:v>0</x:v>
      </x:c>
      <x:c r="O159" s="6" t="n">
        <x:f>T158</x:f>
        <x:v>0</x:v>
      </x:c>
      <x:c r="P159" s="6" t="n">
        <x:f>ROUND(O159*'Debt strategy'!$D$11/12,2)</x:f>
        <x:v>0</x:v>
      </x:c>
      <x:c r="Q159" s="6" t="n">
        <x:f>MIN(O159+P159,'Debt strategy'!$E$11)</x:f>
        <x:v>0</x:v>
      </x:c>
      <x:c r="R159" s="27" t="n">
        <x:f>IF(O159+P159-Q159&lt;=0,99,1+SUM(IF(AND(C159+D159-E159&gt;0,OR('Debt strategy'!$D$9&gt;'Debt strategy'!$D$11,AND('Debt strategy'!$D$9='Debt strategy'!$D$11,0&lt;2))),1,0),IF(AND(I159+J159-K159&gt;0,OR('Debt strategy'!$D$10&gt;'Debt strategy'!$D$11,AND('Debt strategy'!$D$10='Debt strategy'!$D$11,1&lt;2))),1,0),IF(AND(U159+V159-W159&gt;0,OR('Debt strategy'!$D$12&gt;'Debt strategy'!$D$11,AND('Debt strategy'!$D$12='Debt strategy'!$D$11,3&lt;2))),1,0),IF(AND(AA159+AB159-AC159&gt;0,OR('Debt strategy'!$D$13&gt;'Debt strategy'!$D$11,AND('Debt strategy'!$D$13='Debt strategy'!$D$11,4&lt;2))),1,0)))</x:f>
        <x:v>99</x:v>
      </x:c>
      <x:c r="S159" s="6" t="n">
        <x:f>IF('Debt strategy'!$C$16&gt;0,0,MIN(O159+P159-Q159,MAX(0,'Debt strategy'!$C$5-SUM(E159,K159,Q159,W159,AC159)-SUM(IF(F159&lt;R159,C159+D159-E159,0),IF(L159&lt;R159,I159+J159-K159,0),IF(X159&lt;R159,U159+V159-W159,0),IF(AD159&lt;R159,AA159+AB159-AC159,0)))))</x:f>
        <x:v>0</x:v>
      </x:c>
      <x:c r="T159" s="6" t="n">
        <x:f>ROUND(MAX(0,O159+P159-Q159-S159),2)</x:f>
        <x:v>0</x:v>
      </x:c>
      <x:c r="U159" s="6" t="n">
        <x:f>Z158</x:f>
        <x:v>0</x:v>
      </x:c>
      <x:c r="V159" s="6" t="n">
        <x:f>ROUND(U159*'Debt strategy'!$D$12/12,2)</x:f>
        <x:v>0</x:v>
      </x:c>
      <x:c r="W159" s="6" t="n">
        <x:f>MIN(U159+V159,'Debt strategy'!$E$12)</x:f>
        <x:v>0</x:v>
      </x:c>
      <x:c r="X159" s="27" t="n">
        <x:f>IF(U159+V159-W159&lt;=0,99,1+SUM(IF(AND(C159+D159-E159&gt;0,OR('Debt strategy'!$D$9&gt;'Debt strategy'!$D$12,AND('Debt strategy'!$D$9='Debt strategy'!$D$12,0&lt;3))),1,0),IF(AND(I159+J159-K159&gt;0,OR('Debt strategy'!$D$10&gt;'Debt strategy'!$D$12,AND('Debt strategy'!$D$10='Debt strategy'!$D$12,1&lt;3))),1,0),IF(AND(O159+P159-Q159&gt;0,OR('Debt strategy'!$D$11&gt;'Debt strategy'!$D$12,AND('Debt strategy'!$D$11='Debt strategy'!$D$12,2&lt;3))),1,0),IF(AND(AA159+AB159-AC159&gt;0,OR('Debt strategy'!$D$13&gt;'Debt strategy'!$D$12,AND('Debt strategy'!$D$13='Debt strategy'!$D$12,4&lt;3))),1,0)))</x:f>
        <x:v>99</x:v>
      </x:c>
      <x:c r="Y159" s="6" t="n">
        <x:f>IF('Debt strategy'!$C$16&gt;0,0,MIN(U159+V159-W159,MAX(0,'Debt strategy'!$C$5-SUM(E159,K159,Q159,W159,AC159)-SUM(IF(F159&lt;X159,C159+D159-E159,0),IF(L159&lt;X159,I159+J159-K159,0),IF(R159&lt;X159,O159+P159-Q159,0),IF(AD159&lt;X159,AA159+AB159-AC159,0)))))</x:f>
        <x:v>0</x:v>
      </x:c>
      <x:c r="Z159" s="6" t="n">
        <x:f>ROUND(MAX(0,U159+V159-W159-Y159),2)</x:f>
        <x:v>0</x:v>
      </x:c>
      <x:c r="AA159" s="6" t="n">
        <x:f>AF158</x:f>
        <x:v>0</x:v>
      </x:c>
      <x:c r="AB159" s="6" t="n">
        <x:f>ROUND(AA159*'Debt strategy'!$D$13/12,2)</x:f>
        <x:v>0</x:v>
      </x:c>
      <x:c r="AC159" s="6" t="n">
        <x:f>MIN(AA159+AB159,'Debt strategy'!$E$13)</x:f>
        <x:v>0</x:v>
      </x:c>
      <x:c r="AD159" s="27" t="n">
        <x:f>IF(AA159+AB159-AC159&lt;=0,99,1+SUM(IF(AND(C159+D159-E159&gt;0,OR('Debt strategy'!$D$9&gt;'Debt strategy'!$D$13,AND('Debt strategy'!$D$9='Debt strategy'!$D$13,0&lt;4))),1,0),IF(AND(I159+J159-K159&gt;0,OR('Debt strategy'!$D$10&gt;'Debt strategy'!$D$13,AND('Debt strategy'!$D$10='Debt strategy'!$D$13,1&lt;4))),1,0),IF(AND(O159+P159-Q159&gt;0,OR('Debt strategy'!$D$11&gt;'Debt strategy'!$D$13,AND('Debt strategy'!$D$11='Debt strategy'!$D$13,2&lt;4))),1,0),IF(AND(U159+V159-W159&gt;0,OR('Debt strategy'!$D$12&gt;'Debt strategy'!$D$13,AND('Debt strategy'!$D$12='Debt strategy'!$D$13,3&lt;4))),1,0)))</x:f>
        <x:v>99</x:v>
      </x:c>
      <x:c r="AE159" s="6" t="n">
        <x:f>IF('Debt strategy'!$C$16&gt;0,0,MIN(AA159+AB159-AC159,MAX(0,'Debt strategy'!$C$5-SUM(E159,K159,Q159,W159,AC159)-SUM(IF(F159&lt;AD159,C159+D159-E159,0),IF(L159&lt;AD159,I159+J159-K159,0),IF(R159&lt;AD159,O159+P159-Q159,0),IF(X159&lt;AD159,U159+V159-W159,0)))))</x:f>
        <x:v>0</x:v>
      </x:c>
      <x:c r="AF159" s="6" t="n">
        <x:f>ROUND(MAX(0,AA159+AB159-AC159-AE159),2)</x:f>
        <x:v>0</x:v>
      </x:c>
      <x:c r="AG159" s="6" t="n">
        <x:f>SUM(H159,N159,T159,Z159,AF159)</x:f>
        <x:v>0</x:v>
      </x:c>
      <x:c r="AH159" s="6" t="n">
        <x:f>SUM(D159,J159,P159,V159,AB159)+AH158</x:f>
        <x:v>1220.8400000000001</x:v>
      </x:c>
      <x:c r="AI159" s="2"/>
    </x:row>
    <x:row r="160" ht="23" customHeight="1">
      <x:c r="B160" s="2" t="n">
        <x:f>152</x:f>
        <x:v>152</x:v>
      </x:c>
      <x:c r="C160" s="6" t="n">
        <x:f>H159</x:f>
        <x:v>0</x:v>
      </x:c>
      <x:c r="D160" s="6" t="n">
        <x:f>ROUND(C160*'Debt strategy'!$D$9/12,2)</x:f>
        <x:v>0</x:v>
      </x:c>
      <x:c r="E160" s="6" t="n">
        <x:f>MIN(C160+D160,'Debt strategy'!$E$9)</x:f>
        <x:v>0</x:v>
      </x:c>
      <x:c r="F160" s="27" t="n">
        <x:f>IF(C160+D160-E160&lt;=0,99,1+SUM(IF(AND(I160+J160-K160&gt;0,OR('Debt strategy'!$D$10&gt;'Debt strategy'!$D$9,AND('Debt strategy'!$D$10='Debt strategy'!$D$9,1&lt;0))),1,0),IF(AND(O160+P160-Q160&gt;0,OR('Debt strategy'!$D$11&gt;'Debt strategy'!$D$9,AND('Debt strategy'!$D$11='Debt strategy'!$D$9,2&lt;0))),1,0),IF(AND(U160+V160-W160&gt;0,OR('Debt strategy'!$D$12&gt;'Debt strategy'!$D$9,AND('Debt strategy'!$D$12='Debt strategy'!$D$9,3&lt;0))),1,0),IF(AND(AA160+AB160-AC160&gt;0,OR('Debt strategy'!$D$13&gt;'Debt strategy'!$D$9,AND('Debt strategy'!$D$13='Debt strategy'!$D$9,4&lt;0))),1,0)))</x:f>
        <x:v>99</x:v>
      </x:c>
      <x:c r="G160" s="6" t="n">
        <x:f>IF('Debt strategy'!$C$16&gt;0,0,MIN(C160+D160-E160,MAX(0,'Debt strategy'!$C$5-SUM(E160,K160,Q160,W160,AC160)-SUM(IF(L160&lt;F160,I160+J160-K160,0),IF(R160&lt;F160,O160+P160-Q160,0),IF(X160&lt;F160,U160+V160-W160,0),IF(AD160&lt;F160,AA160+AB160-AC160,0)))))</x:f>
        <x:v>0</x:v>
      </x:c>
      <x:c r="H160" s="6" t="n">
        <x:f>ROUND(MAX(0,C160+D160-E160-G160),2)</x:f>
        <x:v>0</x:v>
      </x:c>
      <x:c r="I160" s="6" t="n">
        <x:f>N159</x:f>
        <x:v>0</x:v>
      </x:c>
      <x:c r="J160" s="6" t="n">
        <x:f>ROUND(I160*'Debt strategy'!$D$10/12,2)</x:f>
        <x:v>0</x:v>
      </x:c>
      <x:c r="K160" s="6" t="n">
        <x:f>MIN(I160+J160,'Debt strategy'!$E$10)</x:f>
        <x:v>0</x:v>
      </x:c>
      <x:c r="L160" s="27" t="n">
        <x:f>IF(I160+J160-K160&lt;=0,99,1+SUM(IF(AND(C160+D160-E160&gt;0,OR('Debt strategy'!$D$9&gt;'Debt strategy'!$D$10,AND('Debt strategy'!$D$9='Debt strategy'!$D$10,0&lt;1))),1,0),IF(AND(O160+P160-Q160&gt;0,OR('Debt strategy'!$D$11&gt;'Debt strategy'!$D$10,AND('Debt strategy'!$D$11='Debt strategy'!$D$10,2&lt;1))),1,0),IF(AND(U160+V160-W160&gt;0,OR('Debt strategy'!$D$12&gt;'Debt strategy'!$D$10,AND('Debt strategy'!$D$12='Debt strategy'!$D$10,3&lt;1))),1,0),IF(AND(AA160+AB160-AC160&gt;0,OR('Debt strategy'!$D$13&gt;'Debt strategy'!$D$10,AND('Debt strategy'!$D$13='Debt strategy'!$D$10,4&lt;1))),1,0)))</x:f>
        <x:v>99</x:v>
      </x:c>
      <x:c r="M160" s="6" t="n">
        <x:f>IF('Debt strategy'!$C$16&gt;0,0,MIN(I160+J160-K160,MAX(0,'Debt strategy'!$C$5-SUM(E160,K160,Q160,W160,AC160)-SUM(IF(F160&lt;L160,C160+D160-E160,0),IF(R160&lt;L160,O160+P160-Q160,0),IF(X160&lt;L160,U160+V160-W160,0),IF(AD160&lt;L160,AA160+AB160-AC160,0)))))</x:f>
        <x:v>0</x:v>
      </x:c>
      <x:c r="N160" s="6" t="n">
        <x:f>ROUND(MAX(0,I160+J160-K160-M160),2)</x:f>
        <x:v>0</x:v>
      </x:c>
      <x:c r="O160" s="6" t="n">
        <x:f>T159</x:f>
        <x:v>0</x:v>
      </x:c>
      <x:c r="P160" s="6" t="n">
        <x:f>ROUND(O160*'Debt strategy'!$D$11/12,2)</x:f>
        <x:v>0</x:v>
      </x:c>
      <x:c r="Q160" s="6" t="n">
        <x:f>MIN(O160+P160,'Debt strategy'!$E$11)</x:f>
        <x:v>0</x:v>
      </x:c>
      <x:c r="R160" s="27" t="n">
        <x:f>IF(O160+P160-Q160&lt;=0,99,1+SUM(IF(AND(C160+D160-E160&gt;0,OR('Debt strategy'!$D$9&gt;'Debt strategy'!$D$11,AND('Debt strategy'!$D$9='Debt strategy'!$D$11,0&lt;2))),1,0),IF(AND(I160+J160-K160&gt;0,OR('Debt strategy'!$D$10&gt;'Debt strategy'!$D$11,AND('Debt strategy'!$D$10='Debt strategy'!$D$11,1&lt;2))),1,0),IF(AND(U160+V160-W160&gt;0,OR('Debt strategy'!$D$12&gt;'Debt strategy'!$D$11,AND('Debt strategy'!$D$12='Debt strategy'!$D$11,3&lt;2))),1,0),IF(AND(AA160+AB160-AC160&gt;0,OR('Debt strategy'!$D$13&gt;'Debt strategy'!$D$11,AND('Debt strategy'!$D$13='Debt strategy'!$D$11,4&lt;2))),1,0)))</x:f>
        <x:v>99</x:v>
      </x:c>
      <x:c r="S160" s="6" t="n">
        <x:f>IF('Debt strategy'!$C$16&gt;0,0,MIN(O160+P160-Q160,MAX(0,'Debt strategy'!$C$5-SUM(E160,K160,Q160,W160,AC160)-SUM(IF(F160&lt;R160,C160+D160-E160,0),IF(L160&lt;R160,I160+J160-K160,0),IF(X160&lt;R160,U160+V160-W160,0),IF(AD160&lt;R160,AA160+AB160-AC160,0)))))</x:f>
        <x:v>0</x:v>
      </x:c>
      <x:c r="T160" s="6" t="n">
        <x:f>ROUND(MAX(0,O160+P160-Q160-S160),2)</x:f>
        <x:v>0</x:v>
      </x:c>
      <x:c r="U160" s="6" t="n">
        <x:f>Z159</x:f>
        <x:v>0</x:v>
      </x:c>
      <x:c r="V160" s="6" t="n">
        <x:f>ROUND(U160*'Debt strategy'!$D$12/12,2)</x:f>
        <x:v>0</x:v>
      </x:c>
      <x:c r="W160" s="6" t="n">
        <x:f>MIN(U160+V160,'Debt strategy'!$E$12)</x:f>
        <x:v>0</x:v>
      </x:c>
      <x:c r="X160" s="27" t="n">
        <x:f>IF(U160+V160-W160&lt;=0,99,1+SUM(IF(AND(C160+D160-E160&gt;0,OR('Debt strategy'!$D$9&gt;'Debt strategy'!$D$12,AND('Debt strategy'!$D$9='Debt strategy'!$D$12,0&lt;3))),1,0),IF(AND(I160+J160-K160&gt;0,OR('Debt strategy'!$D$10&gt;'Debt strategy'!$D$12,AND('Debt strategy'!$D$10='Debt strategy'!$D$12,1&lt;3))),1,0),IF(AND(O160+P160-Q160&gt;0,OR('Debt strategy'!$D$11&gt;'Debt strategy'!$D$12,AND('Debt strategy'!$D$11='Debt strategy'!$D$12,2&lt;3))),1,0),IF(AND(AA160+AB160-AC160&gt;0,OR('Debt strategy'!$D$13&gt;'Debt strategy'!$D$12,AND('Debt strategy'!$D$13='Debt strategy'!$D$12,4&lt;3))),1,0)))</x:f>
        <x:v>99</x:v>
      </x:c>
      <x:c r="Y160" s="6" t="n">
        <x:f>IF('Debt strategy'!$C$16&gt;0,0,MIN(U160+V160-W160,MAX(0,'Debt strategy'!$C$5-SUM(E160,K160,Q160,W160,AC160)-SUM(IF(F160&lt;X160,C160+D160-E160,0),IF(L160&lt;X160,I160+J160-K160,0),IF(R160&lt;X160,O160+P160-Q160,0),IF(AD160&lt;X160,AA160+AB160-AC160,0)))))</x:f>
        <x:v>0</x:v>
      </x:c>
      <x:c r="Z160" s="6" t="n">
        <x:f>ROUND(MAX(0,U160+V160-W160-Y160),2)</x:f>
        <x:v>0</x:v>
      </x:c>
      <x:c r="AA160" s="6" t="n">
        <x:f>AF159</x:f>
        <x:v>0</x:v>
      </x:c>
      <x:c r="AB160" s="6" t="n">
        <x:f>ROUND(AA160*'Debt strategy'!$D$13/12,2)</x:f>
        <x:v>0</x:v>
      </x:c>
      <x:c r="AC160" s="6" t="n">
        <x:f>MIN(AA160+AB160,'Debt strategy'!$E$13)</x:f>
        <x:v>0</x:v>
      </x:c>
      <x:c r="AD160" s="27" t="n">
        <x:f>IF(AA160+AB160-AC160&lt;=0,99,1+SUM(IF(AND(C160+D160-E160&gt;0,OR('Debt strategy'!$D$9&gt;'Debt strategy'!$D$13,AND('Debt strategy'!$D$9='Debt strategy'!$D$13,0&lt;4))),1,0),IF(AND(I160+J160-K160&gt;0,OR('Debt strategy'!$D$10&gt;'Debt strategy'!$D$13,AND('Debt strategy'!$D$10='Debt strategy'!$D$13,1&lt;4))),1,0),IF(AND(O160+P160-Q160&gt;0,OR('Debt strategy'!$D$11&gt;'Debt strategy'!$D$13,AND('Debt strategy'!$D$11='Debt strategy'!$D$13,2&lt;4))),1,0),IF(AND(U160+V160-W160&gt;0,OR('Debt strategy'!$D$12&gt;'Debt strategy'!$D$13,AND('Debt strategy'!$D$12='Debt strategy'!$D$13,3&lt;4))),1,0)))</x:f>
        <x:v>99</x:v>
      </x:c>
      <x:c r="AE160" s="6" t="n">
        <x:f>IF('Debt strategy'!$C$16&gt;0,0,MIN(AA160+AB160-AC160,MAX(0,'Debt strategy'!$C$5-SUM(E160,K160,Q160,W160,AC160)-SUM(IF(F160&lt;AD160,C160+D160-E160,0),IF(L160&lt;AD160,I160+J160-K160,0),IF(R160&lt;AD160,O160+P160-Q160,0),IF(X160&lt;AD160,U160+V160-W160,0)))))</x:f>
        <x:v>0</x:v>
      </x:c>
      <x:c r="AF160" s="6" t="n">
        <x:f>ROUND(MAX(0,AA160+AB160-AC160-AE160),2)</x:f>
        <x:v>0</x:v>
      </x:c>
      <x:c r="AG160" s="6" t="n">
        <x:f>SUM(H160,N160,T160,Z160,AF160)</x:f>
        <x:v>0</x:v>
      </x:c>
      <x:c r="AH160" s="6" t="n">
        <x:f>SUM(D160,J160,P160,V160,AB160)+AH159</x:f>
        <x:v>1220.8400000000001</x:v>
      </x:c>
      <x:c r="AI160" s="2"/>
    </x:row>
    <x:row r="161" ht="23" customHeight="1">
      <x:c r="B161" s="2" t="n">
        <x:f>153</x:f>
        <x:v>153</x:v>
      </x:c>
      <x:c r="C161" s="6" t="n">
        <x:f>H160</x:f>
        <x:v>0</x:v>
      </x:c>
      <x:c r="D161" s="6" t="n">
        <x:f>ROUND(C161*'Debt strategy'!$D$9/12,2)</x:f>
        <x:v>0</x:v>
      </x:c>
      <x:c r="E161" s="6" t="n">
        <x:f>MIN(C161+D161,'Debt strategy'!$E$9)</x:f>
        <x:v>0</x:v>
      </x:c>
      <x:c r="F161" s="27" t="n">
        <x:f>IF(C161+D161-E161&lt;=0,99,1+SUM(IF(AND(I161+J161-K161&gt;0,OR('Debt strategy'!$D$10&gt;'Debt strategy'!$D$9,AND('Debt strategy'!$D$10='Debt strategy'!$D$9,1&lt;0))),1,0),IF(AND(O161+P161-Q161&gt;0,OR('Debt strategy'!$D$11&gt;'Debt strategy'!$D$9,AND('Debt strategy'!$D$11='Debt strategy'!$D$9,2&lt;0))),1,0),IF(AND(U161+V161-W161&gt;0,OR('Debt strategy'!$D$12&gt;'Debt strategy'!$D$9,AND('Debt strategy'!$D$12='Debt strategy'!$D$9,3&lt;0))),1,0),IF(AND(AA161+AB161-AC161&gt;0,OR('Debt strategy'!$D$13&gt;'Debt strategy'!$D$9,AND('Debt strategy'!$D$13='Debt strategy'!$D$9,4&lt;0))),1,0)))</x:f>
        <x:v>99</x:v>
      </x:c>
      <x:c r="G161" s="6" t="n">
        <x:f>IF('Debt strategy'!$C$16&gt;0,0,MIN(C161+D161-E161,MAX(0,'Debt strategy'!$C$5-SUM(E161,K161,Q161,W161,AC161)-SUM(IF(L161&lt;F161,I161+J161-K161,0),IF(R161&lt;F161,O161+P161-Q161,0),IF(X161&lt;F161,U161+V161-W161,0),IF(AD161&lt;F161,AA161+AB161-AC161,0)))))</x:f>
        <x:v>0</x:v>
      </x:c>
      <x:c r="H161" s="6" t="n">
        <x:f>ROUND(MAX(0,C161+D161-E161-G161),2)</x:f>
        <x:v>0</x:v>
      </x:c>
      <x:c r="I161" s="6" t="n">
        <x:f>N160</x:f>
        <x:v>0</x:v>
      </x:c>
      <x:c r="J161" s="6" t="n">
        <x:f>ROUND(I161*'Debt strategy'!$D$10/12,2)</x:f>
        <x:v>0</x:v>
      </x:c>
      <x:c r="K161" s="6" t="n">
        <x:f>MIN(I161+J161,'Debt strategy'!$E$10)</x:f>
        <x:v>0</x:v>
      </x:c>
      <x:c r="L161" s="27" t="n">
        <x:f>IF(I161+J161-K161&lt;=0,99,1+SUM(IF(AND(C161+D161-E161&gt;0,OR('Debt strategy'!$D$9&gt;'Debt strategy'!$D$10,AND('Debt strategy'!$D$9='Debt strategy'!$D$10,0&lt;1))),1,0),IF(AND(O161+P161-Q161&gt;0,OR('Debt strategy'!$D$11&gt;'Debt strategy'!$D$10,AND('Debt strategy'!$D$11='Debt strategy'!$D$10,2&lt;1))),1,0),IF(AND(U161+V161-W161&gt;0,OR('Debt strategy'!$D$12&gt;'Debt strategy'!$D$10,AND('Debt strategy'!$D$12='Debt strategy'!$D$10,3&lt;1))),1,0),IF(AND(AA161+AB161-AC161&gt;0,OR('Debt strategy'!$D$13&gt;'Debt strategy'!$D$10,AND('Debt strategy'!$D$13='Debt strategy'!$D$10,4&lt;1))),1,0)))</x:f>
        <x:v>99</x:v>
      </x:c>
      <x:c r="M161" s="6" t="n">
        <x:f>IF('Debt strategy'!$C$16&gt;0,0,MIN(I161+J161-K161,MAX(0,'Debt strategy'!$C$5-SUM(E161,K161,Q161,W161,AC161)-SUM(IF(F161&lt;L161,C161+D161-E161,0),IF(R161&lt;L161,O161+P161-Q161,0),IF(X161&lt;L161,U161+V161-W161,0),IF(AD161&lt;L161,AA161+AB161-AC161,0)))))</x:f>
        <x:v>0</x:v>
      </x:c>
      <x:c r="N161" s="6" t="n">
        <x:f>ROUND(MAX(0,I161+J161-K161-M161),2)</x:f>
        <x:v>0</x:v>
      </x:c>
      <x:c r="O161" s="6" t="n">
        <x:f>T160</x:f>
        <x:v>0</x:v>
      </x:c>
      <x:c r="P161" s="6" t="n">
        <x:f>ROUND(O161*'Debt strategy'!$D$11/12,2)</x:f>
        <x:v>0</x:v>
      </x:c>
      <x:c r="Q161" s="6" t="n">
        <x:f>MIN(O161+P161,'Debt strategy'!$E$11)</x:f>
        <x:v>0</x:v>
      </x:c>
      <x:c r="R161" s="27" t="n">
        <x:f>IF(O161+P161-Q161&lt;=0,99,1+SUM(IF(AND(C161+D161-E161&gt;0,OR('Debt strategy'!$D$9&gt;'Debt strategy'!$D$11,AND('Debt strategy'!$D$9='Debt strategy'!$D$11,0&lt;2))),1,0),IF(AND(I161+J161-K161&gt;0,OR('Debt strategy'!$D$10&gt;'Debt strategy'!$D$11,AND('Debt strategy'!$D$10='Debt strategy'!$D$11,1&lt;2))),1,0),IF(AND(U161+V161-W161&gt;0,OR('Debt strategy'!$D$12&gt;'Debt strategy'!$D$11,AND('Debt strategy'!$D$12='Debt strategy'!$D$11,3&lt;2))),1,0),IF(AND(AA161+AB161-AC161&gt;0,OR('Debt strategy'!$D$13&gt;'Debt strategy'!$D$11,AND('Debt strategy'!$D$13='Debt strategy'!$D$11,4&lt;2))),1,0)))</x:f>
        <x:v>99</x:v>
      </x:c>
      <x:c r="S161" s="6" t="n">
        <x:f>IF('Debt strategy'!$C$16&gt;0,0,MIN(O161+P161-Q161,MAX(0,'Debt strategy'!$C$5-SUM(E161,K161,Q161,W161,AC161)-SUM(IF(F161&lt;R161,C161+D161-E161,0),IF(L161&lt;R161,I161+J161-K161,0),IF(X161&lt;R161,U161+V161-W161,0),IF(AD161&lt;R161,AA161+AB161-AC161,0)))))</x:f>
        <x:v>0</x:v>
      </x:c>
      <x:c r="T161" s="6" t="n">
        <x:f>ROUND(MAX(0,O161+P161-Q161-S161),2)</x:f>
        <x:v>0</x:v>
      </x:c>
      <x:c r="U161" s="6" t="n">
        <x:f>Z160</x:f>
        <x:v>0</x:v>
      </x:c>
      <x:c r="V161" s="6" t="n">
        <x:f>ROUND(U161*'Debt strategy'!$D$12/12,2)</x:f>
        <x:v>0</x:v>
      </x:c>
      <x:c r="W161" s="6" t="n">
        <x:f>MIN(U161+V161,'Debt strategy'!$E$12)</x:f>
        <x:v>0</x:v>
      </x:c>
      <x:c r="X161" s="27" t="n">
        <x:f>IF(U161+V161-W161&lt;=0,99,1+SUM(IF(AND(C161+D161-E161&gt;0,OR('Debt strategy'!$D$9&gt;'Debt strategy'!$D$12,AND('Debt strategy'!$D$9='Debt strategy'!$D$12,0&lt;3))),1,0),IF(AND(I161+J161-K161&gt;0,OR('Debt strategy'!$D$10&gt;'Debt strategy'!$D$12,AND('Debt strategy'!$D$10='Debt strategy'!$D$12,1&lt;3))),1,0),IF(AND(O161+P161-Q161&gt;0,OR('Debt strategy'!$D$11&gt;'Debt strategy'!$D$12,AND('Debt strategy'!$D$11='Debt strategy'!$D$12,2&lt;3))),1,0),IF(AND(AA161+AB161-AC161&gt;0,OR('Debt strategy'!$D$13&gt;'Debt strategy'!$D$12,AND('Debt strategy'!$D$13='Debt strategy'!$D$12,4&lt;3))),1,0)))</x:f>
        <x:v>99</x:v>
      </x:c>
      <x:c r="Y161" s="6" t="n">
        <x:f>IF('Debt strategy'!$C$16&gt;0,0,MIN(U161+V161-W161,MAX(0,'Debt strategy'!$C$5-SUM(E161,K161,Q161,W161,AC161)-SUM(IF(F161&lt;X161,C161+D161-E161,0),IF(L161&lt;X161,I161+J161-K161,0),IF(R161&lt;X161,O161+P161-Q161,0),IF(AD161&lt;X161,AA161+AB161-AC161,0)))))</x:f>
        <x:v>0</x:v>
      </x:c>
      <x:c r="Z161" s="6" t="n">
        <x:f>ROUND(MAX(0,U161+V161-W161-Y161),2)</x:f>
        <x:v>0</x:v>
      </x:c>
      <x:c r="AA161" s="6" t="n">
        <x:f>AF160</x:f>
        <x:v>0</x:v>
      </x:c>
      <x:c r="AB161" s="6" t="n">
        <x:f>ROUND(AA161*'Debt strategy'!$D$13/12,2)</x:f>
        <x:v>0</x:v>
      </x:c>
      <x:c r="AC161" s="6" t="n">
        <x:f>MIN(AA161+AB161,'Debt strategy'!$E$13)</x:f>
        <x:v>0</x:v>
      </x:c>
      <x:c r="AD161" s="27" t="n">
        <x:f>IF(AA161+AB161-AC161&lt;=0,99,1+SUM(IF(AND(C161+D161-E161&gt;0,OR('Debt strategy'!$D$9&gt;'Debt strategy'!$D$13,AND('Debt strategy'!$D$9='Debt strategy'!$D$13,0&lt;4))),1,0),IF(AND(I161+J161-K161&gt;0,OR('Debt strategy'!$D$10&gt;'Debt strategy'!$D$13,AND('Debt strategy'!$D$10='Debt strategy'!$D$13,1&lt;4))),1,0),IF(AND(O161+P161-Q161&gt;0,OR('Debt strategy'!$D$11&gt;'Debt strategy'!$D$13,AND('Debt strategy'!$D$11='Debt strategy'!$D$13,2&lt;4))),1,0),IF(AND(U161+V161-W161&gt;0,OR('Debt strategy'!$D$12&gt;'Debt strategy'!$D$13,AND('Debt strategy'!$D$12='Debt strategy'!$D$13,3&lt;4))),1,0)))</x:f>
        <x:v>99</x:v>
      </x:c>
      <x:c r="AE161" s="6" t="n">
        <x:f>IF('Debt strategy'!$C$16&gt;0,0,MIN(AA161+AB161-AC161,MAX(0,'Debt strategy'!$C$5-SUM(E161,K161,Q161,W161,AC161)-SUM(IF(F161&lt;AD161,C161+D161-E161,0),IF(L161&lt;AD161,I161+J161-K161,0),IF(R161&lt;AD161,O161+P161-Q161,0),IF(X161&lt;AD161,U161+V161-W161,0)))))</x:f>
        <x:v>0</x:v>
      </x:c>
      <x:c r="AF161" s="6" t="n">
        <x:f>ROUND(MAX(0,AA161+AB161-AC161-AE161),2)</x:f>
        <x:v>0</x:v>
      </x:c>
      <x:c r="AG161" s="6" t="n">
        <x:f>SUM(H161,N161,T161,Z161,AF161)</x:f>
        <x:v>0</x:v>
      </x:c>
      <x:c r="AH161" s="6" t="n">
        <x:f>SUM(D161,J161,P161,V161,AB161)+AH160</x:f>
        <x:v>1220.8400000000001</x:v>
      </x:c>
      <x:c r="AI161" s="2"/>
    </x:row>
    <x:row r="162" ht="23" customHeight="1">
      <x:c r="B162" s="2" t="n">
        <x:f>154</x:f>
        <x:v>154</x:v>
      </x:c>
      <x:c r="C162" s="6" t="n">
        <x:f>H161</x:f>
        <x:v>0</x:v>
      </x:c>
      <x:c r="D162" s="6" t="n">
        <x:f>ROUND(C162*'Debt strategy'!$D$9/12,2)</x:f>
        <x:v>0</x:v>
      </x:c>
      <x:c r="E162" s="6" t="n">
        <x:f>MIN(C162+D162,'Debt strategy'!$E$9)</x:f>
        <x:v>0</x:v>
      </x:c>
      <x:c r="F162" s="27" t="n">
        <x:f>IF(C162+D162-E162&lt;=0,99,1+SUM(IF(AND(I162+J162-K162&gt;0,OR('Debt strategy'!$D$10&gt;'Debt strategy'!$D$9,AND('Debt strategy'!$D$10='Debt strategy'!$D$9,1&lt;0))),1,0),IF(AND(O162+P162-Q162&gt;0,OR('Debt strategy'!$D$11&gt;'Debt strategy'!$D$9,AND('Debt strategy'!$D$11='Debt strategy'!$D$9,2&lt;0))),1,0),IF(AND(U162+V162-W162&gt;0,OR('Debt strategy'!$D$12&gt;'Debt strategy'!$D$9,AND('Debt strategy'!$D$12='Debt strategy'!$D$9,3&lt;0))),1,0),IF(AND(AA162+AB162-AC162&gt;0,OR('Debt strategy'!$D$13&gt;'Debt strategy'!$D$9,AND('Debt strategy'!$D$13='Debt strategy'!$D$9,4&lt;0))),1,0)))</x:f>
        <x:v>99</x:v>
      </x:c>
      <x:c r="G162" s="6" t="n">
        <x:f>IF('Debt strategy'!$C$16&gt;0,0,MIN(C162+D162-E162,MAX(0,'Debt strategy'!$C$5-SUM(E162,K162,Q162,W162,AC162)-SUM(IF(L162&lt;F162,I162+J162-K162,0),IF(R162&lt;F162,O162+P162-Q162,0),IF(X162&lt;F162,U162+V162-W162,0),IF(AD162&lt;F162,AA162+AB162-AC162,0)))))</x:f>
        <x:v>0</x:v>
      </x:c>
      <x:c r="H162" s="6" t="n">
        <x:f>ROUND(MAX(0,C162+D162-E162-G162),2)</x:f>
        <x:v>0</x:v>
      </x:c>
      <x:c r="I162" s="6" t="n">
        <x:f>N161</x:f>
        <x:v>0</x:v>
      </x:c>
      <x:c r="J162" s="6" t="n">
        <x:f>ROUND(I162*'Debt strategy'!$D$10/12,2)</x:f>
        <x:v>0</x:v>
      </x:c>
      <x:c r="K162" s="6" t="n">
        <x:f>MIN(I162+J162,'Debt strategy'!$E$10)</x:f>
        <x:v>0</x:v>
      </x:c>
      <x:c r="L162" s="27" t="n">
        <x:f>IF(I162+J162-K162&lt;=0,99,1+SUM(IF(AND(C162+D162-E162&gt;0,OR('Debt strategy'!$D$9&gt;'Debt strategy'!$D$10,AND('Debt strategy'!$D$9='Debt strategy'!$D$10,0&lt;1))),1,0),IF(AND(O162+P162-Q162&gt;0,OR('Debt strategy'!$D$11&gt;'Debt strategy'!$D$10,AND('Debt strategy'!$D$11='Debt strategy'!$D$10,2&lt;1))),1,0),IF(AND(U162+V162-W162&gt;0,OR('Debt strategy'!$D$12&gt;'Debt strategy'!$D$10,AND('Debt strategy'!$D$12='Debt strategy'!$D$10,3&lt;1))),1,0),IF(AND(AA162+AB162-AC162&gt;0,OR('Debt strategy'!$D$13&gt;'Debt strategy'!$D$10,AND('Debt strategy'!$D$13='Debt strategy'!$D$10,4&lt;1))),1,0)))</x:f>
        <x:v>99</x:v>
      </x:c>
      <x:c r="M162" s="6" t="n">
        <x:f>IF('Debt strategy'!$C$16&gt;0,0,MIN(I162+J162-K162,MAX(0,'Debt strategy'!$C$5-SUM(E162,K162,Q162,W162,AC162)-SUM(IF(F162&lt;L162,C162+D162-E162,0),IF(R162&lt;L162,O162+P162-Q162,0),IF(X162&lt;L162,U162+V162-W162,0),IF(AD162&lt;L162,AA162+AB162-AC162,0)))))</x:f>
        <x:v>0</x:v>
      </x:c>
      <x:c r="N162" s="6" t="n">
        <x:f>ROUND(MAX(0,I162+J162-K162-M162),2)</x:f>
        <x:v>0</x:v>
      </x:c>
      <x:c r="O162" s="6" t="n">
        <x:f>T161</x:f>
        <x:v>0</x:v>
      </x:c>
      <x:c r="P162" s="6" t="n">
        <x:f>ROUND(O162*'Debt strategy'!$D$11/12,2)</x:f>
        <x:v>0</x:v>
      </x:c>
      <x:c r="Q162" s="6" t="n">
        <x:f>MIN(O162+P162,'Debt strategy'!$E$11)</x:f>
        <x:v>0</x:v>
      </x:c>
      <x:c r="R162" s="27" t="n">
        <x:f>IF(O162+P162-Q162&lt;=0,99,1+SUM(IF(AND(C162+D162-E162&gt;0,OR('Debt strategy'!$D$9&gt;'Debt strategy'!$D$11,AND('Debt strategy'!$D$9='Debt strategy'!$D$11,0&lt;2))),1,0),IF(AND(I162+J162-K162&gt;0,OR('Debt strategy'!$D$10&gt;'Debt strategy'!$D$11,AND('Debt strategy'!$D$10='Debt strategy'!$D$11,1&lt;2))),1,0),IF(AND(U162+V162-W162&gt;0,OR('Debt strategy'!$D$12&gt;'Debt strategy'!$D$11,AND('Debt strategy'!$D$12='Debt strategy'!$D$11,3&lt;2))),1,0),IF(AND(AA162+AB162-AC162&gt;0,OR('Debt strategy'!$D$13&gt;'Debt strategy'!$D$11,AND('Debt strategy'!$D$13='Debt strategy'!$D$11,4&lt;2))),1,0)))</x:f>
        <x:v>99</x:v>
      </x:c>
      <x:c r="S162" s="6" t="n">
        <x:f>IF('Debt strategy'!$C$16&gt;0,0,MIN(O162+P162-Q162,MAX(0,'Debt strategy'!$C$5-SUM(E162,K162,Q162,W162,AC162)-SUM(IF(F162&lt;R162,C162+D162-E162,0),IF(L162&lt;R162,I162+J162-K162,0),IF(X162&lt;R162,U162+V162-W162,0),IF(AD162&lt;R162,AA162+AB162-AC162,0)))))</x:f>
        <x:v>0</x:v>
      </x:c>
      <x:c r="T162" s="6" t="n">
        <x:f>ROUND(MAX(0,O162+P162-Q162-S162),2)</x:f>
        <x:v>0</x:v>
      </x:c>
      <x:c r="U162" s="6" t="n">
        <x:f>Z161</x:f>
        <x:v>0</x:v>
      </x:c>
      <x:c r="V162" s="6" t="n">
        <x:f>ROUND(U162*'Debt strategy'!$D$12/12,2)</x:f>
        <x:v>0</x:v>
      </x:c>
      <x:c r="W162" s="6" t="n">
        <x:f>MIN(U162+V162,'Debt strategy'!$E$12)</x:f>
        <x:v>0</x:v>
      </x:c>
      <x:c r="X162" s="27" t="n">
        <x:f>IF(U162+V162-W162&lt;=0,99,1+SUM(IF(AND(C162+D162-E162&gt;0,OR('Debt strategy'!$D$9&gt;'Debt strategy'!$D$12,AND('Debt strategy'!$D$9='Debt strategy'!$D$12,0&lt;3))),1,0),IF(AND(I162+J162-K162&gt;0,OR('Debt strategy'!$D$10&gt;'Debt strategy'!$D$12,AND('Debt strategy'!$D$10='Debt strategy'!$D$12,1&lt;3))),1,0),IF(AND(O162+P162-Q162&gt;0,OR('Debt strategy'!$D$11&gt;'Debt strategy'!$D$12,AND('Debt strategy'!$D$11='Debt strategy'!$D$12,2&lt;3))),1,0),IF(AND(AA162+AB162-AC162&gt;0,OR('Debt strategy'!$D$13&gt;'Debt strategy'!$D$12,AND('Debt strategy'!$D$13='Debt strategy'!$D$12,4&lt;3))),1,0)))</x:f>
        <x:v>99</x:v>
      </x:c>
      <x:c r="Y162" s="6" t="n">
        <x:f>IF('Debt strategy'!$C$16&gt;0,0,MIN(U162+V162-W162,MAX(0,'Debt strategy'!$C$5-SUM(E162,K162,Q162,W162,AC162)-SUM(IF(F162&lt;X162,C162+D162-E162,0),IF(L162&lt;X162,I162+J162-K162,0),IF(R162&lt;X162,O162+P162-Q162,0),IF(AD162&lt;X162,AA162+AB162-AC162,0)))))</x:f>
        <x:v>0</x:v>
      </x:c>
      <x:c r="Z162" s="6" t="n">
        <x:f>ROUND(MAX(0,U162+V162-W162-Y162),2)</x:f>
        <x:v>0</x:v>
      </x:c>
      <x:c r="AA162" s="6" t="n">
        <x:f>AF161</x:f>
        <x:v>0</x:v>
      </x:c>
      <x:c r="AB162" s="6" t="n">
        <x:f>ROUND(AA162*'Debt strategy'!$D$13/12,2)</x:f>
        <x:v>0</x:v>
      </x:c>
      <x:c r="AC162" s="6" t="n">
        <x:f>MIN(AA162+AB162,'Debt strategy'!$E$13)</x:f>
        <x:v>0</x:v>
      </x:c>
      <x:c r="AD162" s="27" t="n">
        <x:f>IF(AA162+AB162-AC162&lt;=0,99,1+SUM(IF(AND(C162+D162-E162&gt;0,OR('Debt strategy'!$D$9&gt;'Debt strategy'!$D$13,AND('Debt strategy'!$D$9='Debt strategy'!$D$13,0&lt;4))),1,0),IF(AND(I162+J162-K162&gt;0,OR('Debt strategy'!$D$10&gt;'Debt strategy'!$D$13,AND('Debt strategy'!$D$10='Debt strategy'!$D$13,1&lt;4))),1,0),IF(AND(O162+P162-Q162&gt;0,OR('Debt strategy'!$D$11&gt;'Debt strategy'!$D$13,AND('Debt strategy'!$D$11='Debt strategy'!$D$13,2&lt;4))),1,0),IF(AND(U162+V162-W162&gt;0,OR('Debt strategy'!$D$12&gt;'Debt strategy'!$D$13,AND('Debt strategy'!$D$12='Debt strategy'!$D$13,3&lt;4))),1,0)))</x:f>
        <x:v>99</x:v>
      </x:c>
      <x:c r="AE162" s="6" t="n">
        <x:f>IF('Debt strategy'!$C$16&gt;0,0,MIN(AA162+AB162-AC162,MAX(0,'Debt strategy'!$C$5-SUM(E162,K162,Q162,W162,AC162)-SUM(IF(F162&lt;AD162,C162+D162-E162,0),IF(L162&lt;AD162,I162+J162-K162,0),IF(R162&lt;AD162,O162+P162-Q162,0),IF(X162&lt;AD162,U162+V162-W162,0)))))</x:f>
        <x:v>0</x:v>
      </x:c>
      <x:c r="AF162" s="6" t="n">
        <x:f>ROUND(MAX(0,AA162+AB162-AC162-AE162),2)</x:f>
        <x:v>0</x:v>
      </x:c>
      <x:c r="AG162" s="6" t="n">
        <x:f>SUM(H162,N162,T162,Z162,AF162)</x:f>
        <x:v>0</x:v>
      </x:c>
      <x:c r="AH162" s="6" t="n">
        <x:f>SUM(D162,J162,P162,V162,AB162)+AH161</x:f>
        <x:v>1220.8400000000001</x:v>
      </x:c>
      <x:c r="AI162" s="2"/>
    </x:row>
    <x:row r="163" ht="23" customHeight="1">
      <x:c r="B163" s="2" t="n">
        <x:f>155</x:f>
        <x:v>155</x:v>
      </x:c>
      <x:c r="C163" s="6" t="n">
        <x:f>H162</x:f>
        <x:v>0</x:v>
      </x:c>
      <x:c r="D163" s="6" t="n">
        <x:f>ROUND(C163*'Debt strategy'!$D$9/12,2)</x:f>
        <x:v>0</x:v>
      </x:c>
      <x:c r="E163" s="6" t="n">
        <x:f>MIN(C163+D163,'Debt strategy'!$E$9)</x:f>
        <x:v>0</x:v>
      </x:c>
      <x:c r="F163" s="27" t="n">
        <x:f>IF(C163+D163-E163&lt;=0,99,1+SUM(IF(AND(I163+J163-K163&gt;0,OR('Debt strategy'!$D$10&gt;'Debt strategy'!$D$9,AND('Debt strategy'!$D$10='Debt strategy'!$D$9,1&lt;0))),1,0),IF(AND(O163+P163-Q163&gt;0,OR('Debt strategy'!$D$11&gt;'Debt strategy'!$D$9,AND('Debt strategy'!$D$11='Debt strategy'!$D$9,2&lt;0))),1,0),IF(AND(U163+V163-W163&gt;0,OR('Debt strategy'!$D$12&gt;'Debt strategy'!$D$9,AND('Debt strategy'!$D$12='Debt strategy'!$D$9,3&lt;0))),1,0),IF(AND(AA163+AB163-AC163&gt;0,OR('Debt strategy'!$D$13&gt;'Debt strategy'!$D$9,AND('Debt strategy'!$D$13='Debt strategy'!$D$9,4&lt;0))),1,0)))</x:f>
        <x:v>99</x:v>
      </x:c>
      <x:c r="G163" s="6" t="n">
        <x:f>IF('Debt strategy'!$C$16&gt;0,0,MIN(C163+D163-E163,MAX(0,'Debt strategy'!$C$5-SUM(E163,K163,Q163,W163,AC163)-SUM(IF(L163&lt;F163,I163+J163-K163,0),IF(R163&lt;F163,O163+P163-Q163,0),IF(X163&lt;F163,U163+V163-W163,0),IF(AD163&lt;F163,AA163+AB163-AC163,0)))))</x:f>
        <x:v>0</x:v>
      </x:c>
      <x:c r="H163" s="6" t="n">
        <x:f>ROUND(MAX(0,C163+D163-E163-G163),2)</x:f>
        <x:v>0</x:v>
      </x:c>
      <x:c r="I163" s="6" t="n">
        <x:f>N162</x:f>
        <x:v>0</x:v>
      </x:c>
      <x:c r="J163" s="6" t="n">
        <x:f>ROUND(I163*'Debt strategy'!$D$10/12,2)</x:f>
        <x:v>0</x:v>
      </x:c>
      <x:c r="K163" s="6" t="n">
        <x:f>MIN(I163+J163,'Debt strategy'!$E$10)</x:f>
        <x:v>0</x:v>
      </x:c>
      <x:c r="L163" s="27" t="n">
        <x:f>IF(I163+J163-K163&lt;=0,99,1+SUM(IF(AND(C163+D163-E163&gt;0,OR('Debt strategy'!$D$9&gt;'Debt strategy'!$D$10,AND('Debt strategy'!$D$9='Debt strategy'!$D$10,0&lt;1))),1,0),IF(AND(O163+P163-Q163&gt;0,OR('Debt strategy'!$D$11&gt;'Debt strategy'!$D$10,AND('Debt strategy'!$D$11='Debt strategy'!$D$10,2&lt;1))),1,0),IF(AND(U163+V163-W163&gt;0,OR('Debt strategy'!$D$12&gt;'Debt strategy'!$D$10,AND('Debt strategy'!$D$12='Debt strategy'!$D$10,3&lt;1))),1,0),IF(AND(AA163+AB163-AC163&gt;0,OR('Debt strategy'!$D$13&gt;'Debt strategy'!$D$10,AND('Debt strategy'!$D$13='Debt strategy'!$D$10,4&lt;1))),1,0)))</x:f>
        <x:v>99</x:v>
      </x:c>
      <x:c r="M163" s="6" t="n">
        <x:f>IF('Debt strategy'!$C$16&gt;0,0,MIN(I163+J163-K163,MAX(0,'Debt strategy'!$C$5-SUM(E163,K163,Q163,W163,AC163)-SUM(IF(F163&lt;L163,C163+D163-E163,0),IF(R163&lt;L163,O163+P163-Q163,0),IF(X163&lt;L163,U163+V163-W163,0),IF(AD163&lt;L163,AA163+AB163-AC163,0)))))</x:f>
        <x:v>0</x:v>
      </x:c>
      <x:c r="N163" s="6" t="n">
        <x:f>ROUND(MAX(0,I163+J163-K163-M163),2)</x:f>
        <x:v>0</x:v>
      </x:c>
      <x:c r="O163" s="6" t="n">
        <x:f>T162</x:f>
        <x:v>0</x:v>
      </x:c>
      <x:c r="P163" s="6" t="n">
        <x:f>ROUND(O163*'Debt strategy'!$D$11/12,2)</x:f>
        <x:v>0</x:v>
      </x:c>
      <x:c r="Q163" s="6" t="n">
        <x:f>MIN(O163+P163,'Debt strategy'!$E$11)</x:f>
        <x:v>0</x:v>
      </x:c>
      <x:c r="R163" s="27" t="n">
        <x:f>IF(O163+P163-Q163&lt;=0,99,1+SUM(IF(AND(C163+D163-E163&gt;0,OR('Debt strategy'!$D$9&gt;'Debt strategy'!$D$11,AND('Debt strategy'!$D$9='Debt strategy'!$D$11,0&lt;2))),1,0),IF(AND(I163+J163-K163&gt;0,OR('Debt strategy'!$D$10&gt;'Debt strategy'!$D$11,AND('Debt strategy'!$D$10='Debt strategy'!$D$11,1&lt;2))),1,0),IF(AND(U163+V163-W163&gt;0,OR('Debt strategy'!$D$12&gt;'Debt strategy'!$D$11,AND('Debt strategy'!$D$12='Debt strategy'!$D$11,3&lt;2))),1,0),IF(AND(AA163+AB163-AC163&gt;0,OR('Debt strategy'!$D$13&gt;'Debt strategy'!$D$11,AND('Debt strategy'!$D$13='Debt strategy'!$D$11,4&lt;2))),1,0)))</x:f>
        <x:v>99</x:v>
      </x:c>
      <x:c r="S163" s="6" t="n">
        <x:f>IF('Debt strategy'!$C$16&gt;0,0,MIN(O163+P163-Q163,MAX(0,'Debt strategy'!$C$5-SUM(E163,K163,Q163,W163,AC163)-SUM(IF(F163&lt;R163,C163+D163-E163,0),IF(L163&lt;R163,I163+J163-K163,0),IF(X163&lt;R163,U163+V163-W163,0),IF(AD163&lt;R163,AA163+AB163-AC163,0)))))</x:f>
        <x:v>0</x:v>
      </x:c>
      <x:c r="T163" s="6" t="n">
        <x:f>ROUND(MAX(0,O163+P163-Q163-S163),2)</x:f>
        <x:v>0</x:v>
      </x:c>
      <x:c r="U163" s="6" t="n">
        <x:f>Z162</x:f>
        <x:v>0</x:v>
      </x:c>
      <x:c r="V163" s="6" t="n">
        <x:f>ROUND(U163*'Debt strategy'!$D$12/12,2)</x:f>
        <x:v>0</x:v>
      </x:c>
      <x:c r="W163" s="6" t="n">
        <x:f>MIN(U163+V163,'Debt strategy'!$E$12)</x:f>
        <x:v>0</x:v>
      </x:c>
      <x:c r="X163" s="27" t="n">
        <x:f>IF(U163+V163-W163&lt;=0,99,1+SUM(IF(AND(C163+D163-E163&gt;0,OR('Debt strategy'!$D$9&gt;'Debt strategy'!$D$12,AND('Debt strategy'!$D$9='Debt strategy'!$D$12,0&lt;3))),1,0),IF(AND(I163+J163-K163&gt;0,OR('Debt strategy'!$D$10&gt;'Debt strategy'!$D$12,AND('Debt strategy'!$D$10='Debt strategy'!$D$12,1&lt;3))),1,0),IF(AND(O163+P163-Q163&gt;0,OR('Debt strategy'!$D$11&gt;'Debt strategy'!$D$12,AND('Debt strategy'!$D$11='Debt strategy'!$D$12,2&lt;3))),1,0),IF(AND(AA163+AB163-AC163&gt;0,OR('Debt strategy'!$D$13&gt;'Debt strategy'!$D$12,AND('Debt strategy'!$D$13='Debt strategy'!$D$12,4&lt;3))),1,0)))</x:f>
        <x:v>99</x:v>
      </x:c>
      <x:c r="Y163" s="6" t="n">
        <x:f>IF('Debt strategy'!$C$16&gt;0,0,MIN(U163+V163-W163,MAX(0,'Debt strategy'!$C$5-SUM(E163,K163,Q163,W163,AC163)-SUM(IF(F163&lt;X163,C163+D163-E163,0),IF(L163&lt;X163,I163+J163-K163,0),IF(R163&lt;X163,O163+P163-Q163,0),IF(AD163&lt;X163,AA163+AB163-AC163,0)))))</x:f>
        <x:v>0</x:v>
      </x:c>
      <x:c r="Z163" s="6" t="n">
        <x:f>ROUND(MAX(0,U163+V163-W163-Y163),2)</x:f>
        <x:v>0</x:v>
      </x:c>
      <x:c r="AA163" s="6" t="n">
        <x:f>AF162</x:f>
        <x:v>0</x:v>
      </x:c>
      <x:c r="AB163" s="6" t="n">
        <x:f>ROUND(AA163*'Debt strategy'!$D$13/12,2)</x:f>
        <x:v>0</x:v>
      </x:c>
      <x:c r="AC163" s="6" t="n">
        <x:f>MIN(AA163+AB163,'Debt strategy'!$E$13)</x:f>
        <x:v>0</x:v>
      </x:c>
      <x:c r="AD163" s="27" t="n">
        <x:f>IF(AA163+AB163-AC163&lt;=0,99,1+SUM(IF(AND(C163+D163-E163&gt;0,OR('Debt strategy'!$D$9&gt;'Debt strategy'!$D$13,AND('Debt strategy'!$D$9='Debt strategy'!$D$13,0&lt;4))),1,0),IF(AND(I163+J163-K163&gt;0,OR('Debt strategy'!$D$10&gt;'Debt strategy'!$D$13,AND('Debt strategy'!$D$10='Debt strategy'!$D$13,1&lt;4))),1,0),IF(AND(O163+P163-Q163&gt;0,OR('Debt strategy'!$D$11&gt;'Debt strategy'!$D$13,AND('Debt strategy'!$D$11='Debt strategy'!$D$13,2&lt;4))),1,0),IF(AND(U163+V163-W163&gt;0,OR('Debt strategy'!$D$12&gt;'Debt strategy'!$D$13,AND('Debt strategy'!$D$12='Debt strategy'!$D$13,3&lt;4))),1,0)))</x:f>
        <x:v>99</x:v>
      </x:c>
      <x:c r="AE163" s="6" t="n">
        <x:f>IF('Debt strategy'!$C$16&gt;0,0,MIN(AA163+AB163-AC163,MAX(0,'Debt strategy'!$C$5-SUM(E163,K163,Q163,W163,AC163)-SUM(IF(F163&lt;AD163,C163+D163-E163,0),IF(L163&lt;AD163,I163+J163-K163,0),IF(R163&lt;AD163,O163+P163-Q163,0),IF(X163&lt;AD163,U163+V163-W163,0)))))</x:f>
        <x:v>0</x:v>
      </x:c>
      <x:c r="AF163" s="6" t="n">
        <x:f>ROUND(MAX(0,AA163+AB163-AC163-AE163),2)</x:f>
        <x:v>0</x:v>
      </x:c>
      <x:c r="AG163" s="6" t="n">
        <x:f>SUM(H163,N163,T163,Z163,AF163)</x:f>
        <x:v>0</x:v>
      </x:c>
      <x:c r="AH163" s="6" t="n">
        <x:f>SUM(D163,J163,P163,V163,AB163)+AH162</x:f>
        <x:v>1220.8400000000001</x:v>
      </x:c>
      <x:c r="AI163" s="2"/>
    </x:row>
    <x:row r="164" ht="23" customHeight="1">
      <x:c r="B164" s="2" t="n">
        <x:f>156</x:f>
        <x:v>156</x:v>
      </x:c>
      <x:c r="C164" s="6" t="n">
        <x:f>H163</x:f>
        <x:v>0</x:v>
      </x:c>
      <x:c r="D164" s="6" t="n">
        <x:f>ROUND(C164*'Debt strategy'!$D$9/12,2)</x:f>
        <x:v>0</x:v>
      </x:c>
      <x:c r="E164" s="6" t="n">
        <x:f>MIN(C164+D164,'Debt strategy'!$E$9)</x:f>
        <x:v>0</x:v>
      </x:c>
      <x:c r="F164" s="27" t="n">
        <x:f>IF(C164+D164-E164&lt;=0,99,1+SUM(IF(AND(I164+J164-K164&gt;0,OR('Debt strategy'!$D$10&gt;'Debt strategy'!$D$9,AND('Debt strategy'!$D$10='Debt strategy'!$D$9,1&lt;0))),1,0),IF(AND(O164+P164-Q164&gt;0,OR('Debt strategy'!$D$11&gt;'Debt strategy'!$D$9,AND('Debt strategy'!$D$11='Debt strategy'!$D$9,2&lt;0))),1,0),IF(AND(U164+V164-W164&gt;0,OR('Debt strategy'!$D$12&gt;'Debt strategy'!$D$9,AND('Debt strategy'!$D$12='Debt strategy'!$D$9,3&lt;0))),1,0),IF(AND(AA164+AB164-AC164&gt;0,OR('Debt strategy'!$D$13&gt;'Debt strategy'!$D$9,AND('Debt strategy'!$D$13='Debt strategy'!$D$9,4&lt;0))),1,0)))</x:f>
        <x:v>99</x:v>
      </x:c>
      <x:c r="G164" s="6" t="n">
        <x:f>IF('Debt strategy'!$C$16&gt;0,0,MIN(C164+D164-E164,MAX(0,'Debt strategy'!$C$5-SUM(E164,K164,Q164,W164,AC164)-SUM(IF(L164&lt;F164,I164+J164-K164,0),IF(R164&lt;F164,O164+P164-Q164,0),IF(X164&lt;F164,U164+V164-W164,0),IF(AD164&lt;F164,AA164+AB164-AC164,0)))))</x:f>
        <x:v>0</x:v>
      </x:c>
      <x:c r="H164" s="6" t="n">
        <x:f>ROUND(MAX(0,C164+D164-E164-G164),2)</x:f>
        <x:v>0</x:v>
      </x:c>
      <x:c r="I164" s="6" t="n">
        <x:f>N163</x:f>
        <x:v>0</x:v>
      </x:c>
      <x:c r="J164" s="6" t="n">
        <x:f>ROUND(I164*'Debt strategy'!$D$10/12,2)</x:f>
        <x:v>0</x:v>
      </x:c>
      <x:c r="K164" s="6" t="n">
        <x:f>MIN(I164+J164,'Debt strategy'!$E$10)</x:f>
        <x:v>0</x:v>
      </x:c>
      <x:c r="L164" s="27" t="n">
        <x:f>IF(I164+J164-K164&lt;=0,99,1+SUM(IF(AND(C164+D164-E164&gt;0,OR('Debt strategy'!$D$9&gt;'Debt strategy'!$D$10,AND('Debt strategy'!$D$9='Debt strategy'!$D$10,0&lt;1))),1,0),IF(AND(O164+P164-Q164&gt;0,OR('Debt strategy'!$D$11&gt;'Debt strategy'!$D$10,AND('Debt strategy'!$D$11='Debt strategy'!$D$10,2&lt;1))),1,0),IF(AND(U164+V164-W164&gt;0,OR('Debt strategy'!$D$12&gt;'Debt strategy'!$D$10,AND('Debt strategy'!$D$12='Debt strategy'!$D$10,3&lt;1))),1,0),IF(AND(AA164+AB164-AC164&gt;0,OR('Debt strategy'!$D$13&gt;'Debt strategy'!$D$10,AND('Debt strategy'!$D$13='Debt strategy'!$D$10,4&lt;1))),1,0)))</x:f>
        <x:v>99</x:v>
      </x:c>
      <x:c r="M164" s="6" t="n">
        <x:f>IF('Debt strategy'!$C$16&gt;0,0,MIN(I164+J164-K164,MAX(0,'Debt strategy'!$C$5-SUM(E164,K164,Q164,W164,AC164)-SUM(IF(F164&lt;L164,C164+D164-E164,0),IF(R164&lt;L164,O164+P164-Q164,0),IF(X164&lt;L164,U164+V164-W164,0),IF(AD164&lt;L164,AA164+AB164-AC164,0)))))</x:f>
        <x:v>0</x:v>
      </x:c>
      <x:c r="N164" s="6" t="n">
        <x:f>ROUND(MAX(0,I164+J164-K164-M164),2)</x:f>
        <x:v>0</x:v>
      </x:c>
      <x:c r="O164" s="6" t="n">
        <x:f>T163</x:f>
        <x:v>0</x:v>
      </x:c>
      <x:c r="P164" s="6" t="n">
        <x:f>ROUND(O164*'Debt strategy'!$D$11/12,2)</x:f>
        <x:v>0</x:v>
      </x:c>
      <x:c r="Q164" s="6" t="n">
        <x:f>MIN(O164+P164,'Debt strategy'!$E$11)</x:f>
        <x:v>0</x:v>
      </x:c>
      <x:c r="R164" s="27" t="n">
        <x:f>IF(O164+P164-Q164&lt;=0,99,1+SUM(IF(AND(C164+D164-E164&gt;0,OR('Debt strategy'!$D$9&gt;'Debt strategy'!$D$11,AND('Debt strategy'!$D$9='Debt strategy'!$D$11,0&lt;2))),1,0),IF(AND(I164+J164-K164&gt;0,OR('Debt strategy'!$D$10&gt;'Debt strategy'!$D$11,AND('Debt strategy'!$D$10='Debt strategy'!$D$11,1&lt;2))),1,0),IF(AND(U164+V164-W164&gt;0,OR('Debt strategy'!$D$12&gt;'Debt strategy'!$D$11,AND('Debt strategy'!$D$12='Debt strategy'!$D$11,3&lt;2))),1,0),IF(AND(AA164+AB164-AC164&gt;0,OR('Debt strategy'!$D$13&gt;'Debt strategy'!$D$11,AND('Debt strategy'!$D$13='Debt strategy'!$D$11,4&lt;2))),1,0)))</x:f>
        <x:v>99</x:v>
      </x:c>
      <x:c r="S164" s="6" t="n">
        <x:f>IF('Debt strategy'!$C$16&gt;0,0,MIN(O164+P164-Q164,MAX(0,'Debt strategy'!$C$5-SUM(E164,K164,Q164,W164,AC164)-SUM(IF(F164&lt;R164,C164+D164-E164,0),IF(L164&lt;R164,I164+J164-K164,0),IF(X164&lt;R164,U164+V164-W164,0),IF(AD164&lt;R164,AA164+AB164-AC164,0)))))</x:f>
        <x:v>0</x:v>
      </x:c>
      <x:c r="T164" s="6" t="n">
        <x:f>ROUND(MAX(0,O164+P164-Q164-S164),2)</x:f>
        <x:v>0</x:v>
      </x:c>
      <x:c r="U164" s="6" t="n">
        <x:f>Z163</x:f>
        <x:v>0</x:v>
      </x:c>
      <x:c r="V164" s="6" t="n">
        <x:f>ROUND(U164*'Debt strategy'!$D$12/12,2)</x:f>
        <x:v>0</x:v>
      </x:c>
      <x:c r="W164" s="6" t="n">
        <x:f>MIN(U164+V164,'Debt strategy'!$E$12)</x:f>
        <x:v>0</x:v>
      </x:c>
      <x:c r="X164" s="27" t="n">
        <x:f>IF(U164+V164-W164&lt;=0,99,1+SUM(IF(AND(C164+D164-E164&gt;0,OR('Debt strategy'!$D$9&gt;'Debt strategy'!$D$12,AND('Debt strategy'!$D$9='Debt strategy'!$D$12,0&lt;3))),1,0),IF(AND(I164+J164-K164&gt;0,OR('Debt strategy'!$D$10&gt;'Debt strategy'!$D$12,AND('Debt strategy'!$D$10='Debt strategy'!$D$12,1&lt;3))),1,0),IF(AND(O164+P164-Q164&gt;0,OR('Debt strategy'!$D$11&gt;'Debt strategy'!$D$12,AND('Debt strategy'!$D$11='Debt strategy'!$D$12,2&lt;3))),1,0),IF(AND(AA164+AB164-AC164&gt;0,OR('Debt strategy'!$D$13&gt;'Debt strategy'!$D$12,AND('Debt strategy'!$D$13='Debt strategy'!$D$12,4&lt;3))),1,0)))</x:f>
        <x:v>99</x:v>
      </x:c>
      <x:c r="Y164" s="6" t="n">
        <x:f>IF('Debt strategy'!$C$16&gt;0,0,MIN(U164+V164-W164,MAX(0,'Debt strategy'!$C$5-SUM(E164,K164,Q164,W164,AC164)-SUM(IF(F164&lt;X164,C164+D164-E164,0),IF(L164&lt;X164,I164+J164-K164,0),IF(R164&lt;X164,O164+P164-Q164,0),IF(AD164&lt;X164,AA164+AB164-AC164,0)))))</x:f>
        <x:v>0</x:v>
      </x:c>
      <x:c r="Z164" s="6" t="n">
        <x:f>ROUND(MAX(0,U164+V164-W164-Y164),2)</x:f>
        <x:v>0</x:v>
      </x:c>
      <x:c r="AA164" s="6" t="n">
        <x:f>AF163</x:f>
        <x:v>0</x:v>
      </x:c>
      <x:c r="AB164" s="6" t="n">
        <x:f>ROUND(AA164*'Debt strategy'!$D$13/12,2)</x:f>
        <x:v>0</x:v>
      </x:c>
      <x:c r="AC164" s="6" t="n">
        <x:f>MIN(AA164+AB164,'Debt strategy'!$E$13)</x:f>
        <x:v>0</x:v>
      </x:c>
      <x:c r="AD164" s="27" t="n">
        <x:f>IF(AA164+AB164-AC164&lt;=0,99,1+SUM(IF(AND(C164+D164-E164&gt;0,OR('Debt strategy'!$D$9&gt;'Debt strategy'!$D$13,AND('Debt strategy'!$D$9='Debt strategy'!$D$13,0&lt;4))),1,0),IF(AND(I164+J164-K164&gt;0,OR('Debt strategy'!$D$10&gt;'Debt strategy'!$D$13,AND('Debt strategy'!$D$10='Debt strategy'!$D$13,1&lt;4))),1,0),IF(AND(O164+P164-Q164&gt;0,OR('Debt strategy'!$D$11&gt;'Debt strategy'!$D$13,AND('Debt strategy'!$D$11='Debt strategy'!$D$13,2&lt;4))),1,0),IF(AND(U164+V164-W164&gt;0,OR('Debt strategy'!$D$12&gt;'Debt strategy'!$D$13,AND('Debt strategy'!$D$12='Debt strategy'!$D$13,3&lt;4))),1,0)))</x:f>
        <x:v>99</x:v>
      </x:c>
      <x:c r="AE164" s="6" t="n">
        <x:f>IF('Debt strategy'!$C$16&gt;0,0,MIN(AA164+AB164-AC164,MAX(0,'Debt strategy'!$C$5-SUM(E164,K164,Q164,W164,AC164)-SUM(IF(F164&lt;AD164,C164+D164-E164,0),IF(L164&lt;AD164,I164+J164-K164,0),IF(R164&lt;AD164,O164+P164-Q164,0),IF(X164&lt;AD164,U164+V164-W164,0)))))</x:f>
        <x:v>0</x:v>
      </x:c>
      <x:c r="AF164" s="6" t="n">
        <x:f>ROUND(MAX(0,AA164+AB164-AC164-AE164),2)</x:f>
        <x:v>0</x:v>
      </x:c>
      <x:c r="AG164" s="6" t="n">
        <x:f>SUM(H164,N164,T164,Z164,AF164)</x:f>
        <x:v>0</x:v>
      </x:c>
      <x:c r="AH164" s="6" t="n">
        <x:f>SUM(D164,J164,P164,V164,AB164)+AH163</x:f>
        <x:v>1220.8400000000001</x:v>
      </x:c>
      <x:c r="AI164" s="2"/>
    </x:row>
    <x:row r="165" ht="23" customHeight="1">
      <x:c r="B165" s="2" t="n">
        <x:f>157</x:f>
        <x:v>157</x:v>
      </x:c>
      <x:c r="C165" s="6" t="n">
        <x:f>H164</x:f>
        <x:v>0</x:v>
      </x:c>
      <x:c r="D165" s="6" t="n">
        <x:f>ROUND(C165*'Debt strategy'!$D$9/12,2)</x:f>
        <x:v>0</x:v>
      </x:c>
      <x:c r="E165" s="6" t="n">
        <x:f>MIN(C165+D165,'Debt strategy'!$E$9)</x:f>
        <x:v>0</x:v>
      </x:c>
      <x:c r="F165" s="27" t="n">
        <x:f>IF(C165+D165-E165&lt;=0,99,1+SUM(IF(AND(I165+J165-K165&gt;0,OR('Debt strategy'!$D$10&gt;'Debt strategy'!$D$9,AND('Debt strategy'!$D$10='Debt strategy'!$D$9,1&lt;0))),1,0),IF(AND(O165+P165-Q165&gt;0,OR('Debt strategy'!$D$11&gt;'Debt strategy'!$D$9,AND('Debt strategy'!$D$11='Debt strategy'!$D$9,2&lt;0))),1,0),IF(AND(U165+V165-W165&gt;0,OR('Debt strategy'!$D$12&gt;'Debt strategy'!$D$9,AND('Debt strategy'!$D$12='Debt strategy'!$D$9,3&lt;0))),1,0),IF(AND(AA165+AB165-AC165&gt;0,OR('Debt strategy'!$D$13&gt;'Debt strategy'!$D$9,AND('Debt strategy'!$D$13='Debt strategy'!$D$9,4&lt;0))),1,0)))</x:f>
        <x:v>99</x:v>
      </x:c>
      <x:c r="G165" s="6" t="n">
        <x:f>IF('Debt strategy'!$C$16&gt;0,0,MIN(C165+D165-E165,MAX(0,'Debt strategy'!$C$5-SUM(E165,K165,Q165,W165,AC165)-SUM(IF(L165&lt;F165,I165+J165-K165,0),IF(R165&lt;F165,O165+P165-Q165,0),IF(X165&lt;F165,U165+V165-W165,0),IF(AD165&lt;F165,AA165+AB165-AC165,0)))))</x:f>
        <x:v>0</x:v>
      </x:c>
      <x:c r="H165" s="6" t="n">
        <x:f>ROUND(MAX(0,C165+D165-E165-G165),2)</x:f>
        <x:v>0</x:v>
      </x:c>
      <x:c r="I165" s="6" t="n">
        <x:f>N164</x:f>
        <x:v>0</x:v>
      </x:c>
      <x:c r="J165" s="6" t="n">
        <x:f>ROUND(I165*'Debt strategy'!$D$10/12,2)</x:f>
        <x:v>0</x:v>
      </x:c>
      <x:c r="K165" s="6" t="n">
        <x:f>MIN(I165+J165,'Debt strategy'!$E$10)</x:f>
        <x:v>0</x:v>
      </x:c>
      <x:c r="L165" s="27" t="n">
        <x:f>IF(I165+J165-K165&lt;=0,99,1+SUM(IF(AND(C165+D165-E165&gt;0,OR('Debt strategy'!$D$9&gt;'Debt strategy'!$D$10,AND('Debt strategy'!$D$9='Debt strategy'!$D$10,0&lt;1))),1,0),IF(AND(O165+P165-Q165&gt;0,OR('Debt strategy'!$D$11&gt;'Debt strategy'!$D$10,AND('Debt strategy'!$D$11='Debt strategy'!$D$10,2&lt;1))),1,0),IF(AND(U165+V165-W165&gt;0,OR('Debt strategy'!$D$12&gt;'Debt strategy'!$D$10,AND('Debt strategy'!$D$12='Debt strategy'!$D$10,3&lt;1))),1,0),IF(AND(AA165+AB165-AC165&gt;0,OR('Debt strategy'!$D$13&gt;'Debt strategy'!$D$10,AND('Debt strategy'!$D$13='Debt strategy'!$D$10,4&lt;1))),1,0)))</x:f>
        <x:v>99</x:v>
      </x:c>
      <x:c r="M165" s="6" t="n">
        <x:f>IF('Debt strategy'!$C$16&gt;0,0,MIN(I165+J165-K165,MAX(0,'Debt strategy'!$C$5-SUM(E165,K165,Q165,W165,AC165)-SUM(IF(F165&lt;L165,C165+D165-E165,0),IF(R165&lt;L165,O165+P165-Q165,0),IF(X165&lt;L165,U165+V165-W165,0),IF(AD165&lt;L165,AA165+AB165-AC165,0)))))</x:f>
        <x:v>0</x:v>
      </x:c>
      <x:c r="N165" s="6" t="n">
        <x:f>ROUND(MAX(0,I165+J165-K165-M165),2)</x:f>
        <x:v>0</x:v>
      </x:c>
      <x:c r="O165" s="6" t="n">
        <x:f>T164</x:f>
        <x:v>0</x:v>
      </x:c>
      <x:c r="P165" s="6" t="n">
        <x:f>ROUND(O165*'Debt strategy'!$D$11/12,2)</x:f>
        <x:v>0</x:v>
      </x:c>
      <x:c r="Q165" s="6" t="n">
        <x:f>MIN(O165+P165,'Debt strategy'!$E$11)</x:f>
        <x:v>0</x:v>
      </x:c>
      <x:c r="R165" s="27" t="n">
        <x:f>IF(O165+P165-Q165&lt;=0,99,1+SUM(IF(AND(C165+D165-E165&gt;0,OR('Debt strategy'!$D$9&gt;'Debt strategy'!$D$11,AND('Debt strategy'!$D$9='Debt strategy'!$D$11,0&lt;2))),1,0),IF(AND(I165+J165-K165&gt;0,OR('Debt strategy'!$D$10&gt;'Debt strategy'!$D$11,AND('Debt strategy'!$D$10='Debt strategy'!$D$11,1&lt;2))),1,0),IF(AND(U165+V165-W165&gt;0,OR('Debt strategy'!$D$12&gt;'Debt strategy'!$D$11,AND('Debt strategy'!$D$12='Debt strategy'!$D$11,3&lt;2))),1,0),IF(AND(AA165+AB165-AC165&gt;0,OR('Debt strategy'!$D$13&gt;'Debt strategy'!$D$11,AND('Debt strategy'!$D$13='Debt strategy'!$D$11,4&lt;2))),1,0)))</x:f>
        <x:v>99</x:v>
      </x:c>
      <x:c r="S165" s="6" t="n">
        <x:f>IF('Debt strategy'!$C$16&gt;0,0,MIN(O165+P165-Q165,MAX(0,'Debt strategy'!$C$5-SUM(E165,K165,Q165,W165,AC165)-SUM(IF(F165&lt;R165,C165+D165-E165,0),IF(L165&lt;R165,I165+J165-K165,0),IF(X165&lt;R165,U165+V165-W165,0),IF(AD165&lt;R165,AA165+AB165-AC165,0)))))</x:f>
        <x:v>0</x:v>
      </x:c>
      <x:c r="T165" s="6" t="n">
        <x:f>ROUND(MAX(0,O165+P165-Q165-S165),2)</x:f>
        <x:v>0</x:v>
      </x:c>
      <x:c r="U165" s="6" t="n">
        <x:f>Z164</x:f>
        <x:v>0</x:v>
      </x:c>
      <x:c r="V165" s="6" t="n">
        <x:f>ROUND(U165*'Debt strategy'!$D$12/12,2)</x:f>
        <x:v>0</x:v>
      </x:c>
      <x:c r="W165" s="6" t="n">
        <x:f>MIN(U165+V165,'Debt strategy'!$E$12)</x:f>
        <x:v>0</x:v>
      </x:c>
      <x:c r="X165" s="27" t="n">
        <x:f>IF(U165+V165-W165&lt;=0,99,1+SUM(IF(AND(C165+D165-E165&gt;0,OR('Debt strategy'!$D$9&gt;'Debt strategy'!$D$12,AND('Debt strategy'!$D$9='Debt strategy'!$D$12,0&lt;3))),1,0),IF(AND(I165+J165-K165&gt;0,OR('Debt strategy'!$D$10&gt;'Debt strategy'!$D$12,AND('Debt strategy'!$D$10='Debt strategy'!$D$12,1&lt;3))),1,0),IF(AND(O165+P165-Q165&gt;0,OR('Debt strategy'!$D$11&gt;'Debt strategy'!$D$12,AND('Debt strategy'!$D$11='Debt strategy'!$D$12,2&lt;3))),1,0),IF(AND(AA165+AB165-AC165&gt;0,OR('Debt strategy'!$D$13&gt;'Debt strategy'!$D$12,AND('Debt strategy'!$D$13='Debt strategy'!$D$12,4&lt;3))),1,0)))</x:f>
        <x:v>99</x:v>
      </x:c>
      <x:c r="Y165" s="6" t="n">
        <x:f>IF('Debt strategy'!$C$16&gt;0,0,MIN(U165+V165-W165,MAX(0,'Debt strategy'!$C$5-SUM(E165,K165,Q165,W165,AC165)-SUM(IF(F165&lt;X165,C165+D165-E165,0),IF(L165&lt;X165,I165+J165-K165,0),IF(R165&lt;X165,O165+P165-Q165,0),IF(AD165&lt;X165,AA165+AB165-AC165,0)))))</x:f>
        <x:v>0</x:v>
      </x:c>
      <x:c r="Z165" s="6" t="n">
        <x:f>ROUND(MAX(0,U165+V165-W165-Y165),2)</x:f>
        <x:v>0</x:v>
      </x:c>
      <x:c r="AA165" s="6" t="n">
        <x:f>AF164</x:f>
        <x:v>0</x:v>
      </x:c>
      <x:c r="AB165" s="6" t="n">
        <x:f>ROUND(AA165*'Debt strategy'!$D$13/12,2)</x:f>
        <x:v>0</x:v>
      </x:c>
      <x:c r="AC165" s="6" t="n">
        <x:f>MIN(AA165+AB165,'Debt strategy'!$E$13)</x:f>
        <x:v>0</x:v>
      </x:c>
      <x:c r="AD165" s="27" t="n">
        <x:f>IF(AA165+AB165-AC165&lt;=0,99,1+SUM(IF(AND(C165+D165-E165&gt;0,OR('Debt strategy'!$D$9&gt;'Debt strategy'!$D$13,AND('Debt strategy'!$D$9='Debt strategy'!$D$13,0&lt;4))),1,0),IF(AND(I165+J165-K165&gt;0,OR('Debt strategy'!$D$10&gt;'Debt strategy'!$D$13,AND('Debt strategy'!$D$10='Debt strategy'!$D$13,1&lt;4))),1,0),IF(AND(O165+P165-Q165&gt;0,OR('Debt strategy'!$D$11&gt;'Debt strategy'!$D$13,AND('Debt strategy'!$D$11='Debt strategy'!$D$13,2&lt;4))),1,0),IF(AND(U165+V165-W165&gt;0,OR('Debt strategy'!$D$12&gt;'Debt strategy'!$D$13,AND('Debt strategy'!$D$12='Debt strategy'!$D$13,3&lt;4))),1,0)))</x:f>
        <x:v>99</x:v>
      </x:c>
      <x:c r="AE165" s="6" t="n">
        <x:f>IF('Debt strategy'!$C$16&gt;0,0,MIN(AA165+AB165-AC165,MAX(0,'Debt strategy'!$C$5-SUM(E165,K165,Q165,W165,AC165)-SUM(IF(F165&lt;AD165,C165+D165-E165,0),IF(L165&lt;AD165,I165+J165-K165,0),IF(R165&lt;AD165,O165+P165-Q165,0),IF(X165&lt;AD165,U165+V165-W165,0)))))</x:f>
        <x:v>0</x:v>
      </x:c>
      <x:c r="AF165" s="6" t="n">
        <x:f>ROUND(MAX(0,AA165+AB165-AC165-AE165),2)</x:f>
        <x:v>0</x:v>
      </x:c>
      <x:c r="AG165" s="6" t="n">
        <x:f>SUM(H165,N165,T165,Z165,AF165)</x:f>
        <x:v>0</x:v>
      </x:c>
      <x:c r="AH165" s="6" t="n">
        <x:f>SUM(D165,J165,P165,V165,AB165)+AH164</x:f>
        <x:v>1220.8400000000001</x:v>
      </x:c>
      <x:c r="AI165" s="2"/>
    </x:row>
    <x:row r="166" ht="23" customHeight="1">
      <x:c r="B166" s="2" t="n">
        <x:f>158</x:f>
        <x:v>158</x:v>
      </x:c>
      <x:c r="C166" s="6" t="n">
        <x:f>H165</x:f>
        <x:v>0</x:v>
      </x:c>
      <x:c r="D166" s="6" t="n">
        <x:f>ROUND(C166*'Debt strategy'!$D$9/12,2)</x:f>
        <x:v>0</x:v>
      </x:c>
      <x:c r="E166" s="6" t="n">
        <x:f>MIN(C166+D166,'Debt strategy'!$E$9)</x:f>
        <x:v>0</x:v>
      </x:c>
      <x:c r="F166" s="27" t="n">
        <x:f>IF(C166+D166-E166&lt;=0,99,1+SUM(IF(AND(I166+J166-K166&gt;0,OR('Debt strategy'!$D$10&gt;'Debt strategy'!$D$9,AND('Debt strategy'!$D$10='Debt strategy'!$D$9,1&lt;0))),1,0),IF(AND(O166+P166-Q166&gt;0,OR('Debt strategy'!$D$11&gt;'Debt strategy'!$D$9,AND('Debt strategy'!$D$11='Debt strategy'!$D$9,2&lt;0))),1,0),IF(AND(U166+V166-W166&gt;0,OR('Debt strategy'!$D$12&gt;'Debt strategy'!$D$9,AND('Debt strategy'!$D$12='Debt strategy'!$D$9,3&lt;0))),1,0),IF(AND(AA166+AB166-AC166&gt;0,OR('Debt strategy'!$D$13&gt;'Debt strategy'!$D$9,AND('Debt strategy'!$D$13='Debt strategy'!$D$9,4&lt;0))),1,0)))</x:f>
        <x:v>99</x:v>
      </x:c>
      <x:c r="G166" s="6" t="n">
        <x:f>IF('Debt strategy'!$C$16&gt;0,0,MIN(C166+D166-E166,MAX(0,'Debt strategy'!$C$5-SUM(E166,K166,Q166,W166,AC166)-SUM(IF(L166&lt;F166,I166+J166-K166,0),IF(R166&lt;F166,O166+P166-Q166,0),IF(X166&lt;F166,U166+V166-W166,0),IF(AD166&lt;F166,AA166+AB166-AC166,0)))))</x:f>
        <x:v>0</x:v>
      </x:c>
      <x:c r="H166" s="6" t="n">
        <x:f>ROUND(MAX(0,C166+D166-E166-G166),2)</x:f>
        <x:v>0</x:v>
      </x:c>
      <x:c r="I166" s="6" t="n">
        <x:f>N165</x:f>
        <x:v>0</x:v>
      </x:c>
      <x:c r="J166" s="6" t="n">
        <x:f>ROUND(I166*'Debt strategy'!$D$10/12,2)</x:f>
        <x:v>0</x:v>
      </x:c>
      <x:c r="K166" s="6" t="n">
        <x:f>MIN(I166+J166,'Debt strategy'!$E$10)</x:f>
        <x:v>0</x:v>
      </x:c>
      <x:c r="L166" s="27" t="n">
        <x:f>IF(I166+J166-K166&lt;=0,99,1+SUM(IF(AND(C166+D166-E166&gt;0,OR('Debt strategy'!$D$9&gt;'Debt strategy'!$D$10,AND('Debt strategy'!$D$9='Debt strategy'!$D$10,0&lt;1))),1,0),IF(AND(O166+P166-Q166&gt;0,OR('Debt strategy'!$D$11&gt;'Debt strategy'!$D$10,AND('Debt strategy'!$D$11='Debt strategy'!$D$10,2&lt;1))),1,0),IF(AND(U166+V166-W166&gt;0,OR('Debt strategy'!$D$12&gt;'Debt strategy'!$D$10,AND('Debt strategy'!$D$12='Debt strategy'!$D$10,3&lt;1))),1,0),IF(AND(AA166+AB166-AC166&gt;0,OR('Debt strategy'!$D$13&gt;'Debt strategy'!$D$10,AND('Debt strategy'!$D$13='Debt strategy'!$D$10,4&lt;1))),1,0)))</x:f>
        <x:v>99</x:v>
      </x:c>
      <x:c r="M166" s="6" t="n">
        <x:f>IF('Debt strategy'!$C$16&gt;0,0,MIN(I166+J166-K166,MAX(0,'Debt strategy'!$C$5-SUM(E166,K166,Q166,W166,AC166)-SUM(IF(F166&lt;L166,C166+D166-E166,0),IF(R166&lt;L166,O166+P166-Q166,0),IF(X166&lt;L166,U166+V166-W166,0),IF(AD166&lt;L166,AA166+AB166-AC166,0)))))</x:f>
        <x:v>0</x:v>
      </x:c>
      <x:c r="N166" s="6" t="n">
        <x:f>ROUND(MAX(0,I166+J166-K166-M166),2)</x:f>
        <x:v>0</x:v>
      </x:c>
      <x:c r="O166" s="6" t="n">
        <x:f>T165</x:f>
        <x:v>0</x:v>
      </x:c>
      <x:c r="P166" s="6" t="n">
        <x:f>ROUND(O166*'Debt strategy'!$D$11/12,2)</x:f>
        <x:v>0</x:v>
      </x:c>
      <x:c r="Q166" s="6" t="n">
        <x:f>MIN(O166+P166,'Debt strategy'!$E$11)</x:f>
        <x:v>0</x:v>
      </x:c>
      <x:c r="R166" s="27" t="n">
        <x:f>IF(O166+P166-Q166&lt;=0,99,1+SUM(IF(AND(C166+D166-E166&gt;0,OR('Debt strategy'!$D$9&gt;'Debt strategy'!$D$11,AND('Debt strategy'!$D$9='Debt strategy'!$D$11,0&lt;2))),1,0),IF(AND(I166+J166-K166&gt;0,OR('Debt strategy'!$D$10&gt;'Debt strategy'!$D$11,AND('Debt strategy'!$D$10='Debt strategy'!$D$11,1&lt;2))),1,0),IF(AND(U166+V166-W166&gt;0,OR('Debt strategy'!$D$12&gt;'Debt strategy'!$D$11,AND('Debt strategy'!$D$12='Debt strategy'!$D$11,3&lt;2))),1,0),IF(AND(AA166+AB166-AC166&gt;0,OR('Debt strategy'!$D$13&gt;'Debt strategy'!$D$11,AND('Debt strategy'!$D$13='Debt strategy'!$D$11,4&lt;2))),1,0)))</x:f>
        <x:v>99</x:v>
      </x:c>
      <x:c r="S166" s="6" t="n">
        <x:f>IF('Debt strategy'!$C$16&gt;0,0,MIN(O166+P166-Q166,MAX(0,'Debt strategy'!$C$5-SUM(E166,K166,Q166,W166,AC166)-SUM(IF(F166&lt;R166,C166+D166-E166,0),IF(L166&lt;R166,I166+J166-K166,0),IF(X166&lt;R166,U166+V166-W166,0),IF(AD166&lt;R166,AA166+AB166-AC166,0)))))</x:f>
        <x:v>0</x:v>
      </x:c>
      <x:c r="T166" s="6" t="n">
        <x:f>ROUND(MAX(0,O166+P166-Q166-S166),2)</x:f>
        <x:v>0</x:v>
      </x:c>
      <x:c r="U166" s="6" t="n">
        <x:f>Z165</x:f>
        <x:v>0</x:v>
      </x:c>
      <x:c r="V166" s="6" t="n">
        <x:f>ROUND(U166*'Debt strategy'!$D$12/12,2)</x:f>
        <x:v>0</x:v>
      </x:c>
      <x:c r="W166" s="6" t="n">
        <x:f>MIN(U166+V166,'Debt strategy'!$E$12)</x:f>
        <x:v>0</x:v>
      </x:c>
      <x:c r="X166" s="27" t="n">
        <x:f>IF(U166+V166-W166&lt;=0,99,1+SUM(IF(AND(C166+D166-E166&gt;0,OR('Debt strategy'!$D$9&gt;'Debt strategy'!$D$12,AND('Debt strategy'!$D$9='Debt strategy'!$D$12,0&lt;3))),1,0),IF(AND(I166+J166-K166&gt;0,OR('Debt strategy'!$D$10&gt;'Debt strategy'!$D$12,AND('Debt strategy'!$D$10='Debt strategy'!$D$12,1&lt;3))),1,0),IF(AND(O166+P166-Q166&gt;0,OR('Debt strategy'!$D$11&gt;'Debt strategy'!$D$12,AND('Debt strategy'!$D$11='Debt strategy'!$D$12,2&lt;3))),1,0),IF(AND(AA166+AB166-AC166&gt;0,OR('Debt strategy'!$D$13&gt;'Debt strategy'!$D$12,AND('Debt strategy'!$D$13='Debt strategy'!$D$12,4&lt;3))),1,0)))</x:f>
        <x:v>99</x:v>
      </x:c>
      <x:c r="Y166" s="6" t="n">
        <x:f>IF('Debt strategy'!$C$16&gt;0,0,MIN(U166+V166-W166,MAX(0,'Debt strategy'!$C$5-SUM(E166,K166,Q166,W166,AC166)-SUM(IF(F166&lt;X166,C166+D166-E166,0),IF(L166&lt;X166,I166+J166-K166,0),IF(R166&lt;X166,O166+P166-Q166,0),IF(AD166&lt;X166,AA166+AB166-AC166,0)))))</x:f>
        <x:v>0</x:v>
      </x:c>
      <x:c r="Z166" s="6" t="n">
        <x:f>ROUND(MAX(0,U166+V166-W166-Y166),2)</x:f>
        <x:v>0</x:v>
      </x:c>
      <x:c r="AA166" s="6" t="n">
        <x:f>AF165</x:f>
        <x:v>0</x:v>
      </x:c>
      <x:c r="AB166" s="6" t="n">
        <x:f>ROUND(AA166*'Debt strategy'!$D$13/12,2)</x:f>
        <x:v>0</x:v>
      </x:c>
      <x:c r="AC166" s="6" t="n">
        <x:f>MIN(AA166+AB166,'Debt strategy'!$E$13)</x:f>
        <x:v>0</x:v>
      </x:c>
      <x:c r="AD166" s="27" t="n">
        <x:f>IF(AA166+AB166-AC166&lt;=0,99,1+SUM(IF(AND(C166+D166-E166&gt;0,OR('Debt strategy'!$D$9&gt;'Debt strategy'!$D$13,AND('Debt strategy'!$D$9='Debt strategy'!$D$13,0&lt;4))),1,0),IF(AND(I166+J166-K166&gt;0,OR('Debt strategy'!$D$10&gt;'Debt strategy'!$D$13,AND('Debt strategy'!$D$10='Debt strategy'!$D$13,1&lt;4))),1,0),IF(AND(O166+P166-Q166&gt;0,OR('Debt strategy'!$D$11&gt;'Debt strategy'!$D$13,AND('Debt strategy'!$D$11='Debt strategy'!$D$13,2&lt;4))),1,0),IF(AND(U166+V166-W166&gt;0,OR('Debt strategy'!$D$12&gt;'Debt strategy'!$D$13,AND('Debt strategy'!$D$12='Debt strategy'!$D$13,3&lt;4))),1,0)))</x:f>
        <x:v>99</x:v>
      </x:c>
      <x:c r="AE166" s="6" t="n">
        <x:f>IF('Debt strategy'!$C$16&gt;0,0,MIN(AA166+AB166-AC166,MAX(0,'Debt strategy'!$C$5-SUM(E166,K166,Q166,W166,AC166)-SUM(IF(F166&lt;AD166,C166+D166-E166,0),IF(L166&lt;AD166,I166+J166-K166,0),IF(R166&lt;AD166,O166+P166-Q166,0),IF(X166&lt;AD166,U166+V166-W166,0)))))</x:f>
        <x:v>0</x:v>
      </x:c>
      <x:c r="AF166" s="6" t="n">
        <x:f>ROUND(MAX(0,AA166+AB166-AC166-AE166),2)</x:f>
        <x:v>0</x:v>
      </x:c>
      <x:c r="AG166" s="6" t="n">
        <x:f>SUM(H166,N166,T166,Z166,AF166)</x:f>
        <x:v>0</x:v>
      </x:c>
      <x:c r="AH166" s="6" t="n">
        <x:f>SUM(D166,J166,P166,V166,AB166)+AH165</x:f>
        <x:v>1220.8400000000001</x:v>
      </x:c>
      <x:c r="AI166" s="2"/>
    </x:row>
    <x:row r="167" ht="23" customHeight="1">
      <x:c r="B167" s="2" t="n">
        <x:f>159</x:f>
        <x:v>159</x:v>
      </x:c>
      <x:c r="C167" s="6" t="n">
        <x:f>H166</x:f>
        <x:v>0</x:v>
      </x:c>
      <x:c r="D167" s="6" t="n">
        <x:f>ROUND(C167*'Debt strategy'!$D$9/12,2)</x:f>
        <x:v>0</x:v>
      </x:c>
      <x:c r="E167" s="6" t="n">
        <x:f>MIN(C167+D167,'Debt strategy'!$E$9)</x:f>
        <x:v>0</x:v>
      </x:c>
      <x:c r="F167" s="27" t="n">
        <x:f>IF(C167+D167-E167&lt;=0,99,1+SUM(IF(AND(I167+J167-K167&gt;0,OR('Debt strategy'!$D$10&gt;'Debt strategy'!$D$9,AND('Debt strategy'!$D$10='Debt strategy'!$D$9,1&lt;0))),1,0),IF(AND(O167+P167-Q167&gt;0,OR('Debt strategy'!$D$11&gt;'Debt strategy'!$D$9,AND('Debt strategy'!$D$11='Debt strategy'!$D$9,2&lt;0))),1,0),IF(AND(U167+V167-W167&gt;0,OR('Debt strategy'!$D$12&gt;'Debt strategy'!$D$9,AND('Debt strategy'!$D$12='Debt strategy'!$D$9,3&lt;0))),1,0),IF(AND(AA167+AB167-AC167&gt;0,OR('Debt strategy'!$D$13&gt;'Debt strategy'!$D$9,AND('Debt strategy'!$D$13='Debt strategy'!$D$9,4&lt;0))),1,0)))</x:f>
        <x:v>99</x:v>
      </x:c>
      <x:c r="G167" s="6" t="n">
        <x:f>IF('Debt strategy'!$C$16&gt;0,0,MIN(C167+D167-E167,MAX(0,'Debt strategy'!$C$5-SUM(E167,K167,Q167,W167,AC167)-SUM(IF(L167&lt;F167,I167+J167-K167,0),IF(R167&lt;F167,O167+P167-Q167,0),IF(X167&lt;F167,U167+V167-W167,0),IF(AD167&lt;F167,AA167+AB167-AC167,0)))))</x:f>
        <x:v>0</x:v>
      </x:c>
      <x:c r="H167" s="6" t="n">
        <x:f>ROUND(MAX(0,C167+D167-E167-G167),2)</x:f>
        <x:v>0</x:v>
      </x:c>
      <x:c r="I167" s="6" t="n">
        <x:f>N166</x:f>
        <x:v>0</x:v>
      </x:c>
      <x:c r="J167" s="6" t="n">
        <x:f>ROUND(I167*'Debt strategy'!$D$10/12,2)</x:f>
        <x:v>0</x:v>
      </x:c>
      <x:c r="K167" s="6" t="n">
        <x:f>MIN(I167+J167,'Debt strategy'!$E$10)</x:f>
        <x:v>0</x:v>
      </x:c>
      <x:c r="L167" s="27" t="n">
        <x:f>IF(I167+J167-K167&lt;=0,99,1+SUM(IF(AND(C167+D167-E167&gt;0,OR('Debt strategy'!$D$9&gt;'Debt strategy'!$D$10,AND('Debt strategy'!$D$9='Debt strategy'!$D$10,0&lt;1))),1,0),IF(AND(O167+P167-Q167&gt;0,OR('Debt strategy'!$D$11&gt;'Debt strategy'!$D$10,AND('Debt strategy'!$D$11='Debt strategy'!$D$10,2&lt;1))),1,0),IF(AND(U167+V167-W167&gt;0,OR('Debt strategy'!$D$12&gt;'Debt strategy'!$D$10,AND('Debt strategy'!$D$12='Debt strategy'!$D$10,3&lt;1))),1,0),IF(AND(AA167+AB167-AC167&gt;0,OR('Debt strategy'!$D$13&gt;'Debt strategy'!$D$10,AND('Debt strategy'!$D$13='Debt strategy'!$D$10,4&lt;1))),1,0)))</x:f>
        <x:v>99</x:v>
      </x:c>
      <x:c r="M167" s="6" t="n">
        <x:f>IF('Debt strategy'!$C$16&gt;0,0,MIN(I167+J167-K167,MAX(0,'Debt strategy'!$C$5-SUM(E167,K167,Q167,W167,AC167)-SUM(IF(F167&lt;L167,C167+D167-E167,0),IF(R167&lt;L167,O167+P167-Q167,0),IF(X167&lt;L167,U167+V167-W167,0),IF(AD167&lt;L167,AA167+AB167-AC167,0)))))</x:f>
        <x:v>0</x:v>
      </x:c>
      <x:c r="N167" s="6" t="n">
        <x:f>ROUND(MAX(0,I167+J167-K167-M167),2)</x:f>
        <x:v>0</x:v>
      </x:c>
      <x:c r="O167" s="6" t="n">
        <x:f>T166</x:f>
        <x:v>0</x:v>
      </x:c>
      <x:c r="P167" s="6" t="n">
        <x:f>ROUND(O167*'Debt strategy'!$D$11/12,2)</x:f>
        <x:v>0</x:v>
      </x:c>
      <x:c r="Q167" s="6" t="n">
        <x:f>MIN(O167+P167,'Debt strategy'!$E$11)</x:f>
        <x:v>0</x:v>
      </x:c>
      <x:c r="R167" s="27" t="n">
        <x:f>IF(O167+P167-Q167&lt;=0,99,1+SUM(IF(AND(C167+D167-E167&gt;0,OR('Debt strategy'!$D$9&gt;'Debt strategy'!$D$11,AND('Debt strategy'!$D$9='Debt strategy'!$D$11,0&lt;2))),1,0),IF(AND(I167+J167-K167&gt;0,OR('Debt strategy'!$D$10&gt;'Debt strategy'!$D$11,AND('Debt strategy'!$D$10='Debt strategy'!$D$11,1&lt;2))),1,0),IF(AND(U167+V167-W167&gt;0,OR('Debt strategy'!$D$12&gt;'Debt strategy'!$D$11,AND('Debt strategy'!$D$12='Debt strategy'!$D$11,3&lt;2))),1,0),IF(AND(AA167+AB167-AC167&gt;0,OR('Debt strategy'!$D$13&gt;'Debt strategy'!$D$11,AND('Debt strategy'!$D$13='Debt strategy'!$D$11,4&lt;2))),1,0)))</x:f>
        <x:v>99</x:v>
      </x:c>
      <x:c r="S167" s="6" t="n">
        <x:f>IF('Debt strategy'!$C$16&gt;0,0,MIN(O167+P167-Q167,MAX(0,'Debt strategy'!$C$5-SUM(E167,K167,Q167,W167,AC167)-SUM(IF(F167&lt;R167,C167+D167-E167,0),IF(L167&lt;R167,I167+J167-K167,0),IF(X167&lt;R167,U167+V167-W167,0),IF(AD167&lt;R167,AA167+AB167-AC167,0)))))</x:f>
        <x:v>0</x:v>
      </x:c>
      <x:c r="T167" s="6" t="n">
        <x:f>ROUND(MAX(0,O167+P167-Q167-S167),2)</x:f>
        <x:v>0</x:v>
      </x:c>
      <x:c r="U167" s="6" t="n">
        <x:f>Z166</x:f>
        <x:v>0</x:v>
      </x:c>
      <x:c r="V167" s="6" t="n">
        <x:f>ROUND(U167*'Debt strategy'!$D$12/12,2)</x:f>
        <x:v>0</x:v>
      </x:c>
      <x:c r="W167" s="6" t="n">
        <x:f>MIN(U167+V167,'Debt strategy'!$E$12)</x:f>
        <x:v>0</x:v>
      </x:c>
      <x:c r="X167" s="27" t="n">
        <x:f>IF(U167+V167-W167&lt;=0,99,1+SUM(IF(AND(C167+D167-E167&gt;0,OR('Debt strategy'!$D$9&gt;'Debt strategy'!$D$12,AND('Debt strategy'!$D$9='Debt strategy'!$D$12,0&lt;3))),1,0),IF(AND(I167+J167-K167&gt;0,OR('Debt strategy'!$D$10&gt;'Debt strategy'!$D$12,AND('Debt strategy'!$D$10='Debt strategy'!$D$12,1&lt;3))),1,0),IF(AND(O167+P167-Q167&gt;0,OR('Debt strategy'!$D$11&gt;'Debt strategy'!$D$12,AND('Debt strategy'!$D$11='Debt strategy'!$D$12,2&lt;3))),1,0),IF(AND(AA167+AB167-AC167&gt;0,OR('Debt strategy'!$D$13&gt;'Debt strategy'!$D$12,AND('Debt strategy'!$D$13='Debt strategy'!$D$12,4&lt;3))),1,0)))</x:f>
        <x:v>99</x:v>
      </x:c>
      <x:c r="Y167" s="6" t="n">
        <x:f>IF('Debt strategy'!$C$16&gt;0,0,MIN(U167+V167-W167,MAX(0,'Debt strategy'!$C$5-SUM(E167,K167,Q167,W167,AC167)-SUM(IF(F167&lt;X167,C167+D167-E167,0),IF(L167&lt;X167,I167+J167-K167,0),IF(R167&lt;X167,O167+P167-Q167,0),IF(AD167&lt;X167,AA167+AB167-AC167,0)))))</x:f>
        <x:v>0</x:v>
      </x:c>
      <x:c r="Z167" s="6" t="n">
        <x:f>ROUND(MAX(0,U167+V167-W167-Y167),2)</x:f>
        <x:v>0</x:v>
      </x:c>
      <x:c r="AA167" s="6" t="n">
        <x:f>AF166</x:f>
        <x:v>0</x:v>
      </x:c>
      <x:c r="AB167" s="6" t="n">
        <x:f>ROUND(AA167*'Debt strategy'!$D$13/12,2)</x:f>
        <x:v>0</x:v>
      </x:c>
      <x:c r="AC167" s="6" t="n">
        <x:f>MIN(AA167+AB167,'Debt strategy'!$E$13)</x:f>
        <x:v>0</x:v>
      </x:c>
      <x:c r="AD167" s="27" t="n">
        <x:f>IF(AA167+AB167-AC167&lt;=0,99,1+SUM(IF(AND(C167+D167-E167&gt;0,OR('Debt strategy'!$D$9&gt;'Debt strategy'!$D$13,AND('Debt strategy'!$D$9='Debt strategy'!$D$13,0&lt;4))),1,0),IF(AND(I167+J167-K167&gt;0,OR('Debt strategy'!$D$10&gt;'Debt strategy'!$D$13,AND('Debt strategy'!$D$10='Debt strategy'!$D$13,1&lt;4))),1,0),IF(AND(O167+P167-Q167&gt;0,OR('Debt strategy'!$D$11&gt;'Debt strategy'!$D$13,AND('Debt strategy'!$D$11='Debt strategy'!$D$13,2&lt;4))),1,0),IF(AND(U167+V167-W167&gt;0,OR('Debt strategy'!$D$12&gt;'Debt strategy'!$D$13,AND('Debt strategy'!$D$12='Debt strategy'!$D$13,3&lt;4))),1,0)))</x:f>
        <x:v>99</x:v>
      </x:c>
      <x:c r="AE167" s="6" t="n">
        <x:f>IF('Debt strategy'!$C$16&gt;0,0,MIN(AA167+AB167-AC167,MAX(0,'Debt strategy'!$C$5-SUM(E167,K167,Q167,W167,AC167)-SUM(IF(F167&lt;AD167,C167+D167-E167,0),IF(L167&lt;AD167,I167+J167-K167,0),IF(R167&lt;AD167,O167+P167-Q167,0),IF(X167&lt;AD167,U167+V167-W167,0)))))</x:f>
        <x:v>0</x:v>
      </x:c>
      <x:c r="AF167" s="6" t="n">
        <x:f>ROUND(MAX(0,AA167+AB167-AC167-AE167),2)</x:f>
        <x:v>0</x:v>
      </x:c>
      <x:c r="AG167" s="6" t="n">
        <x:f>SUM(H167,N167,T167,Z167,AF167)</x:f>
        <x:v>0</x:v>
      </x:c>
      <x:c r="AH167" s="6" t="n">
        <x:f>SUM(D167,J167,P167,V167,AB167)+AH166</x:f>
        <x:v>1220.8400000000001</x:v>
      </x:c>
      <x:c r="AI167" s="2"/>
    </x:row>
    <x:row r="168" ht="23" customHeight="1">
      <x:c r="B168" s="2" t="n">
        <x:f>160</x:f>
        <x:v>160</x:v>
      </x:c>
      <x:c r="C168" s="6" t="n">
        <x:f>H167</x:f>
        <x:v>0</x:v>
      </x:c>
      <x:c r="D168" s="6" t="n">
        <x:f>ROUND(C168*'Debt strategy'!$D$9/12,2)</x:f>
        <x:v>0</x:v>
      </x:c>
      <x:c r="E168" s="6" t="n">
        <x:f>MIN(C168+D168,'Debt strategy'!$E$9)</x:f>
        <x:v>0</x:v>
      </x:c>
      <x:c r="F168" s="27" t="n">
        <x:f>IF(C168+D168-E168&lt;=0,99,1+SUM(IF(AND(I168+J168-K168&gt;0,OR('Debt strategy'!$D$10&gt;'Debt strategy'!$D$9,AND('Debt strategy'!$D$10='Debt strategy'!$D$9,1&lt;0))),1,0),IF(AND(O168+P168-Q168&gt;0,OR('Debt strategy'!$D$11&gt;'Debt strategy'!$D$9,AND('Debt strategy'!$D$11='Debt strategy'!$D$9,2&lt;0))),1,0),IF(AND(U168+V168-W168&gt;0,OR('Debt strategy'!$D$12&gt;'Debt strategy'!$D$9,AND('Debt strategy'!$D$12='Debt strategy'!$D$9,3&lt;0))),1,0),IF(AND(AA168+AB168-AC168&gt;0,OR('Debt strategy'!$D$13&gt;'Debt strategy'!$D$9,AND('Debt strategy'!$D$13='Debt strategy'!$D$9,4&lt;0))),1,0)))</x:f>
        <x:v>99</x:v>
      </x:c>
      <x:c r="G168" s="6" t="n">
        <x:f>IF('Debt strategy'!$C$16&gt;0,0,MIN(C168+D168-E168,MAX(0,'Debt strategy'!$C$5-SUM(E168,K168,Q168,W168,AC168)-SUM(IF(L168&lt;F168,I168+J168-K168,0),IF(R168&lt;F168,O168+P168-Q168,0),IF(X168&lt;F168,U168+V168-W168,0),IF(AD168&lt;F168,AA168+AB168-AC168,0)))))</x:f>
        <x:v>0</x:v>
      </x:c>
      <x:c r="H168" s="6" t="n">
        <x:f>ROUND(MAX(0,C168+D168-E168-G168),2)</x:f>
        <x:v>0</x:v>
      </x:c>
      <x:c r="I168" s="6" t="n">
        <x:f>N167</x:f>
        <x:v>0</x:v>
      </x:c>
      <x:c r="J168" s="6" t="n">
        <x:f>ROUND(I168*'Debt strategy'!$D$10/12,2)</x:f>
        <x:v>0</x:v>
      </x:c>
      <x:c r="K168" s="6" t="n">
        <x:f>MIN(I168+J168,'Debt strategy'!$E$10)</x:f>
        <x:v>0</x:v>
      </x:c>
      <x:c r="L168" s="27" t="n">
        <x:f>IF(I168+J168-K168&lt;=0,99,1+SUM(IF(AND(C168+D168-E168&gt;0,OR('Debt strategy'!$D$9&gt;'Debt strategy'!$D$10,AND('Debt strategy'!$D$9='Debt strategy'!$D$10,0&lt;1))),1,0),IF(AND(O168+P168-Q168&gt;0,OR('Debt strategy'!$D$11&gt;'Debt strategy'!$D$10,AND('Debt strategy'!$D$11='Debt strategy'!$D$10,2&lt;1))),1,0),IF(AND(U168+V168-W168&gt;0,OR('Debt strategy'!$D$12&gt;'Debt strategy'!$D$10,AND('Debt strategy'!$D$12='Debt strategy'!$D$10,3&lt;1))),1,0),IF(AND(AA168+AB168-AC168&gt;0,OR('Debt strategy'!$D$13&gt;'Debt strategy'!$D$10,AND('Debt strategy'!$D$13='Debt strategy'!$D$10,4&lt;1))),1,0)))</x:f>
        <x:v>99</x:v>
      </x:c>
      <x:c r="M168" s="6" t="n">
        <x:f>IF('Debt strategy'!$C$16&gt;0,0,MIN(I168+J168-K168,MAX(0,'Debt strategy'!$C$5-SUM(E168,K168,Q168,W168,AC168)-SUM(IF(F168&lt;L168,C168+D168-E168,0),IF(R168&lt;L168,O168+P168-Q168,0),IF(X168&lt;L168,U168+V168-W168,0),IF(AD168&lt;L168,AA168+AB168-AC168,0)))))</x:f>
        <x:v>0</x:v>
      </x:c>
      <x:c r="N168" s="6" t="n">
        <x:f>ROUND(MAX(0,I168+J168-K168-M168),2)</x:f>
        <x:v>0</x:v>
      </x:c>
      <x:c r="O168" s="6" t="n">
        <x:f>T167</x:f>
        <x:v>0</x:v>
      </x:c>
      <x:c r="P168" s="6" t="n">
        <x:f>ROUND(O168*'Debt strategy'!$D$11/12,2)</x:f>
        <x:v>0</x:v>
      </x:c>
      <x:c r="Q168" s="6" t="n">
        <x:f>MIN(O168+P168,'Debt strategy'!$E$11)</x:f>
        <x:v>0</x:v>
      </x:c>
      <x:c r="R168" s="27" t="n">
        <x:f>IF(O168+P168-Q168&lt;=0,99,1+SUM(IF(AND(C168+D168-E168&gt;0,OR('Debt strategy'!$D$9&gt;'Debt strategy'!$D$11,AND('Debt strategy'!$D$9='Debt strategy'!$D$11,0&lt;2))),1,0),IF(AND(I168+J168-K168&gt;0,OR('Debt strategy'!$D$10&gt;'Debt strategy'!$D$11,AND('Debt strategy'!$D$10='Debt strategy'!$D$11,1&lt;2))),1,0),IF(AND(U168+V168-W168&gt;0,OR('Debt strategy'!$D$12&gt;'Debt strategy'!$D$11,AND('Debt strategy'!$D$12='Debt strategy'!$D$11,3&lt;2))),1,0),IF(AND(AA168+AB168-AC168&gt;0,OR('Debt strategy'!$D$13&gt;'Debt strategy'!$D$11,AND('Debt strategy'!$D$13='Debt strategy'!$D$11,4&lt;2))),1,0)))</x:f>
        <x:v>99</x:v>
      </x:c>
      <x:c r="S168" s="6" t="n">
        <x:f>IF('Debt strategy'!$C$16&gt;0,0,MIN(O168+P168-Q168,MAX(0,'Debt strategy'!$C$5-SUM(E168,K168,Q168,W168,AC168)-SUM(IF(F168&lt;R168,C168+D168-E168,0),IF(L168&lt;R168,I168+J168-K168,0),IF(X168&lt;R168,U168+V168-W168,0),IF(AD168&lt;R168,AA168+AB168-AC168,0)))))</x:f>
        <x:v>0</x:v>
      </x:c>
      <x:c r="T168" s="6" t="n">
        <x:f>ROUND(MAX(0,O168+P168-Q168-S168),2)</x:f>
        <x:v>0</x:v>
      </x:c>
      <x:c r="U168" s="6" t="n">
        <x:f>Z167</x:f>
        <x:v>0</x:v>
      </x:c>
      <x:c r="V168" s="6" t="n">
        <x:f>ROUND(U168*'Debt strategy'!$D$12/12,2)</x:f>
        <x:v>0</x:v>
      </x:c>
      <x:c r="W168" s="6" t="n">
        <x:f>MIN(U168+V168,'Debt strategy'!$E$12)</x:f>
        <x:v>0</x:v>
      </x:c>
      <x:c r="X168" s="27" t="n">
        <x:f>IF(U168+V168-W168&lt;=0,99,1+SUM(IF(AND(C168+D168-E168&gt;0,OR('Debt strategy'!$D$9&gt;'Debt strategy'!$D$12,AND('Debt strategy'!$D$9='Debt strategy'!$D$12,0&lt;3))),1,0),IF(AND(I168+J168-K168&gt;0,OR('Debt strategy'!$D$10&gt;'Debt strategy'!$D$12,AND('Debt strategy'!$D$10='Debt strategy'!$D$12,1&lt;3))),1,0),IF(AND(O168+P168-Q168&gt;0,OR('Debt strategy'!$D$11&gt;'Debt strategy'!$D$12,AND('Debt strategy'!$D$11='Debt strategy'!$D$12,2&lt;3))),1,0),IF(AND(AA168+AB168-AC168&gt;0,OR('Debt strategy'!$D$13&gt;'Debt strategy'!$D$12,AND('Debt strategy'!$D$13='Debt strategy'!$D$12,4&lt;3))),1,0)))</x:f>
        <x:v>99</x:v>
      </x:c>
      <x:c r="Y168" s="6" t="n">
        <x:f>IF('Debt strategy'!$C$16&gt;0,0,MIN(U168+V168-W168,MAX(0,'Debt strategy'!$C$5-SUM(E168,K168,Q168,W168,AC168)-SUM(IF(F168&lt;X168,C168+D168-E168,0),IF(L168&lt;X168,I168+J168-K168,0),IF(R168&lt;X168,O168+P168-Q168,0),IF(AD168&lt;X168,AA168+AB168-AC168,0)))))</x:f>
        <x:v>0</x:v>
      </x:c>
      <x:c r="Z168" s="6" t="n">
        <x:f>ROUND(MAX(0,U168+V168-W168-Y168),2)</x:f>
        <x:v>0</x:v>
      </x:c>
      <x:c r="AA168" s="6" t="n">
        <x:f>AF167</x:f>
        <x:v>0</x:v>
      </x:c>
      <x:c r="AB168" s="6" t="n">
        <x:f>ROUND(AA168*'Debt strategy'!$D$13/12,2)</x:f>
        <x:v>0</x:v>
      </x:c>
      <x:c r="AC168" s="6" t="n">
        <x:f>MIN(AA168+AB168,'Debt strategy'!$E$13)</x:f>
        <x:v>0</x:v>
      </x:c>
      <x:c r="AD168" s="27" t="n">
        <x:f>IF(AA168+AB168-AC168&lt;=0,99,1+SUM(IF(AND(C168+D168-E168&gt;0,OR('Debt strategy'!$D$9&gt;'Debt strategy'!$D$13,AND('Debt strategy'!$D$9='Debt strategy'!$D$13,0&lt;4))),1,0),IF(AND(I168+J168-K168&gt;0,OR('Debt strategy'!$D$10&gt;'Debt strategy'!$D$13,AND('Debt strategy'!$D$10='Debt strategy'!$D$13,1&lt;4))),1,0),IF(AND(O168+P168-Q168&gt;0,OR('Debt strategy'!$D$11&gt;'Debt strategy'!$D$13,AND('Debt strategy'!$D$11='Debt strategy'!$D$13,2&lt;4))),1,0),IF(AND(U168+V168-W168&gt;0,OR('Debt strategy'!$D$12&gt;'Debt strategy'!$D$13,AND('Debt strategy'!$D$12='Debt strategy'!$D$13,3&lt;4))),1,0)))</x:f>
        <x:v>99</x:v>
      </x:c>
      <x:c r="AE168" s="6" t="n">
        <x:f>IF('Debt strategy'!$C$16&gt;0,0,MIN(AA168+AB168-AC168,MAX(0,'Debt strategy'!$C$5-SUM(E168,K168,Q168,W168,AC168)-SUM(IF(F168&lt;AD168,C168+D168-E168,0),IF(L168&lt;AD168,I168+J168-K168,0),IF(R168&lt;AD168,O168+P168-Q168,0),IF(X168&lt;AD168,U168+V168-W168,0)))))</x:f>
        <x:v>0</x:v>
      </x:c>
      <x:c r="AF168" s="6" t="n">
        <x:f>ROUND(MAX(0,AA168+AB168-AC168-AE168),2)</x:f>
        <x:v>0</x:v>
      </x:c>
      <x:c r="AG168" s="6" t="n">
        <x:f>SUM(H168,N168,T168,Z168,AF168)</x:f>
        <x:v>0</x:v>
      </x:c>
      <x:c r="AH168" s="6" t="n">
        <x:f>SUM(D168,J168,P168,V168,AB168)+AH167</x:f>
        <x:v>1220.8400000000001</x:v>
      </x:c>
      <x:c r="AI168" s="2"/>
    </x:row>
    <x:row r="169" ht="23" customHeight="1">
      <x:c r="B169" s="2" t="n">
        <x:f>161</x:f>
        <x:v>161</x:v>
      </x:c>
      <x:c r="C169" s="6" t="n">
        <x:f>H168</x:f>
        <x:v>0</x:v>
      </x:c>
      <x:c r="D169" s="6" t="n">
        <x:f>ROUND(C169*'Debt strategy'!$D$9/12,2)</x:f>
        <x:v>0</x:v>
      </x:c>
      <x:c r="E169" s="6" t="n">
        <x:f>MIN(C169+D169,'Debt strategy'!$E$9)</x:f>
        <x:v>0</x:v>
      </x:c>
      <x:c r="F169" s="27" t="n">
        <x:f>IF(C169+D169-E169&lt;=0,99,1+SUM(IF(AND(I169+J169-K169&gt;0,OR('Debt strategy'!$D$10&gt;'Debt strategy'!$D$9,AND('Debt strategy'!$D$10='Debt strategy'!$D$9,1&lt;0))),1,0),IF(AND(O169+P169-Q169&gt;0,OR('Debt strategy'!$D$11&gt;'Debt strategy'!$D$9,AND('Debt strategy'!$D$11='Debt strategy'!$D$9,2&lt;0))),1,0),IF(AND(U169+V169-W169&gt;0,OR('Debt strategy'!$D$12&gt;'Debt strategy'!$D$9,AND('Debt strategy'!$D$12='Debt strategy'!$D$9,3&lt;0))),1,0),IF(AND(AA169+AB169-AC169&gt;0,OR('Debt strategy'!$D$13&gt;'Debt strategy'!$D$9,AND('Debt strategy'!$D$13='Debt strategy'!$D$9,4&lt;0))),1,0)))</x:f>
        <x:v>99</x:v>
      </x:c>
      <x:c r="G169" s="6" t="n">
        <x:f>IF('Debt strategy'!$C$16&gt;0,0,MIN(C169+D169-E169,MAX(0,'Debt strategy'!$C$5-SUM(E169,K169,Q169,W169,AC169)-SUM(IF(L169&lt;F169,I169+J169-K169,0),IF(R169&lt;F169,O169+P169-Q169,0),IF(X169&lt;F169,U169+V169-W169,0),IF(AD169&lt;F169,AA169+AB169-AC169,0)))))</x:f>
        <x:v>0</x:v>
      </x:c>
      <x:c r="H169" s="6" t="n">
        <x:f>ROUND(MAX(0,C169+D169-E169-G169),2)</x:f>
        <x:v>0</x:v>
      </x:c>
      <x:c r="I169" s="6" t="n">
        <x:f>N168</x:f>
        <x:v>0</x:v>
      </x:c>
      <x:c r="J169" s="6" t="n">
        <x:f>ROUND(I169*'Debt strategy'!$D$10/12,2)</x:f>
        <x:v>0</x:v>
      </x:c>
      <x:c r="K169" s="6" t="n">
        <x:f>MIN(I169+J169,'Debt strategy'!$E$10)</x:f>
        <x:v>0</x:v>
      </x:c>
      <x:c r="L169" s="27" t="n">
        <x:f>IF(I169+J169-K169&lt;=0,99,1+SUM(IF(AND(C169+D169-E169&gt;0,OR('Debt strategy'!$D$9&gt;'Debt strategy'!$D$10,AND('Debt strategy'!$D$9='Debt strategy'!$D$10,0&lt;1))),1,0),IF(AND(O169+P169-Q169&gt;0,OR('Debt strategy'!$D$11&gt;'Debt strategy'!$D$10,AND('Debt strategy'!$D$11='Debt strategy'!$D$10,2&lt;1))),1,0),IF(AND(U169+V169-W169&gt;0,OR('Debt strategy'!$D$12&gt;'Debt strategy'!$D$10,AND('Debt strategy'!$D$12='Debt strategy'!$D$10,3&lt;1))),1,0),IF(AND(AA169+AB169-AC169&gt;0,OR('Debt strategy'!$D$13&gt;'Debt strategy'!$D$10,AND('Debt strategy'!$D$13='Debt strategy'!$D$10,4&lt;1))),1,0)))</x:f>
        <x:v>99</x:v>
      </x:c>
      <x:c r="M169" s="6" t="n">
        <x:f>IF('Debt strategy'!$C$16&gt;0,0,MIN(I169+J169-K169,MAX(0,'Debt strategy'!$C$5-SUM(E169,K169,Q169,W169,AC169)-SUM(IF(F169&lt;L169,C169+D169-E169,0),IF(R169&lt;L169,O169+P169-Q169,0),IF(X169&lt;L169,U169+V169-W169,0),IF(AD169&lt;L169,AA169+AB169-AC169,0)))))</x:f>
        <x:v>0</x:v>
      </x:c>
      <x:c r="N169" s="6" t="n">
        <x:f>ROUND(MAX(0,I169+J169-K169-M169),2)</x:f>
        <x:v>0</x:v>
      </x:c>
      <x:c r="O169" s="6" t="n">
        <x:f>T168</x:f>
        <x:v>0</x:v>
      </x:c>
      <x:c r="P169" s="6" t="n">
        <x:f>ROUND(O169*'Debt strategy'!$D$11/12,2)</x:f>
        <x:v>0</x:v>
      </x:c>
      <x:c r="Q169" s="6" t="n">
        <x:f>MIN(O169+P169,'Debt strategy'!$E$11)</x:f>
        <x:v>0</x:v>
      </x:c>
      <x:c r="R169" s="27" t="n">
        <x:f>IF(O169+P169-Q169&lt;=0,99,1+SUM(IF(AND(C169+D169-E169&gt;0,OR('Debt strategy'!$D$9&gt;'Debt strategy'!$D$11,AND('Debt strategy'!$D$9='Debt strategy'!$D$11,0&lt;2))),1,0),IF(AND(I169+J169-K169&gt;0,OR('Debt strategy'!$D$10&gt;'Debt strategy'!$D$11,AND('Debt strategy'!$D$10='Debt strategy'!$D$11,1&lt;2))),1,0),IF(AND(U169+V169-W169&gt;0,OR('Debt strategy'!$D$12&gt;'Debt strategy'!$D$11,AND('Debt strategy'!$D$12='Debt strategy'!$D$11,3&lt;2))),1,0),IF(AND(AA169+AB169-AC169&gt;0,OR('Debt strategy'!$D$13&gt;'Debt strategy'!$D$11,AND('Debt strategy'!$D$13='Debt strategy'!$D$11,4&lt;2))),1,0)))</x:f>
        <x:v>99</x:v>
      </x:c>
      <x:c r="S169" s="6" t="n">
        <x:f>IF('Debt strategy'!$C$16&gt;0,0,MIN(O169+P169-Q169,MAX(0,'Debt strategy'!$C$5-SUM(E169,K169,Q169,W169,AC169)-SUM(IF(F169&lt;R169,C169+D169-E169,0),IF(L169&lt;R169,I169+J169-K169,0),IF(X169&lt;R169,U169+V169-W169,0),IF(AD169&lt;R169,AA169+AB169-AC169,0)))))</x:f>
        <x:v>0</x:v>
      </x:c>
      <x:c r="T169" s="6" t="n">
        <x:f>ROUND(MAX(0,O169+P169-Q169-S169),2)</x:f>
        <x:v>0</x:v>
      </x:c>
      <x:c r="U169" s="6" t="n">
        <x:f>Z168</x:f>
        <x:v>0</x:v>
      </x:c>
      <x:c r="V169" s="6" t="n">
        <x:f>ROUND(U169*'Debt strategy'!$D$12/12,2)</x:f>
        <x:v>0</x:v>
      </x:c>
      <x:c r="W169" s="6" t="n">
        <x:f>MIN(U169+V169,'Debt strategy'!$E$12)</x:f>
        <x:v>0</x:v>
      </x:c>
      <x:c r="X169" s="27" t="n">
        <x:f>IF(U169+V169-W169&lt;=0,99,1+SUM(IF(AND(C169+D169-E169&gt;0,OR('Debt strategy'!$D$9&gt;'Debt strategy'!$D$12,AND('Debt strategy'!$D$9='Debt strategy'!$D$12,0&lt;3))),1,0),IF(AND(I169+J169-K169&gt;0,OR('Debt strategy'!$D$10&gt;'Debt strategy'!$D$12,AND('Debt strategy'!$D$10='Debt strategy'!$D$12,1&lt;3))),1,0),IF(AND(O169+P169-Q169&gt;0,OR('Debt strategy'!$D$11&gt;'Debt strategy'!$D$12,AND('Debt strategy'!$D$11='Debt strategy'!$D$12,2&lt;3))),1,0),IF(AND(AA169+AB169-AC169&gt;0,OR('Debt strategy'!$D$13&gt;'Debt strategy'!$D$12,AND('Debt strategy'!$D$13='Debt strategy'!$D$12,4&lt;3))),1,0)))</x:f>
        <x:v>99</x:v>
      </x:c>
      <x:c r="Y169" s="6" t="n">
        <x:f>IF('Debt strategy'!$C$16&gt;0,0,MIN(U169+V169-W169,MAX(0,'Debt strategy'!$C$5-SUM(E169,K169,Q169,W169,AC169)-SUM(IF(F169&lt;X169,C169+D169-E169,0),IF(L169&lt;X169,I169+J169-K169,0),IF(R169&lt;X169,O169+P169-Q169,0),IF(AD169&lt;X169,AA169+AB169-AC169,0)))))</x:f>
        <x:v>0</x:v>
      </x:c>
      <x:c r="Z169" s="6" t="n">
        <x:f>ROUND(MAX(0,U169+V169-W169-Y169),2)</x:f>
        <x:v>0</x:v>
      </x:c>
      <x:c r="AA169" s="6" t="n">
        <x:f>AF168</x:f>
        <x:v>0</x:v>
      </x:c>
      <x:c r="AB169" s="6" t="n">
        <x:f>ROUND(AA169*'Debt strategy'!$D$13/12,2)</x:f>
        <x:v>0</x:v>
      </x:c>
      <x:c r="AC169" s="6" t="n">
        <x:f>MIN(AA169+AB169,'Debt strategy'!$E$13)</x:f>
        <x:v>0</x:v>
      </x:c>
      <x:c r="AD169" s="27" t="n">
        <x:f>IF(AA169+AB169-AC169&lt;=0,99,1+SUM(IF(AND(C169+D169-E169&gt;0,OR('Debt strategy'!$D$9&gt;'Debt strategy'!$D$13,AND('Debt strategy'!$D$9='Debt strategy'!$D$13,0&lt;4))),1,0),IF(AND(I169+J169-K169&gt;0,OR('Debt strategy'!$D$10&gt;'Debt strategy'!$D$13,AND('Debt strategy'!$D$10='Debt strategy'!$D$13,1&lt;4))),1,0),IF(AND(O169+P169-Q169&gt;0,OR('Debt strategy'!$D$11&gt;'Debt strategy'!$D$13,AND('Debt strategy'!$D$11='Debt strategy'!$D$13,2&lt;4))),1,0),IF(AND(U169+V169-W169&gt;0,OR('Debt strategy'!$D$12&gt;'Debt strategy'!$D$13,AND('Debt strategy'!$D$12='Debt strategy'!$D$13,3&lt;4))),1,0)))</x:f>
        <x:v>99</x:v>
      </x:c>
      <x:c r="AE169" s="6" t="n">
        <x:f>IF('Debt strategy'!$C$16&gt;0,0,MIN(AA169+AB169-AC169,MAX(0,'Debt strategy'!$C$5-SUM(E169,K169,Q169,W169,AC169)-SUM(IF(F169&lt;AD169,C169+D169-E169,0),IF(L169&lt;AD169,I169+J169-K169,0),IF(R169&lt;AD169,O169+P169-Q169,0),IF(X169&lt;AD169,U169+V169-W169,0)))))</x:f>
        <x:v>0</x:v>
      </x:c>
      <x:c r="AF169" s="6" t="n">
        <x:f>ROUND(MAX(0,AA169+AB169-AC169-AE169),2)</x:f>
        <x:v>0</x:v>
      </x:c>
      <x:c r="AG169" s="6" t="n">
        <x:f>SUM(H169,N169,T169,Z169,AF169)</x:f>
        <x:v>0</x:v>
      </x:c>
      <x:c r="AH169" s="6" t="n">
        <x:f>SUM(D169,J169,P169,V169,AB169)+AH168</x:f>
        <x:v>1220.8400000000001</x:v>
      </x:c>
      <x:c r="AI169" s="2"/>
    </x:row>
    <x:row r="170" ht="23" customHeight="1">
      <x:c r="B170" s="2" t="n">
        <x:f>162</x:f>
        <x:v>162</x:v>
      </x:c>
      <x:c r="C170" s="6" t="n">
        <x:f>H169</x:f>
        <x:v>0</x:v>
      </x:c>
      <x:c r="D170" s="6" t="n">
        <x:f>ROUND(C170*'Debt strategy'!$D$9/12,2)</x:f>
        <x:v>0</x:v>
      </x:c>
      <x:c r="E170" s="6" t="n">
        <x:f>MIN(C170+D170,'Debt strategy'!$E$9)</x:f>
        <x:v>0</x:v>
      </x:c>
      <x:c r="F170" s="27" t="n">
        <x:f>IF(C170+D170-E170&lt;=0,99,1+SUM(IF(AND(I170+J170-K170&gt;0,OR('Debt strategy'!$D$10&gt;'Debt strategy'!$D$9,AND('Debt strategy'!$D$10='Debt strategy'!$D$9,1&lt;0))),1,0),IF(AND(O170+P170-Q170&gt;0,OR('Debt strategy'!$D$11&gt;'Debt strategy'!$D$9,AND('Debt strategy'!$D$11='Debt strategy'!$D$9,2&lt;0))),1,0),IF(AND(U170+V170-W170&gt;0,OR('Debt strategy'!$D$12&gt;'Debt strategy'!$D$9,AND('Debt strategy'!$D$12='Debt strategy'!$D$9,3&lt;0))),1,0),IF(AND(AA170+AB170-AC170&gt;0,OR('Debt strategy'!$D$13&gt;'Debt strategy'!$D$9,AND('Debt strategy'!$D$13='Debt strategy'!$D$9,4&lt;0))),1,0)))</x:f>
        <x:v>99</x:v>
      </x:c>
      <x:c r="G170" s="6" t="n">
        <x:f>IF('Debt strategy'!$C$16&gt;0,0,MIN(C170+D170-E170,MAX(0,'Debt strategy'!$C$5-SUM(E170,K170,Q170,W170,AC170)-SUM(IF(L170&lt;F170,I170+J170-K170,0),IF(R170&lt;F170,O170+P170-Q170,0),IF(X170&lt;F170,U170+V170-W170,0),IF(AD170&lt;F170,AA170+AB170-AC170,0)))))</x:f>
        <x:v>0</x:v>
      </x:c>
      <x:c r="H170" s="6" t="n">
        <x:f>ROUND(MAX(0,C170+D170-E170-G170),2)</x:f>
        <x:v>0</x:v>
      </x:c>
      <x:c r="I170" s="6" t="n">
        <x:f>N169</x:f>
        <x:v>0</x:v>
      </x:c>
      <x:c r="J170" s="6" t="n">
        <x:f>ROUND(I170*'Debt strategy'!$D$10/12,2)</x:f>
        <x:v>0</x:v>
      </x:c>
      <x:c r="K170" s="6" t="n">
        <x:f>MIN(I170+J170,'Debt strategy'!$E$10)</x:f>
        <x:v>0</x:v>
      </x:c>
      <x:c r="L170" s="27" t="n">
        <x:f>IF(I170+J170-K170&lt;=0,99,1+SUM(IF(AND(C170+D170-E170&gt;0,OR('Debt strategy'!$D$9&gt;'Debt strategy'!$D$10,AND('Debt strategy'!$D$9='Debt strategy'!$D$10,0&lt;1))),1,0),IF(AND(O170+P170-Q170&gt;0,OR('Debt strategy'!$D$11&gt;'Debt strategy'!$D$10,AND('Debt strategy'!$D$11='Debt strategy'!$D$10,2&lt;1))),1,0),IF(AND(U170+V170-W170&gt;0,OR('Debt strategy'!$D$12&gt;'Debt strategy'!$D$10,AND('Debt strategy'!$D$12='Debt strategy'!$D$10,3&lt;1))),1,0),IF(AND(AA170+AB170-AC170&gt;0,OR('Debt strategy'!$D$13&gt;'Debt strategy'!$D$10,AND('Debt strategy'!$D$13='Debt strategy'!$D$10,4&lt;1))),1,0)))</x:f>
        <x:v>99</x:v>
      </x:c>
      <x:c r="M170" s="6" t="n">
        <x:f>IF('Debt strategy'!$C$16&gt;0,0,MIN(I170+J170-K170,MAX(0,'Debt strategy'!$C$5-SUM(E170,K170,Q170,W170,AC170)-SUM(IF(F170&lt;L170,C170+D170-E170,0),IF(R170&lt;L170,O170+P170-Q170,0),IF(X170&lt;L170,U170+V170-W170,0),IF(AD170&lt;L170,AA170+AB170-AC170,0)))))</x:f>
        <x:v>0</x:v>
      </x:c>
      <x:c r="N170" s="6" t="n">
        <x:f>ROUND(MAX(0,I170+J170-K170-M170),2)</x:f>
        <x:v>0</x:v>
      </x:c>
      <x:c r="O170" s="6" t="n">
        <x:f>T169</x:f>
        <x:v>0</x:v>
      </x:c>
      <x:c r="P170" s="6" t="n">
        <x:f>ROUND(O170*'Debt strategy'!$D$11/12,2)</x:f>
        <x:v>0</x:v>
      </x:c>
      <x:c r="Q170" s="6" t="n">
        <x:f>MIN(O170+P170,'Debt strategy'!$E$11)</x:f>
        <x:v>0</x:v>
      </x:c>
      <x:c r="R170" s="27" t="n">
        <x:f>IF(O170+P170-Q170&lt;=0,99,1+SUM(IF(AND(C170+D170-E170&gt;0,OR('Debt strategy'!$D$9&gt;'Debt strategy'!$D$11,AND('Debt strategy'!$D$9='Debt strategy'!$D$11,0&lt;2))),1,0),IF(AND(I170+J170-K170&gt;0,OR('Debt strategy'!$D$10&gt;'Debt strategy'!$D$11,AND('Debt strategy'!$D$10='Debt strategy'!$D$11,1&lt;2))),1,0),IF(AND(U170+V170-W170&gt;0,OR('Debt strategy'!$D$12&gt;'Debt strategy'!$D$11,AND('Debt strategy'!$D$12='Debt strategy'!$D$11,3&lt;2))),1,0),IF(AND(AA170+AB170-AC170&gt;0,OR('Debt strategy'!$D$13&gt;'Debt strategy'!$D$11,AND('Debt strategy'!$D$13='Debt strategy'!$D$11,4&lt;2))),1,0)))</x:f>
        <x:v>99</x:v>
      </x:c>
      <x:c r="S170" s="6" t="n">
        <x:f>IF('Debt strategy'!$C$16&gt;0,0,MIN(O170+P170-Q170,MAX(0,'Debt strategy'!$C$5-SUM(E170,K170,Q170,W170,AC170)-SUM(IF(F170&lt;R170,C170+D170-E170,0),IF(L170&lt;R170,I170+J170-K170,0),IF(X170&lt;R170,U170+V170-W170,0),IF(AD170&lt;R170,AA170+AB170-AC170,0)))))</x:f>
        <x:v>0</x:v>
      </x:c>
      <x:c r="T170" s="6" t="n">
        <x:f>ROUND(MAX(0,O170+P170-Q170-S170),2)</x:f>
        <x:v>0</x:v>
      </x:c>
      <x:c r="U170" s="6" t="n">
        <x:f>Z169</x:f>
        <x:v>0</x:v>
      </x:c>
      <x:c r="V170" s="6" t="n">
        <x:f>ROUND(U170*'Debt strategy'!$D$12/12,2)</x:f>
        <x:v>0</x:v>
      </x:c>
      <x:c r="W170" s="6" t="n">
        <x:f>MIN(U170+V170,'Debt strategy'!$E$12)</x:f>
        <x:v>0</x:v>
      </x:c>
      <x:c r="X170" s="27" t="n">
        <x:f>IF(U170+V170-W170&lt;=0,99,1+SUM(IF(AND(C170+D170-E170&gt;0,OR('Debt strategy'!$D$9&gt;'Debt strategy'!$D$12,AND('Debt strategy'!$D$9='Debt strategy'!$D$12,0&lt;3))),1,0),IF(AND(I170+J170-K170&gt;0,OR('Debt strategy'!$D$10&gt;'Debt strategy'!$D$12,AND('Debt strategy'!$D$10='Debt strategy'!$D$12,1&lt;3))),1,0),IF(AND(O170+P170-Q170&gt;0,OR('Debt strategy'!$D$11&gt;'Debt strategy'!$D$12,AND('Debt strategy'!$D$11='Debt strategy'!$D$12,2&lt;3))),1,0),IF(AND(AA170+AB170-AC170&gt;0,OR('Debt strategy'!$D$13&gt;'Debt strategy'!$D$12,AND('Debt strategy'!$D$13='Debt strategy'!$D$12,4&lt;3))),1,0)))</x:f>
        <x:v>99</x:v>
      </x:c>
      <x:c r="Y170" s="6" t="n">
        <x:f>IF('Debt strategy'!$C$16&gt;0,0,MIN(U170+V170-W170,MAX(0,'Debt strategy'!$C$5-SUM(E170,K170,Q170,W170,AC170)-SUM(IF(F170&lt;X170,C170+D170-E170,0),IF(L170&lt;X170,I170+J170-K170,0),IF(R170&lt;X170,O170+P170-Q170,0),IF(AD170&lt;X170,AA170+AB170-AC170,0)))))</x:f>
        <x:v>0</x:v>
      </x:c>
      <x:c r="Z170" s="6" t="n">
        <x:f>ROUND(MAX(0,U170+V170-W170-Y170),2)</x:f>
        <x:v>0</x:v>
      </x:c>
      <x:c r="AA170" s="6" t="n">
        <x:f>AF169</x:f>
        <x:v>0</x:v>
      </x:c>
      <x:c r="AB170" s="6" t="n">
        <x:f>ROUND(AA170*'Debt strategy'!$D$13/12,2)</x:f>
        <x:v>0</x:v>
      </x:c>
      <x:c r="AC170" s="6" t="n">
        <x:f>MIN(AA170+AB170,'Debt strategy'!$E$13)</x:f>
        <x:v>0</x:v>
      </x:c>
      <x:c r="AD170" s="27" t="n">
        <x:f>IF(AA170+AB170-AC170&lt;=0,99,1+SUM(IF(AND(C170+D170-E170&gt;0,OR('Debt strategy'!$D$9&gt;'Debt strategy'!$D$13,AND('Debt strategy'!$D$9='Debt strategy'!$D$13,0&lt;4))),1,0),IF(AND(I170+J170-K170&gt;0,OR('Debt strategy'!$D$10&gt;'Debt strategy'!$D$13,AND('Debt strategy'!$D$10='Debt strategy'!$D$13,1&lt;4))),1,0),IF(AND(O170+P170-Q170&gt;0,OR('Debt strategy'!$D$11&gt;'Debt strategy'!$D$13,AND('Debt strategy'!$D$11='Debt strategy'!$D$13,2&lt;4))),1,0),IF(AND(U170+V170-W170&gt;0,OR('Debt strategy'!$D$12&gt;'Debt strategy'!$D$13,AND('Debt strategy'!$D$12='Debt strategy'!$D$13,3&lt;4))),1,0)))</x:f>
        <x:v>99</x:v>
      </x:c>
      <x:c r="AE170" s="6" t="n">
        <x:f>IF('Debt strategy'!$C$16&gt;0,0,MIN(AA170+AB170-AC170,MAX(0,'Debt strategy'!$C$5-SUM(E170,K170,Q170,W170,AC170)-SUM(IF(F170&lt;AD170,C170+D170-E170,0),IF(L170&lt;AD170,I170+J170-K170,0),IF(R170&lt;AD170,O170+P170-Q170,0),IF(X170&lt;AD170,U170+V170-W170,0)))))</x:f>
        <x:v>0</x:v>
      </x:c>
      <x:c r="AF170" s="6" t="n">
        <x:f>ROUND(MAX(0,AA170+AB170-AC170-AE170),2)</x:f>
        <x:v>0</x:v>
      </x:c>
      <x:c r="AG170" s="6" t="n">
        <x:f>SUM(H170,N170,T170,Z170,AF170)</x:f>
        <x:v>0</x:v>
      </x:c>
      <x:c r="AH170" s="6" t="n">
        <x:f>SUM(D170,J170,P170,V170,AB170)+AH169</x:f>
        <x:v>1220.8400000000001</x:v>
      </x:c>
      <x:c r="AI170" s="2"/>
    </x:row>
    <x:row r="171" ht="23" customHeight="1">
      <x:c r="B171" s="2" t="n">
        <x:f>163</x:f>
        <x:v>163</x:v>
      </x:c>
      <x:c r="C171" s="6" t="n">
        <x:f>H170</x:f>
        <x:v>0</x:v>
      </x:c>
      <x:c r="D171" s="6" t="n">
        <x:f>ROUND(C171*'Debt strategy'!$D$9/12,2)</x:f>
        <x:v>0</x:v>
      </x:c>
      <x:c r="E171" s="6" t="n">
        <x:f>MIN(C171+D171,'Debt strategy'!$E$9)</x:f>
        <x:v>0</x:v>
      </x:c>
      <x:c r="F171" s="27" t="n">
        <x:f>IF(C171+D171-E171&lt;=0,99,1+SUM(IF(AND(I171+J171-K171&gt;0,OR('Debt strategy'!$D$10&gt;'Debt strategy'!$D$9,AND('Debt strategy'!$D$10='Debt strategy'!$D$9,1&lt;0))),1,0),IF(AND(O171+P171-Q171&gt;0,OR('Debt strategy'!$D$11&gt;'Debt strategy'!$D$9,AND('Debt strategy'!$D$11='Debt strategy'!$D$9,2&lt;0))),1,0),IF(AND(U171+V171-W171&gt;0,OR('Debt strategy'!$D$12&gt;'Debt strategy'!$D$9,AND('Debt strategy'!$D$12='Debt strategy'!$D$9,3&lt;0))),1,0),IF(AND(AA171+AB171-AC171&gt;0,OR('Debt strategy'!$D$13&gt;'Debt strategy'!$D$9,AND('Debt strategy'!$D$13='Debt strategy'!$D$9,4&lt;0))),1,0)))</x:f>
        <x:v>99</x:v>
      </x:c>
      <x:c r="G171" s="6" t="n">
        <x:f>IF('Debt strategy'!$C$16&gt;0,0,MIN(C171+D171-E171,MAX(0,'Debt strategy'!$C$5-SUM(E171,K171,Q171,W171,AC171)-SUM(IF(L171&lt;F171,I171+J171-K171,0),IF(R171&lt;F171,O171+P171-Q171,0),IF(X171&lt;F171,U171+V171-W171,0),IF(AD171&lt;F171,AA171+AB171-AC171,0)))))</x:f>
        <x:v>0</x:v>
      </x:c>
      <x:c r="H171" s="6" t="n">
        <x:f>ROUND(MAX(0,C171+D171-E171-G171),2)</x:f>
        <x:v>0</x:v>
      </x:c>
      <x:c r="I171" s="6" t="n">
        <x:f>N170</x:f>
        <x:v>0</x:v>
      </x:c>
      <x:c r="J171" s="6" t="n">
        <x:f>ROUND(I171*'Debt strategy'!$D$10/12,2)</x:f>
        <x:v>0</x:v>
      </x:c>
      <x:c r="K171" s="6" t="n">
        <x:f>MIN(I171+J171,'Debt strategy'!$E$10)</x:f>
        <x:v>0</x:v>
      </x:c>
      <x:c r="L171" s="27" t="n">
        <x:f>IF(I171+J171-K171&lt;=0,99,1+SUM(IF(AND(C171+D171-E171&gt;0,OR('Debt strategy'!$D$9&gt;'Debt strategy'!$D$10,AND('Debt strategy'!$D$9='Debt strategy'!$D$10,0&lt;1))),1,0),IF(AND(O171+P171-Q171&gt;0,OR('Debt strategy'!$D$11&gt;'Debt strategy'!$D$10,AND('Debt strategy'!$D$11='Debt strategy'!$D$10,2&lt;1))),1,0),IF(AND(U171+V171-W171&gt;0,OR('Debt strategy'!$D$12&gt;'Debt strategy'!$D$10,AND('Debt strategy'!$D$12='Debt strategy'!$D$10,3&lt;1))),1,0),IF(AND(AA171+AB171-AC171&gt;0,OR('Debt strategy'!$D$13&gt;'Debt strategy'!$D$10,AND('Debt strategy'!$D$13='Debt strategy'!$D$10,4&lt;1))),1,0)))</x:f>
        <x:v>99</x:v>
      </x:c>
      <x:c r="M171" s="6" t="n">
        <x:f>IF('Debt strategy'!$C$16&gt;0,0,MIN(I171+J171-K171,MAX(0,'Debt strategy'!$C$5-SUM(E171,K171,Q171,W171,AC171)-SUM(IF(F171&lt;L171,C171+D171-E171,0),IF(R171&lt;L171,O171+P171-Q171,0),IF(X171&lt;L171,U171+V171-W171,0),IF(AD171&lt;L171,AA171+AB171-AC171,0)))))</x:f>
        <x:v>0</x:v>
      </x:c>
      <x:c r="N171" s="6" t="n">
        <x:f>ROUND(MAX(0,I171+J171-K171-M171),2)</x:f>
        <x:v>0</x:v>
      </x:c>
      <x:c r="O171" s="6" t="n">
        <x:f>T170</x:f>
        <x:v>0</x:v>
      </x:c>
      <x:c r="P171" s="6" t="n">
        <x:f>ROUND(O171*'Debt strategy'!$D$11/12,2)</x:f>
        <x:v>0</x:v>
      </x:c>
      <x:c r="Q171" s="6" t="n">
        <x:f>MIN(O171+P171,'Debt strategy'!$E$11)</x:f>
        <x:v>0</x:v>
      </x:c>
      <x:c r="R171" s="27" t="n">
        <x:f>IF(O171+P171-Q171&lt;=0,99,1+SUM(IF(AND(C171+D171-E171&gt;0,OR('Debt strategy'!$D$9&gt;'Debt strategy'!$D$11,AND('Debt strategy'!$D$9='Debt strategy'!$D$11,0&lt;2))),1,0),IF(AND(I171+J171-K171&gt;0,OR('Debt strategy'!$D$10&gt;'Debt strategy'!$D$11,AND('Debt strategy'!$D$10='Debt strategy'!$D$11,1&lt;2))),1,0),IF(AND(U171+V171-W171&gt;0,OR('Debt strategy'!$D$12&gt;'Debt strategy'!$D$11,AND('Debt strategy'!$D$12='Debt strategy'!$D$11,3&lt;2))),1,0),IF(AND(AA171+AB171-AC171&gt;0,OR('Debt strategy'!$D$13&gt;'Debt strategy'!$D$11,AND('Debt strategy'!$D$13='Debt strategy'!$D$11,4&lt;2))),1,0)))</x:f>
        <x:v>99</x:v>
      </x:c>
      <x:c r="S171" s="6" t="n">
        <x:f>IF('Debt strategy'!$C$16&gt;0,0,MIN(O171+P171-Q171,MAX(0,'Debt strategy'!$C$5-SUM(E171,K171,Q171,W171,AC171)-SUM(IF(F171&lt;R171,C171+D171-E171,0),IF(L171&lt;R171,I171+J171-K171,0),IF(X171&lt;R171,U171+V171-W171,0),IF(AD171&lt;R171,AA171+AB171-AC171,0)))))</x:f>
        <x:v>0</x:v>
      </x:c>
      <x:c r="T171" s="6" t="n">
        <x:f>ROUND(MAX(0,O171+P171-Q171-S171),2)</x:f>
        <x:v>0</x:v>
      </x:c>
      <x:c r="U171" s="6" t="n">
        <x:f>Z170</x:f>
        <x:v>0</x:v>
      </x:c>
      <x:c r="V171" s="6" t="n">
        <x:f>ROUND(U171*'Debt strategy'!$D$12/12,2)</x:f>
        <x:v>0</x:v>
      </x:c>
      <x:c r="W171" s="6" t="n">
        <x:f>MIN(U171+V171,'Debt strategy'!$E$12)</x:f>
        <x:v>0</x:v>
      </x:c>
      <x:c r="X171" s="27" t="n">
        <x:f>IF(U171+V171-W171&lt;=0,99,1+SUM(IF(AND(C171+D171-E171&gt;0,OR('Debt strategy'!$D$9&gt;'Debt strategy'!$D$12,AND('Debt strategy'!$D$9='Debt strategy'!$D$12,0&lt;3))),1,0),IF(AND(I171+J171-K171&gt;0,OR('Debt strategy'!$D$10&gt;'Debt strategy'!$D$12,AND('Debt strategy'!$D$10='Debt strategy'!$D$12,1&lt;3))),1,0),IF(AND(O171+P171-Q171&gt;0,OR('Debt strategy'!$D$11&gt;'Debt strategy'!$D$12,AND('Debt strategy'!$D$11='Debt strategy'!$D$12,2&lt;3))),1,0),IF(AND(AA171+AB171-AC171&gt;0,OR('Debt strategy'!$D$13&gt;'Debt strategy'!$D$12,AND('Debt strategy'!$D$13='Debt strategy'!$D$12,4&lt;3))),1,0)))</x:f>
        <x:v>99</x:v>
      </x:c>
      <x:c r="Y171" s="6" t="n">
        <x:f>IF('Debt strategy'!$C$16&gt;0,0,MIN(U171+V171-W171,MAX(0,'Debt strategy'!$C$5-SUM(E171,K171,Q171,W171,AC171)-SUM(IF(F171&lt;X171,C171+D171-E171,0),IF(L171&lt;X171,I171+J171-K171,0),IF(R171&lt;X171,O171+P171-Q171,0),IF(AD171&lt;X171,AA171+AB171-AC171,0)))))</x:f>
        <x:v>0</x:v>
      </x:c>
      <x:c r="Z171" s="6" t="n">
        <x:f>ROUND(MAX(0,U171+V171-W171-Y171),2)</x:f>
        <x:v>0</x:v>
      </x:c>
      <x:c r="AA171" s="6" t="n">
        <x:f>AF170</x:f>
        <x:v>0</x:v>
      </x:c>
      <x:c r="AB171" s="6" t="n">
        <x:f>ROUND(AA171*'Debt strategy'!$D$13/12,2)</x:f>
        <x:v>0</x:v>
      </x:c>
      <x:c r="AC171" s="6" t="n">
        <x:f>MIN(AA171+AB171,'Debt strategy'!$E$13)</x:f>
        <x:v>0</x:v>
      </x:c>
      <x:c r="AD171" s="27" t="n">
        <x:f>IF(AA171+AB171-AC171&lt;=0,99,1+SUM(IF(AND(C171+D171-E171&gt;0,OR('Debt strategy'!$D$9&gt;'Debt strategy'!$D$13,AND('Debt strategy'!$D$9='Debt strategy'!$D$13,0&lt;4))),1,0),IF(AND(I171+J171-K171&gt;0,OR('Debt strategy'!$D$10&gt;'Debt strategy'!$D$13,AND('Debt strategy'!$D$10='Debt strategy'!$D$13,1&lt;4))),1,0),IF(AND(O171+P171-Q171&gt;0,OR('Debt strategy'!$D$11&gt;'Debt strategy'!$D$13,AND('Debt strategy'!$D$11='Debt strategy'!$D$13,2&lt;4))),1,0),IF(AND(U171+V171-W171&gt;0,OR('Debt strategy'!$D$12&gt;'Debt strategy'!$D$13,AND('Debt strategy'!$D$12='Debt strategy'!$D$13,3&lt;4))),1,0)))</x:f>
        <x:v>99</x:v>
      </x:c>
      <x:c r="AE171" s="6" t="n">
        <x:f>IF('Debt strategy'!$C$16&gt;0,0,MIN(AA171+AB171-AC171,MAX(0,'Debt strategy'!$C$5-SUM(E171,K171,Q171,W171,AC171)-SUM(IF(F171&lt;AD171,C171+D171-E171,0),IF(L171&lt;AD171,I171+J171-K171,0),IF(R171&lt;AD171,O171+P171-Q171,0),IF(X171&lt;AD171,U171+V171-W171,0)))))</x:f>
        <x:v>0</x:v>
      </x:c>
      <x:c r="AF171" s="6" t="n">
        <x:f>ROUND(MAX(0,AA171+AB171-AC171-AE171),2)</x:f>
        <x:v>0</x:v>
      </x:c>
      <x:c r="AG171" s="6" t="n">
        <x:f>SUM(H171,N171,T171,Z171,AF171)</x:f>
        <x:v>0</x:v>
      </x:c>
      <x:c r="AH171" s="6" t="n">
        <x:f>SUM(D171,J171,P171,V171,AB171)+AH170</x:f>
        <x:v>1220.8400000000001</x:v>
      </x:c>
      <x:c r="AI171" s="2"/>
    </x:row>
    <x:row r="172" ht="23" customHeight="1">
      <x:c r="B172" s="2" t="n">
        <x:f>164</x:f>
        <x:v>164</x:v>
      </x:c>
      <x:c r="C172" s="6" t="n">
        <x:f>H171</x:f>
        <x:v>0</x:v>
      </x:c>
      <x:c r="D172" s="6" t="n">
        <x:f>ROUND(C172*'Debt strategy'!$D$9/12,2)</x:f>
        <x:v>0</x:v>
      </x:c>
      <x:c r="E172" s="6" t="n">
        <x:f>MIN(C172+D172,'Debt strategy'!$E$9)</x:f>
        <x:v>0</x:v>
      </x:c>
      <x:c r="F172" s="27" t="n">
        <x:f>IF(C172+D172-E172&lt;=0,99,1+SUM(IF(AND(I172+J172-K172&gt;0,OR('Debt strategy'!$D$10&gt;'Debt strategy'!$D$9,AND('Debt strategy'!$D$10='Debt strategy'!$D$9,1&lt;0))),1,0),IF(AND(O172+P172-Q172&gt;0,OR('Debt strategy'!$D$11&gt;'Debt strategy'!$D$9,AND('Debt strategy'!$D$11='Debt strategy'!$D$9,2&lt;0))),1,0),IF(AND(U172+V172-W172&gt;0,OR('Debt strategy'!$D$12&gt;'Debt strategy'!$D$9,AND('Debt strategy'!$D$12='Debt strategy'!$D$9,3&lt;0))),1,0),IF(AND(AA172+AB172-AC172&gt;0,OR('Debt strategy'!$D$13&gt;'Debt strategy'!$D$9,AND('Debt strategy'!$D$13='Debt strategy'!$D$9,4&lt;0))),1,0)))</x:f>
        <x:v>99</x:v>
      </x:c>
      <x:c r="G172" s="6" t="n">
        <x:f>IF('Debt strategy'!$C$16&gt;0,0,MIN(C172+D172-E172,MAX(0,'Debt strategy'!$C$5-SUM(E172,K172,Q172,W172,AC172)-SUM(IF(L172&lt;F172,I172+J172-K172,0),IF(R172&lt;F172,O172+P172-Q172,0),IF(X172&lt;F172,U172+V172-W172,0),IF(AD172&lt;F172,AA172+AB172-AC172,0)))))</x:f>
        <x:v>0</x:v>
      </x:c>
      <x:c r="H172" s="6" t="n">
        <x:f>ROUND(MAX(0,C172+D172-E172-G172),2)</x:f>
        <x:v>0</x:v>
      </x:c>
      <x:c r="I172" s="6" t="n">
        <x:f>N171</x:f>
        <x:v>0</x:v>
      </x:c>
      <x:c r="J172" s="6" t="n">
        <x:f>ROUND(I172*'Debt strategy'!$D$10/12,2)</x:f>
        <x:v>0</x:v>
      </x:c>
      <x:c r="K172" s="6" t="n">
        <x:f>MIN(I172+J172,'Debt strategy'!$E$10)</x:f>
        <x:v>0</x:v>
      </x:c>
      <x:c r="L172" s="27" t="n">
        <x:f>IF(I172+J172-K172&lt;=0,99,1+SUM(IF(AND(C172+D172-E172&gt;0,OR('Debt strategy'!$D$9&gt;'Debt strategy'!$D$10,AND('Debt strategy'!$D$9='Debt strategy'!$D$10,0&lt;1))),1,0),IF(AND(O172+P172-Q172&gt;0,OR('Debt strategy'!$D$11&gt;'Debt strategy'!$D$10,AND('Debt strategy'!$D$11='Debt strategy'!$D$10,2&lt;1))),1,0),IF(AND(U172+V172-W172&gt;0,OR('Debt strategy'!$D$12&gt;'Debt strategy'!$D$10,AND('Debt strategy'!$D$12='Debt strategy'!$D$10,3&lt;1))),1,0),IF(AND(AA172+AB172-AC172&gt;0,OR('Debt strategy'!$D$13&gt;'Debt strategy'!$D$10,AND('Debt strategy'!$D$13='Debt strategy'!$D$10,4&lt;1))),1,0)))</x:f>
        <x:v>99</x:v>
      </x:c>
      <x:c r="M172" s="6" t="n">
        <x:f>IF('Debt strategy'!$C$16&gt;0,0,MIN(I172+J172-K172,MAX(0,'Debt strategy'!$C$5-SUM(E172,K172,Q172,W172,AC172)-SUM(IF(F172&lt;L172,C172+D172-E172,0),IF(R172&lt;L172,O172+P172-Q172,0),IF(X172&lt;L172,U172+V172-W172,0),IF(AD172&lt;L172,AA172+AB172-AC172,0)))))</x:f>
        <x:v>0</x:v>
      </x:c>
      <x:c r="N172" s="6" t="n">
        <x:f>ROUND(MAX(0,I172+J172-K172-M172),2)</x:f>
        <x:v>0</x:v>
      </x:c>
      <x:c r="O172" s="6" t="n">
        <x:f>T171</x:f>
        <x:v>0</x:v>
      </x:c>
      <x:c r="P172" s="6" t="n">
        <x:f>ROUND(O172*'Debt strategy'!$D$11/12,2)</x:f>
        <x:v>0</x:v>
      </x:c>
      <x:c r="Q172" s="6" t="n">
        <x:f>MIN(O172+P172,'Debt strategy'!$E$11)</x:f>
        <x:v>0</x:v>
      </x:c>
      <x:c r="R172" s="27" t="n">
        <x:f>IF(O172+P172-Q172&lt;=0,99,1+SUM(IF(AND(C172+D172-E172&gt;0,OR('Debt strategy'!$D$9&gt;'Debt strategy'!$D$11,AND('Debt strategy'!$D$9='Debt strategy'!$D$11,0&lt;2))),1,0),IF(AND(I172+J172-K172&gt;0,OR('Debt strategy'!$D$10&gt;'Debt strategy'!$D$11,AND('Debt strategy'!$D$10='Debt strategy'!$D$11,1&lt;2))),1,0),IF(AND(U172+V172-W172&gt;0,OR('Debt strategy'!$D$12&gt;'Debt strategy'!$D$11,AND('Debt strategy'!$D$12='Debt strategy'!$D$11,3&lt;2))),1,0),IF(AND(AA172+AB172-AC172&gt;0,OR('Debt strategy'!$D$13&gt;'Debt strategy'!$D$11,AND('Debt strategy'!$D$13='Debt strategy'!$D$11,4&lt;2))),1,0)))</x:f>
        <x:v>99</x:v>
      </x:c>
      <x:c r="S172" s="6" t="n">
        <x:f>IF('Debt strategy'!$C$16&gt;0,0,MIN(O172+P172-Q172,MAX(0,'Debt strategy'!$C$5-SUM(E172,K172,Q172,W172,AC172)-SUM(IF(F172&lt;R172,C172+D172-E172,0),IF(L172&lt;R172,I172+J172-K172,0),IF(X172&lt;R172,U172+V172-W172,0),IF(AD172&lt;R172,AA172+AB172-AC172,0)))))</x:f>
        <x:v>0</x:v>
      </x:c>
      <x:c r="T172" s="6" t="n">
        <x:f>ROUND(MAX(0,O172+P172-Q172-S172),2)</x:f>
        <x:v>0</x:v>
      </x:c>
      <x:c r="U172" s="6" t="n">
        <x:f>Z171</x:f>
        <x:v>0</x:v>
      </x:c>
      <x:c r="V172" s="6" t="n">
        <x:f>ROUND(U172*'Debt strategy'!$D$12/12,2)</x:f>
        <x:v>0</x:v>
      </x:c>
      <x:c r="W172" s="6" t="n">
        <x:f>MIN(U172+V172,'Debt strategy'!$E$12)</x:f>
        <x:v>0</x:v>
      </x:c>
      <x:c r="X172" s="27" t="n">
        <x:f>IF(U172+V172-W172&lt;=0,99,1+SUM(IF(AND(C172+D172-E172&gt;0,OR('Debt strategy'!$D$9&gt;'Debt strategy'!$D$12,AND('Debt strategy'!$D$9='Debt strategy'!$D$12,0&lt;3))),1,0),IF(AND(I172+J172-K172&gt;0,OR('Debt strategy'!$D$10&gt;'Debt strategy'!$D$12,AND('Debt strategy'!$D$10='Debt strategy'!$D$12,1&lt;3))),1,0),IF(AND(O172+P172-Q172&gt;0,OR('Debt strategy'!$D$11&gt;'Debt strategy'!$D$12,AND('Debt strategy'!$D$11='Debt strategy'!$D$12,2&lt;3))),1,0),IF(AND(AA172+AB172-AC172&gt;0,OR('Debt strategy'!$D$13&gt;'Debt strategy'!$D$12,AND('Debt strategy'!$D$13='Debt strategy'!$D$12,4&lt;3))),1,0)))</x:f>
        <x:v>99</x:v>
      </x:c>
      <x:c r="Y172" s="6" t="n">
        <x:f>IF('Debt strategy'!$C$16&gt;0,0,MIN(U172+V172-W172,MAX(0,'Debt strategy'!$C$5-SUM(E172,K172,Q172,W172,AC172)-SUM(IF(F172&lt;X172,C172+D172-E172,0),IF(L172&lt;X172,I172+J172-K172,0),IF(R172&lt;X172,O172+P172-Q172,0),IF(AD172&lt;X172,AA172+AB172-AC172,0)))))</x:f>
        <x:v>0</x:v>
      </x:c>
      <x:c r="Z172" s="6" t="n">
        <x:f>ROUND(MAX(0,U172+V172-W172-Y172),2)</x:f>
        <x:v>0</x:v>
      </x:c>
      <x:c r="AA172" s="6" t="n">
        <x:f>AF171</x:f>
        <x:v>0</x:v>
      </x:c>
      <x:c r="AB172" s="6" t="n">
        <x:f>ROUND(AA172*'Debt strategy'!$D$13/12,2)</x:f>
        <x:v>0</x:v>
      </x:c>
      <x:c r="AC172" s="6" t="n">
        <x:f>MIN(AA172+AB172,'Debt strategy'!$E$13)</x:f>
        <x:v>0</x:v>
      </x:c>
      <x:c r="AD172" s="27" t="n">
        <x:f>IF(AA172+AB172-AC172&lt;=0,99,1+SUM(IF(AND(C172+D172-E172&gt;0,OR('Debt strategy'!$D$9&gt;'Debt strategy'!$D$13,AND('Debt strategy'!$D$9='Debt strategy'!$D$13,0&lt;4))),1,0),IF(AND(I172+J172-K172&gt;0,OR('Debt strategy'!$D$10&gt;'Debt strategy'!$D$13,AND('Debt strategy'!$D$10='Debt strategy'!$D$13,1&lt;4))),1,0),IF(AND(O172+P172-Q172&gt;0,OR('Debt strategy'!$D$11&gt;'Debt strategy'!$D$13,AND('Debt strategy'!$D$11='Debt strategy'!$D$13,2&lt;4))),1,0),IF(AND(U172+V172-W172&gt;0,OR('Debt strategy'!$D$12&gt;'Debt strategy'!$D$13,AND('Debt strategy'!$D$12='Debt strategy'!$D$13,3&lt;4))),1,0)))</x:f>
        <x:v>99</x:v>
      </x:c>
      <x:c r="AE172" s="6" t="n">
        <x:f>IF('Debt strategy'!$C$16&gt;0,0,MIN(AA172+AB172-AC172,MAX(0,'Debt strategy'!$C$5-SUM(E172,K172,Q172,W172,AC172)-SUM(IF(F172&lt;AD172,C172+D172-E172,0),IF(L172&lt;AD172,I172+J172-K172,0),IF(R172&lt;AD172,O172+P172-Q172,0),IF(X172&lt;AD172,U172+V172-W172,0)))))</x:f>
        <x:v>0</x:v>
      </x:c>
      <x:c r="AF172" s="6" t="n">
        <x:f>ROUND(MAX(0,AA172+AB172-AC172-AE172),2)</x:f>
        <x:v>0</x:v>
      </x:c>
      <x:c r="AG172" s="6" t="n">
        <x:f>SUM(H172,N172,T172,Z172,AF172)</x:f>
        <x:v>0</x:v>
      </x:c>
      <x:c r="AH172" s="6" t="n">
        <x:f>SUM(D172,J172,P172,V172,AB172)+AH171</x:f>
        <x:v>1220.8400000000001</x:v>
      </x:c>
      <x:c r="AI172" s="2"/>
    </x:row>
    <x:row r="173" ht="23" customHeight="1">
      <x:c r="B173" s="2" t="n">
        <x:f>165</x:f>
        <x:v>165</x:v>
      </x:c>
      <x:c r="C173" s="6" t="n">
        <x:f>H172</x:f>
        <x:v>0</x:v>
      </x:c>
      <x:c r="D173" s="6" t="n">
        <x:f>ROUND(C173*'Debt strategy'!$D$9/12,2)</x:f>
        <x:v>0</x:v>
      </x:c>
      <x:c r="E173" s="6" t="n">
        <x:f>MIN(C173+D173,'Debt strategy'!$E$9)</x:f>
        <x:v>0</x:v>
      </x:c>
      <x:c r="F173" s="27" t="n">
        <x:f>IF(C173+D173-E173&lt;=0,99,1+SUM(IF(AND(I173+J173-K173&gt;0,OR('Debt strategy'!$D$10&gt;'Debt strategy'!$D$9,AND('Debt strategy'!$D$10='Debt strategy'!$D$9,1&lt;0))),1,0),IF(AND(O173+P173-Q173&gt;0,OR('Debt strategy'!$D$11&gt;'Debt strategy'!$D$9,AND('Debt strategy'!$D$11='Debt strategy'!$D$9,2&lt;0))),1,0),IF(AND(U173+V173-W173&gt;0,OR('Debt strategy'!$D$12&gt;'Debt strategy'!$D$9,AND('Debt strategy'!$D$12='Debt strategy'!$D$9,3&lt;0))),1,0),IF(AND(AA173+AB173-AC173&gt;0,OR('Debt strategy'!$D$13&gt;'Debt strategy'!$D$9,AND('Debt strategy'!$D$13='Debt strategy'!$D$9,4&lt;0))),1,0)))</x:f>
        <x:v>99</x:v>
      </x:c>
      <x:c r="G173" s="6" t="n">
        <x:f>IF('Debt strategy'!$C$16&gt;0,0,MIN(C173+D173-E173,MAX(0,'Debt strategy'!$C$5-SUM(E173,K173,Q173,W173,AC173)-SUM(IF(L173&lt;F173,I173+J173-K173,0),IF(R173&lt;F173,O173+P173-Q173,0),IF(X173&lt;F173,U173+V173-W173,0),IF(AD173&lt;F173,AA173+AB173-AC173,0)))))</x:f>
        <x:v>0</x:v>
      </x:c>
      <x:c r="H173" s="6" t="n">
        <x:f>ROUND(MAX(0,C173+D173-E173-G173),2)</x:f>
        <x:v>0</x:v>
      </x:c>
      <x:c r="I173" s="6" t="n">
        <x:f>N172</x:f>
        <x:v>0</x:v>
      </x:c>
      <x:c r="J173" s="6" t="n">
        <x:f>ROUND(I173*'Debt strategy'!$D$10/12,2)</x:f>
        <x:v>0</x:v>
      </x:c>
      <x:c r="K173" s="6" t="n">
        <x:f>MIN(I173+J173,'Debt strategy'!$E$10)</x:f>
        <x:v>0</x:v>
      </x:c>
      <x:c r="L173" s="27" t="n">
        <x:f>IF(I173+J173-K173&lt;=0,99,1+SUM(IF(AND(C173+D173-E173&gt;0,OR('Debt strategy'!$D$9&gt;'Debt strategy'!$D$10,AND('Debt strategy'!$D$9='Debt strategy'!$D$10,0&lt;1))),1,0),IF(AND(O173+P173-Q173&gt;0,OR('Debt strategy'!$D$11&gt;'Debt strategy'!$D$10,AND('Debt strategy'!$D$11='Debt strategy'!$D$10,2&lt;1))),1,0),IF(AND(U173+V173-W173&gt;0,OR('Debt strategy'!$D$12&gt;'Debt strategy'!$D$10,AND('Debt strategy'!$D$12='Debt strategy'!$D$10,3&lt;1))),1,0),IF(AND(AA173+AB173-AC173&gt;0,OR('Debt strategy'!$D$13&gt;'Debt strategy'!$D$10,AND('Debt strategy'!$D$13='Debt strategy'!$D$10,4&lt;1))),1,0)))</x:f>
        <x:v>99</x:v>
      </x:c>
      <x:c r="M173" s="6" t="n">
        <x:f>IF('Debt strategy'!$C$16&gt;0,0,MIN(I173+J173-K173,MAX(0,'Debt strategy'!$C$5-SUM(E173,K173,Q173,W173,AC173)-SUM(IF(F173&lt;L173,C173+D173-E173,0),IF(R173&lt;L173,O173+P173-Q173,0),IF(X173&lt;L173,U173+V173-W173,0),IF(AD173&lt;L173,AA173+AB173-AC173,0)))))</x:f>
        <x:v>0</x:v>
      </x:c>
      <x:c r="N173" s="6" t="n">
        <x:f>ROUND(MAX(0,I173+J173-K173-M173),2)</x:f>
        <x:v>0</x:v>
      </x:c>
      <x:c r="O173" s="6" t="n">
        <x:f>T172</x:f>
        <x:v>0</x:v>
      </x:c>
      <x:c r="P173" s="6" t="n">
        <x:f>ROUND(O173*'Debt strategy'!$D$11/12,2)</x:f>
        <x:v>0</x:v>
      </x:c>
      <x:c r="Q173" s="6" t="n">
        <x:f>MIN(O173+P173,'Debt strategy'!$E$11)</x:f>
        <x:v>0</x:v>
      </x:c>
      <x:c r="R173" s="27" t="n">
        <x:f>IF(O173+P173-Q173&lt;=0,99,1+SUM(IF(AND(C173+D173-E173&gt;0,OR('Debt strategy'!$D$9&gt;'Debt strategy'!$D$11,AND('Debt strategy'!$D$9='Debt strategy'!$D$11,0&lt;2))),1,0),IF(AND(I173+J173-K173&gt;0,OR('Debt strategy'!$D$10&gt;'Debt strategy'!$D$11,AND('Debt strategy'!$D$10='Debt strategy'!$D$11,1&lt;2))),1,0),IF(AND(U173+V173-W173&gt;0,OR('Debt strategy'!$D$12&gt;'Debt strategy'!$D$11,AND('Debt strategy'!$D$12='Debt strategy'!$D$11,3&lt;2))),1,0),IF(AND(AA173+AB173-AC173&gt;0,OR('Debt strategy'!$D$13&gt;'Debt strategy'!$D$11,AND('Debt strategy'!$D$13='Debt strategy'!$D$11,4&lt;2))),1,0)))</x:f>
        <x:v>99</x:v>
      </x:c>
      <x:c r="S173" s="6" t="n">
        <x:f>IF('Debt strategy'!$C$16&gt;0,0,MIN(O173+P173-Q173,MAX(0,'Debt strategy'!$C$5-SUM(E173,K173,Q173,W173,AC173)-SUM(IF(F173&lt;R173,C173+D173-E173,0),IF(L173&lt;R173,I173+J173-K173,0),IF(X173&lt;R173,U173+V173-W173,0),IF(AD173&lt;R173,AA173+AB173-AC173,0)))))</x:f>
        <x:v>0</x:v>
      </x:c>
      <x:c r="T173" s="6" t="n">
        <x:f>ROUND(MAX(0,O173+P173-Q173-S173),2)</x:f>
        <x:v>0</x:v>
      </x:c>
      <x:c r="U173" s="6" t="n">
        <x:f>Z172</x:f>
        <x:v>0</x:v>
      </x:c>
      <x:c r="V173" s="6" t="n">
        <x:f>ROUND(U173*'Debt strategy'!$D$12/12,2)</x:f>
        <x:v>0</x:v>
      </x:c>
      <x:c r="W173" s="6" t="n">
        <x:f>MIN(U173+V173,'Debt strategy'!$E$12)</x:f>
        <x:v>0</x:v>
      </x:c>
      <x:c r="X173" s="27" t="n">
        <x:f>IF(U173+V173-W173&lt;=0,99,1+SUM(IF(AND(C173+D173-E173&gt;0,OR('Debt strategy'!$D$9&gt;'Debt strategy'!$D$12,AND('Debt strategy'!$D$9='Debt strategy'!$D$12,0&lt;3))),1,0),IF(AND(I173+J173-K173&gt;0,OR('Debt strategy'!$D$10&gt;'Debt strategy'!$D$12,AND('Debt strategy'!$D$10='Debt strategy'!$D$12,1&lt;3))),1,0),IF(AND(O173+P173-Q173&gt;0,OR('Debt strategy'!$D$11&gt;'Debt strategy'!$D$12,AND('Debt strategy'!$D$11='Debt strategy'!$D$12,2&lt;3))),1,0),IF(AND(AA173+AB173-AC173&gt;0,OR('Debt strategy'!$D$13&gt;'Debt strategy'!$D$12,AND('Debt strategy'!$D$13='Debt strategy'!$D$12,4&lt;3))),1,0)))</x:f>
        <x:v>99</x:v>
      </x:c>
      <x:c r="Y173" s="6" t="n">
        <x:f>IF('Debt strategy'!$C$16&gt;0,0,MIN(U173+V173-W173,MAX(0,'Debt strategy'!$C$5-SUM(E173,K173,Q173,W173,AC173)-SUM(IF(F173&lt;X173,C173+D173-E173,0),IF(L173&lt;X173,I173+J173-K173,0),IF(R173&lt;X173,O173+P173-Q173,0),IF(AD173&lt;X173,AA173+AB173-AC173,0)))))</x:f>
        <x:v>0</x:v>
      </x:c>
      <x:c r="Z173" s="6" t="n">
        <x:f>ROUND(MAX(0,U173+V173-W173-Y173),2)</x:f>
        <x:v>0</x:v>
      </x:c>
      <x:c r="AA173" s="6" t="n">
        <x:f>AF172</x:f>
        <x:v>0</x:v>
      </x:c>
      <x:c r="AB173" s="6" t="n">
        <x:f>ROUND(AA173*'Debt strategy'!$D$13/12,2)</x:f>
        <x:v>0</x:v>
      </x:c>
      <x:c r="AC173" s="6" t="n">
        <x:f>MIN(AA173+AB173,'Debt strategy'!$E$13)</x:f>
        <x:v>0</x:v>
      </x:c>
      <x:c r="AD173" s="27" t="n">
        <x:f>IF(AA173+AB173-AC173&lt;=0,99,1+SUM(IF(AND(C173+D173-E173&gt;0,OR('Debt strategy'!$D$9&gt;'Debt strategy'!$D$13,AND('Debt strategy'!$D$9='Debt strategy'!$D$13,0&lt;4))),1,0),IF(AND(I173+J173-K173&gt;0,OR('Debt strategy'!$D$10&gt;'Debt strategy'!$D$13,AND('Debt strategy'!$D$10='Debt strategy'!$D$13,1&lt;4))),1,0),IF(AND(O173+P173-Q173&gt;0,OR('Debt strategy'!$D$11&gt;'Debt strategy'!$D$13,AND('Debt strategy'!$D$11='Debt strategy'!$D$13,2&lt;4))),1,0),IF(AND(U173+V173-W173&gt;0,OR('Debt strategy'!$D$12&gt;'Debt strategy'!$D$13,AND('Debt strategy'!$D$12='Debt strategy'!$D$13,3&lt;4))),1,0)))</x:f>
        <x:v>99</x:v>
      </x:c>
      <x:c r="AE173" s="6" t="n">
        <x:f>IF('Debt strategy'!$C$16&gt;0,0,MIN(AA173+AB173-AC173,MAX(0,'Debt strategy'!$C$5-SUM(E173,K173,Q173,W173,AC173)-SUM(IF(F173&lt;AD173,C173+D173-E173,0),IF(L173&lt;AD173,I173+J173-K173,0),IF(R173&lt;AD173,O173+P173-Q173,0),IF(X173&lt;AD173,U173+V173-W173,0)))))</x:f>
        <x:v>0</x:v>
      </x:c>
      <x:c r="AF173" s="6" t="n">
        <x:f>ROUND(MAX(0,AA173+AB173-AC173-AE173),2)</x:f>
        <x:v>0</x:v>
      </x:c>
      <x:c r="AG173" s="6" t="n">
        <x:f>SUM(H173,N173,T173,Z173,AF173)</x:f>
        <x:v>0</x:v>
      </x:c>
      <x:c r="AH173" s="6" t="n">
        <x:f>SUM(D173,J173,P173,V173,AB173)+AH172</x:f>
        <x:v>1220.8400000000001</x:v>
      </x:c>
      <x:c r="AI173" s="2"/>
    </x:row>
    <x:row r="174" ht="23" customHeight="1">
      <x:c r="B174" s="2" t="n">
        <x:f>166</x:f>
        <x:v>166</x:v>
      </x:c>
      <x:c r="C174" s="6" t="n">
        <x:f>H173</x:f>
        <x:v>0</x:v>
      </x:c>
      <x:c r="D174" s="6" t="n">
        <x:f>ROUND(C174*'Debt strategy'!$D$9/12,2)</x:f>
        <x:v>0</x:v>
      </x:c>
      <x:c r="E174" s="6" t="n">
        <x:f>MIN(C174+D174,'Debt strategy'!$E$9)</x:f>
        <x:v>0</x:v>
      </x:c>
      <x:c r="F174" s="27" t="n">
        <x:f>IF(C174+D174-E174&lt;=0,99,1+SUM(IF(AND(I174+J174-K174&gt;0,OR('Debt strategy'!$D$10&gt;'Debt strategy'!$D$9,AND('Debt strategy'!$D$10='Debt strategy'!$D$9,1&lt;0))),1,0),IF(AND(O174+P174-Q174&gt;0,OR('Debt strategy'!$D$11&gt;'Debt strategy'!$D$9,AND('Debt strategy'!$D$11='Debt strategy'!$D$9,2&lt;0))),1,0),IF(AND(U174+V174-W174&gt;0,OR('Debt strategy'!$D$12&gt;'Debt strategy'!$D$9,AND('Debt strategy'!$D$12='Debt strategy'!$D$9,3&lt;0))),1,0),IF(AND(AA174+AB174-AC174&gt;0,OR('Debt strategy'!$D$13&gt;'Debt strategy'!$D$9,AND('Debt strategy'!$D$13='Debt strategy'!$D$9,4&lt;0))),1,0)))</x:f>
        <x:v>99</x:v>
      </x:c>
      <x:c r="G174" s="6" t="n">
        <x:f>IF('Debt strategy'!$C$16&gt;0,0,MIN(C174+D174-E174,MAX(0,'Debt strategy'!$C$5-SUM(E174,K174,Q174,W174,AC174)-SUM(IF(L174&lt;F174,I174+J174-K174,0),IF(R174&lt;F174,O174+P174-Q174,0),IF(X174&lt;F174,U174+V174-W174,0),IF(AD174&lt;F174,AA174+AB174-AC174,0)))))</x:f>
        <x:v>0</x:v>
      </x:c>
      <x:c r="H174" s="6" t="n">
        <x:f>ROUND(MAX(0,C174+D174-E174-G174),2)</x:f>
        <x:v>0</x:v>
      </x:c>
      <x:c r="I174" s="6" t="n">
        <x:f>N173</x:f>
        <x:v>0</x:v>
      </x:c>
      <x:c r="J174" s="6" t="n">
        <x:f>ROUND(I174*'Debt strategy'!$D$10/12,2)</x:f>
        <x:v>0</x:v>
      </x:c>
      <x:c r="K174" s="6" t="n">
        <x:f>MIN(I174+J174,'Debt strategy'!$E$10)</x:f>
        <x:v>0</x:v>
      </x:c>
      <x:c r="L174" s="27" t="n">
        <x:f>IF(I174+J174-K174&lt;=0,99,1+SUM(IF(AND(C174+D174-E174&gt;0,OR('Debt strategy'!$D$9&gt;'Debt strategy'!$D$10,AND('Debt strategy'!$D$9='Debt strategy'!$D$10,0&lt;1))),1,0),IF(AND(O174+P174-Q174&gt;0,OR('Debt strategy'!$D$11&gt;'Debt strategy'!$D$10,AND('Debt strategy'!$D$11='Debt strategy'!$D$10,2&lt;1))),1,0),IF(AND(U174+V174-W174&gt;0,OR('Debt strategy'!$D$12&gt;'Debt strategy'!$D$10,AND('Debt strategy'!$D$12='Debt strategy'!$D$10,3&lt;1))),1,0),IF(AND(AA174+AB174-AC174&gt;0,OR('Debt strategy'!$D$13&gt;'Debt strategy'!$D$10,AND('Debt strategy'!$D$13='Debt strategy'!$D$10,4&lt;1))),1,0)))</x:f>
        <x:v>99</x:v>
      </x:c>
      <x:c r="M174" s="6" t="n">
        <x:f>IF('Debt strategy'!$C$16&gt;0,0,MIN(I174+J174-K174,MAX(0,'Debt strategy'!$C$5-SUM(E174,K174,Q174,W174,AC174)-SUM(IF(F174&lt;L174,C174+D174-E174,0),IF(R174&lt;L174,O174+P174-Q174,0),IF(X174&lt;L174,U174+V174-W174,0),IF(AD174&lt;L174,AA174+AB174-AC174,0)))))</x:f>
        <x:v>0</x:v>
      </x:c>
      <x:c r="N174" s="6" t="n">
        <x:f>ROUND(MAX(0,I174+J174-K174-M174),2)</x:f>
        <x:v>0</x:v>
      </x:c>
      <x:c r="O174" s="6" t="n">
        <x:f>T173</x:f>
        <x:v>0</x:v>
      </x:c>
      <x:c r="P174" s="6" t="n">
        <x:f>ROUND(O174*'Debt strategy'!$D$11/12,2)</x:f>
        <x:v>0</x:v>
      </x:c>
      <x:c r="Q174" s="6" t="n">
        <x:f>MIN(O174+P174,'Debt strategy'!$E$11)</x:f>
        <x:v>0</x:v>
      </x:c>
      <x:c r="R174" s="27" t="n">
        <x:f>IF(O174+P174-Q174&lt;=0,99,1+SUM(IF(AND(C174+D174-E174&gt;0,OR('Debt strategy'!$D$9&gt;'Debt strategy'!$D$11,AND('Debt strategy'!$D$9='Debt strategy'!$D$11,0&lt;2))),1,0),IF(AND(I174+J174-K174&gt;0,OR('Debt strategy'!$D$10&gt;'Debt strategy'!$D$11,AND('Debt strategy'!$D$10='Debt strategy'!$D$11,1&lt;2))),1,0),IF(AND(U174+V174-W174&gt;0,OR('Debt strategy'!$D$12&gt;'Debt strategy'!$D$11,AND('Debt strategy'!$D$12='Debt strategy'!$D$11,3&lt;2))),1,0),IF(AND(AA174+AB174-AC174&gt;0,OR('Debt strategy'!$D$13&gt;'Debt strategy'!$D$11,AND('Debt strategy'!$D$13='Debt strategy'!$D$11,4&lt;2))),1,0)))</x:f>
        <x:v>99</x:v>
      </x:c>
      <x:c r="S174" s="6" t="n">
        <x:f>IF('Debt strategy'!$C$16&gt;0,0,MIN(O174+P174-Q174,MAX(0,'Debt strategy'!$C$5-SUM(E174,K174,Q174,W174,AC174)-SUM(IF(F174&lt;R174,C174+D174-E174,0),IF(L174&lt;R174,I174+J174-K174,0),IF(X174&lt;R174,U174+V174-W174,0),IF(AD174&lt;R174,AA174+AB174-AC174,0)))))</x:f>
        <x:v>0</x:v>
      </x:c>
      <x:c r="T174" s="6" t="n">
        <x:f>ROUND(MAX(0,O174+P174-Q174-S174),2)</x:f>
        <x:v>0</x:v>
      </x:c>
      <x:c r="U174" s="6" t="n">
        <x:f>Z173</x:f>
        <x:v>0</x:v>
      </x:c>
      <x:c r="V174" s="6" t="n">
        <x:f>ROUND(U174*'Debt strategy'!$D$12/12,2)</x:f>
        <x:v>0</x:v>
      </x:c>
      <x:c r="W174" s="6" t="n">
        <x:f>MIN(U174+V174,'Debt strategy'!$E$12)</x:f>
        <x:v>0</x:v>
      </x:c>
      <x:c r="X174" s="27" t="n">
        <x:f>IF(U174+V174-W174&lt;=0,99,1+SUM(IF(AND(C174+D174-E174&gt;0,OR('Debt strategy'!$D$9&gt;'Debt strategy'!$D$12,AND('Debt strategy'!$D$9='Debt strategy'!$D$12,0&lt;3))),1,0),IF(AND(I174+J174-K174&gt;0,OR('Debt strategy'!$D$10&gt;'Debt strategy'!$D$12,AND('Debt strategy'!$D$10='Debt strategy'!$D$12,1&lt;3))),1,0),IF(AND(O174+P174-Q174&gt;0,OR('Debt strategy'!$D$11&gt;'Debt strategy'!$D$12,AND('Debt strategy'!$D$11='Debt strategy'!$D$12,2&lt;3))),1,0),IF(AND(AA174+AB174-AC174&gt;0,OR('Debt strategy'!$D$13&gt;'Debt strategy'!$D$12,AND('Debt strategy'!$D$13='Debt strategy'!$D$12,4&lt;3))),1,0)))</x:f>
        <x:v>99</x:v>
      </x:c>
      <x:c r="Y174" s="6" t="n">
        <x:f>IF('Debt strategy'!$C$16&gt;0,0,MIN(U174+V174-W174,MAX(0,'Debt strategy'!$C$5-SUM(E174,K174,Q174,W174,AC174)-SUM(IF(F174&lt;X174,C174+D174-E174,0),IF(L174&lt;X174,I174+J174-K174,0),IF(R174&lt;X174,O174+P174-Q174,0),IF(AD174&lt;X174,AA174+AB174-AC174,0)))))</x:f>
        <x:v>0</x:v>
      </x:c>
      <x:c r="Z174" s="6" t="n">
        <x:f>ROUND(MAX(0,U174+V174-W174-Y174),2)</x:f>
        <x:v>0</x:v>
      </x:c>
      <x:c r="AA174" s="6" t="n">
        <x:f>AF173</x:f>
        <x:v>0</x:v>
      </x:c>
      <x:c r="AB174" s="6" t="n">
        <x:f>ROUND(AA174*'Debt strategy'!$D$13/12,2)</x:f>
        <x:v>0</x:v>
      </x:c>
      <x:c r="AC174" s="6" t="n">
        <x:f>MIN(AA174+AB174,'Debt strategy'!$E$13)</x:f>
        <x:v>0</x:v>
      </x:c>
      <x:c r="AD174" s="27" t="n">
        <x:f>IF(AA174+AB174-AC174&lt;=0,99,1+SUM(IF(AND(C174+D174-E174&gt;0,OR('Debt strategy'!$D$9&gt;'Debt strategy'!$D$13,AND('Debt strategy'!$D$9='Debt strategy'!$D$13,0&lt;4))),1,0),IF(AND(I174+J174-K174&gt;0,OR('Debt strategy'!$D$10&gt;'Debt strategy'!$D$13,AND('Debt strategy'!$D$10='Debt strategy'!$D$13,1&lt;4))),1,0),IF(AND(O174+P174-Q174&gt;0,OR('Debt strategy'!$D$11&gt;'Debt strategy'!$D$13,AND('Debt strategy'!$D$11='Debt strategy'!$D$13,2&lt;4))),1,0),IF(AND(U174+V174-W174&gt;0,OR('Debt strategy'!$D$12&gt;'Debt strategy'!$D$13,AND('Debt strategy'!$D$12='Debt strategy'!$D$13,3&lt;4))),1,0)))</x:f>
        <x:v>99</x:v>
      </x:c>
      <x:c r="AE174" s="6" t="n">
        <x:f>IF('Debt strategy'!$C$16&gt;0,0,MIN(AA174+AB174-AC174,MAX(0,'Debt strategy'!$C$5-SUM(E174,K174,Q174,W174,AC174)-SUM(IF(F174&lt;AD174,C174+D174-E174,0),IF(L174&lt;AD174,I174+J174-K174,0),IF(R174&lt;AD174,O174+P174-Q174,0),IF(X174&lt;AD174,U174+V174-W174,0)))))</x:f>
        <x:v>0</x:v>
      </x:c>
      <x:c r="AF174" s="6" t="n">
        <x:f>ROUND(MAX(0,AA174+AB174-AC174-AE174),2)</x:f>
        <x:v>0</x:v>
      </x:c>
      <x:c r="AG174" s="6" t="n">
        <x:f>SUM(H174,N174,T174,Z174,AF174)</x:f>
        <x:v>0</x:v>
      </x:c>
      <x:c r="AH174" s="6" t="n">
        <x:f>SUM(D174,J174,P174,V174,AB174)+AH173</x:f>
        <x:v>1220.8400000000001</x:v>
      </x:c>
      <x:c r="AI174" s="2"/>
    </x:row>
    <x:row r="175" ht="23" customHeight="1">
      <x:c r="B175" s="2" t="n">
        <x:f>167</x:f>
        <x:v>167</x:v>
      </x:c>
      <x:c r="C175" s="6" t="n">
        <x:f>H174</x:f>
        <x:v>0</x:v>
      </x:c>
      <x:c r="D175" s="6" t="n">
        <x:f>ROUND(C175*'Debt strategy'!$D$9/12,2)</x:f>
        <x:v>0</x:v>
      </x:c>
      <x:c r="E175" s="6" t="n">
        <x:f>MIN(C175+D175,'Debt strategy'!$E$9)</x:f>
        <x:v>0</x:v>
      </x:c>
      <x:c r="F175" s="27" t="n">
        <x:f>IF(C175+D175-E175&lt;=0,99,1+SUM(IF(AND(I175+J175-K175&gt;0,OR('Debt strategy'!$D$10&gt;'Debt strategy'!$D$9,AND('Debt strategy'!$D$10='Debt strategy'!$D$9,1&lt;0))),1,0),IF(AND(O175+P175-Q175&gt;0,OR('Debt strategy'!$D$11&gt;'Debt strategy'!$D$9,AND('Debt strategy'!$D$11='Debt strategy'!$D$9,2&lt;0))),1,0),IF(AND(U175+V175-W175&gt;0,OR('Debt strategy'!$D$12&gt;'Debt strategy'!$D$9,AND('Debt strategy'!$D$12='Debt strategy'!$D$9,3&lt;0))),1,0),IF(AND(AA175+AB175-AC175&gt;0,OR('Debt strategy'!$D$13&gt;'Debt strategy'!$D$9,AND('Debt strategy'!$D$13='Debt strategy'!$D$9,4&lt;0))),1,0)))</x:f>
        <x:v>99</x:v>
      </x:c>
      <x:c r="G175" s="6" t="n">
        <x:f>IF('Debt strategy'!$C$16&gt;0,0,MIN(C175+D175-E175,MAX(0,'Debt strategy'!$C$5-SUM(E175,K175,Q175,W175,AC175)-SUM(IF(L175&lt;F175,I175+J175-K175,0),IF(R175&lt;F175,O175+P175-Q175,0),IF(X175&lt;F175,U175+V175-W175,0),IF(AD175&lt;F175,AA175+AB175-AC175,0)))))</x:f>
        <x:v>0</x:v>
      </x:c>
      <x:c r="H175" s="6" t="n">
        <x:f>ROUND(MAX(0,C175+D175-E175-G175),2)</x:f>
        <x:v>0</x:v>
      </x:c>
      <x:c r="I175" s="6" t="n">
        <x:f>N174</x:f>
        <x:v>0</x:v>
      </x:c>
      <x:c r="J175" s="6" t="n">
        <x:f>ROUND(I175*'Debt strategy'!$D$10/12,2)</x:f>
        <x:v>0</x:v>
      </x:c>
      <x:c r="K175" s="6" t="n">
        <x:f>MIN(I175+J175,'Debt strategy'!$E$10)</x:f>
        <x:v>0</x:v>
      </x:c>
      <x:c r="L175" s="27" t="n">
        <x:f>IF(I175+J175-K175&lt;=0,99,1+SUM(IF(AND(C175+D175-E175&gt;0,OR('Debt strategy'!$D$9&gt;'Debt strategy'!$D$10,AND('Debt strategy'!$D$9='Debt strategy'!$D$10,0&lt;1))),1,0),IF(AND(O175+P175-Q175&gt;0,OR('Debt strategy'!$D$11&gt;'Debt strategy'!$D$10,AND('Debt strategy'!$D$11='Debt strategy'!$D$10,2&lt;1))),1,0),IF(AND(U175+V175-W175&gt;0,OR('Debt strategy'!$D$12&gt;'Debt strategy'!$D$10,AND('Debt strategy'!$D$12='Debt strategy'!$D$10,3&lt;1))),1,0),IF(AND(AA175+AB175-AC175&gt;0,OR('Debt strategy'!$D$13&gt;'Debt strategy'!$D$10,AND('Debt strategy'!$D$13='Debt strategy'!$D$10,4&lt;1))),1,0)))</x:f>
        <x:v>99</x:v>
      </x:c>
      <x:c r="M175" s="6" t="n">
        <x:f>IF('Debt strategy'!$C$16&gt;0,0,MIN(I175+J175-K175,MAX(0,'Debt strategy'!$C$5-SUM(E175,K175,Q175,W175,AC175)-SUM(IF(F175&lt;L175,C175+D175-E175,0),IF(R175&lt;L175,O175+P175-Q175,0),IF(X175&lt;L175,U175+V175-W175,0),IF(AD175&lt;L175,AA175+AB175-AC175,0)))))</x:f>
        <x:v>0</x:v>
      </x:c>
      <x:c r="N175" s="6" t="n">
        <x:f>ROUND(MAX(0,I175+J175-K175-M175),2)</x:f>
        <x:v>0</x:v>
      </x:c>
      <x:c r="O175" s="6" t="n">
        <x:f>T174</x:f>
        <x:v>0</x:v>
      </x:c>
      <x:c r="P175" s="6" t="n">
        <x:f>ROUND(O175*'Debt strategy'!$D$11/12,2)</x:f>
        <x:v>0</x:v>
      </x:c>
      <x:c r="Q175" s="6" t="n">
        <x:f>MIN(O175+P175,'Debt strategy'!$E$11)</x:f>
        <x:v>0</x:v>
      </x:c>
      <x:c r="R175" s="27" t="n">
        <x:f>IF(O175+P175-Q175&lt;=0,99,1+SUM(IF(AND(C175+D175-E175&gt;0,OR('Debt strategy'!$D$9&gt;'Debt strategy'!$D$11,AND('Debt strategy'!$D$9='Debt strategy'!$D$11,0&lt;2))),1,0),IF(AND(I175+J175-K175&gt;0,OR('Debt strategy'!$D$10&gt;'Debt strategy'!$D$11,AND('Debt strategy'!$D$10='Debt strategy'!$D$11,1&lt;2))),1,0),IF(AND(U175+V175-W175&gt;0,OR('Debt strategy'!$D$12&gt;'Debt strategy'!$D$11,AND('Debt strategy'!$D$12='Debt strategy'!$D$11,3&lt;2))),1,0),IF(AND(AA175+AB175-AC175&gt;0,OR('Debt strategy'!$D$13&gt;'Debt strategy'!$D$11,AND('Debt strategy'!$D$13='Debt strategy'!$D$11,4&lt;2))),1,0)))</x:f>
        <x:v>99</x:v>
      </x:c>
      <x:c r="S175" s="6" t="n">
        <x:f>IF('Debt strategy'!$C$16&gt;0,0,MIN(O175+P175-Q175,MAX(0,'Debt strategy'!$C$5-SUM(E175,K175,Q175,W175,AC175)-SUM(IF(F175&lt;R175,C175+D175-E175,0),IF(L175&lt;R175,I175+J175-K175,0),IF(X175&lt;R175,U175+V175-W175,0),IF(AD175&lt;R175,AA175+AB175-AC175,0)))))</x:f>
        <x:v>0</x:v>
      </x:c>
      <x:c r="T175" s="6" t="n">
        <x:f>ROUND(MAX(0,O175+P175-Q175-S175),2)</x:f>
        <x:v>0</x:v>
      </x:c>
      <x:c r="U175" s="6" t="n">
        <x:f>Z174</x:f>
        <x:v>0</x:v>
      </x:c>
      <x:c r="V175" s="6" t="n">
        <x:f>ROUND(U175*'Debt strategy'!$D$12/12,2)</x:f>
        <x:v>0</x:v>
      </x:c>
      <x:c r="W175" s="6" t="n">
        <x:f>MIN(U175+V175,'Debt strategy'!$E$12)</x:f>
        <x:v>0</x:v>
      </x:c>
      <x:c r="X175" s="27" t="n">
        <x:f>IF(U175+V175-W175&lt;=0,99,1+SUM(IF(AND(C175+D175-E175&gt;0,OR('Debt strategy'!$D$9&gt;'Debt strategy'!$D$12,AND('Debt strategy'!$D$9='Debt strategy'!$D$12,0&lt;3))),1,0),IF(AND(I175+J175-K175&gt;0,OR('Debt strategy'!$D$10&gt;'Debt strategy'!$D$12,AND('Debt strategy'!$D$10='Debt strategy'!$D$12,1&lt;3))),1,0),IF(AND(O175+P175-Q175&gt;0,OR('Debt strategy'!$D$11&gt;'Debt strategy'!$D$12,AND('Debt strategy'!$D$11='Debt strategy'!$D$12,2&lt;3))),1,0),IF(AND(AA175+AB175-AC175&gt;0,OR('Debt strategy'!$D$13&gt;'Debt strategy'!$D$12,AND('Debt strategy'!$D$13='Debt strategy'!$D$12,4&lt;3))),1,0)))</x:f>
        <x:v>99</x:v>
      </x:c>
      <x:c r="Y175" s="6" t="n">
        <x:f>IF('Debt strategy'!$C$16&gt;0,0,MIN(U175+V175-W175,MAX(0,'Debt strategy'!$C$5-SUM(E175,K175,Q175,W175,AC175)-SUM(IF(F175&lt;X175,C175+D175-E175,0),IF(L175&lt;X175,I175+J175-K175,0),IF(R175&lt;X175,O175+P175-Q175,0),IF(AD175&lt;X175,AA175+AB175-AC175,0)))))</x:f>
        <x:v>0</x:v>
      </x:c>
      <x:c r="Z175" s="6" t="n">
        <x:f>ROUND(MAX(0,U175+V175-W175-Y175),2)</x:f>
        <x:v>0</x:v>
      </x:c>
      <x:c r="AA175" s="6" t="n">
        <x:f>AF174</x:f>
        <x:v>0</x:v>
      </x:c>
      <x:c r="AB175" s="6" t="n">
        <x:f>ROUND(AA175*'Debt strategy'!$D$13/12,2)</x:f>
        <x:v>0</x:v>
      </x:c>
      <x:c r="AC175" s="6" t="n">
        <x:f>MIN(AA175+AB175,'Debt strategy'!$E$13)</x:f>
        <x:v>0</x:v>
      </x:c>
      <x:c r="AD175" s="27" t="n">
        <x:f>IF(AA175+AB175-AC175&lt;=0,99,1+SUM(IF(AND(C175+D175-E175&gt;0,OR('Debt strategy'!$D$9&gt;'Debt strategy'!$D$13,AND('Debt strategy'!$D$9='Debt strategy'!$D$13,0&lt;4))),1,0),IF(AND(I175+J175-K175&gt;0,OR('Debt strategy'!$D$10&gt;'Debt strategy'!$D$13,AND('Debt strategy'!$D$10='Debt strategy'!$D$13,1&lt;4))),1,0),IF(AND(O175+P175-Q175&gt;0,OR('Debt strategy'!$D$11&gt;'Debt strategy'!$D$13,AND('Debt strategy'!$D$11='Debt strategy'!$D$13,2&lt;4))),1,0),IF(AND(U175+V175-W175&gt;0,OR('Debt strategy'!$D$12&gt;'Debt strategy'!$D$13,AND('Debt strategy'!$D$12='Debt strategy'!$D$13,3&lt;4))),1,0)))</x:f>
        <x:v>99</x:v>
      </x:c>
      <x:c r="AE175" s="6" t="n">
        <x:f>IF('Debt strategy'!$C$16&gt;0,0,MIN(AA175+AB175-AC175,MAX(0,'Debt strategy'!$C$5-SUM(E175,K175,Q175,W175,AC175)-SUM(IF(F175&lt;AD175,C175+D175-E175,0),IF(L175&lt;AD175,I175+J175-K175,0),IF(R175&lt;AD175,O175+P175-Q175,0),IF(X175&lt;AD175,U175+V175-W175,0)))))</x:f>
        <x:v>0</x:v>
      </x:c>
      <x:c r="AF175" s="6" t="n">
        <x:f>ROUND(MAX(0,AA175+AB175-AC175-AE175),2)</x:f>
        <x:v>0</x:v>
      </x:c>
      <x:c r="AG175" s="6" t="n">
        <x:f>SUM(H175,N175,T175,Z175,AF175)</x:f>
        <x:v>0</x:v>
      </x:c>
      <x:c r="AH175" s="6" t="n">
        <x:f>SUM(D175,J175,P175,V175,AB175)+AH174</x:f>
        <x:v>1220.8400000000001</x:v>
      </x:c>
      <x:c r="AI175" s="2"/>
    </x:row>
    <x:row r="176" ht="23" customHeight="1">
      <x:c r="B176" s="2" t="n">
        <x:f>168</x:f>
        <x:v>168</x:v>
      </x:c>
      <x:c r="C176" s="6" t="n">
        <x:f>H175</x:f>
        <x:v>0</x:v>
      </x:c>
      <x:c r="D176" s="6" t="n">
        <x:f>ROUND(C176*'Debt strategy'!$D$9/12,2)</x:f>
        <x:v>0</x:v>
      </x:c>
      <x:c r="E176" s="6" t="n">
        <x:f>MIN(C176+D176,'Debt strategy'!$E$9)</x:f>
        <x:v>0</x:v>
      </x:c>
      <x:c r="F176" s="27" t="n">
        <x:f>IF(C176+D176-E176&lt;=0,99,1+SUM(IF(AND(I176+J176-K176&gt;0,OR('Debt strategy'!$D$10&gt;'Debt strategy'!$D$9,AND('Debt strategy'!$D$10='Debt strategy'!$D$9,1&lt;0))),1,0),IF(AND(O176+P176-Q176&gt;0,OR('Debt strategy'!$D$11&gt;'Debt strategy'!$D$9,AND('Debt strategy'!$D$11='Debt strategy'!$D$9,2&lt;0))),1,0),IF(AND(U176+V176-W176&gt;0,OR('Debt strategy'!$D$12&gt;'Debt strategy'!$D$9,AND('Debt strategy'!$D$12='Debt strategy'!$D$9,3&lt;0))),1,0),IF(AND(AA176+AB176-AC176&gt;0,OR('Debt strategy'!$D$13&gt;'Debt strategy'!$D$9,AND('Debt strategy'!$D$13='Debt strategy'!$D$9,4&lt;0))),1,0)))</x:f>
        <x:v>99</x:v>
      </x:c>
      <x:c r="G176" s="6" t="n">
        <x:f>IF('Debt strategy'!$C$16&gt;0,0,MIN(C176+D176-E176,MAX(0,'Debt strategy'!$C$5-SUM(E176,K176,Q176,W176,AC176)-SUM(IF(L176&lt;F176,I176+J176-K176,0),IF(R176&lt;F176,O176+P176-Q176,0),IF(X176&lt;F176,U176+V176-W176,0),IF(AD176&lt;F176,AA176+AB176-AC176,0)))))</x:f>
        <x:v>0</x:v>
      </x:c>
      <x:c r="H176" s="6" t="n">
        <x:f>ROUND(MAX(0,C176+D176-E176-G176),2)</x:f>
        <x:v>0</x:v>
      </x:c>
      <x:c r="I176" s="6" t="n">
        <x:f>N175</x:f>
        <x:v>0</x:v>
      </x:c>
      <x:c r="J176" s="6" t="n">
        <x:f>ROUND(I176*'Debt strategy'!$D$10/12,2)</x:f>
        <x:v>0</x:v>
      </x:c>
      <x:c r="K176" s="6" t="n">
        <x:f>MIN(I176+J176,'Debt strategy'!$E$10)</x:f>
        <x:v>0</x:v>
      </x:c>
      <x:c r="L176" s="27" t="n">
        <x:f>IF(I176+J176-K176&lt;=0,99,1+SUM(IF(AND(C176+D176-E176&gt;0,OR('Debt strategy'!$D$9&gt;'Debt strategy'!$D$10,AND('Debt strategy'!$D$9='Debt strategy'!$D$10,0&lt;1))),1,0),IF(AND(O176+P176-Q176&gt;0,OR('Debt strategy'!$D$11&gt;'Debt strategy'!$D$10,AND('Debt strategy'!$D$11='Debt strategy'!$D$10,2&lt;1))),1,0),IF(AND(U176+V176-W176&gt;0,OR('Debt strategy'!$D$12&gt;'Debt strategy'!$D$10,AND('Debt strategy'!$D$12='Debt strategy'!$D$10,3&lt;1))),1,0),IF(AND(AA176+AB176-AC176&gt;0,OR('Debt strategy'!$D$13&gt;'Debt strategy'!$D$10,AND('Debt strategy'!$D$13='Debt strategy'!$D$10,4&lt;1))),1,0)))</x:f>
        <x:v>99</x:v>
      </x:c>
      <x:c r="M176" s="6" t="n">
        <x:f>IF('Debt strategy'!$C$16&gt;0,0,MIN(I176+J176-K176,MAX(0,'Debt strategy'!$C$5-SUM(E176,K176,Q176,W176,AC176)-SUM(IF(F176&lt;L176,C176+D176-E176,0),IF(R176&lt;L176,O176+P176-Q176,0),IF(X176&lt;L176,U176+V176-W176,0),IF(AD176&lt;L176,AA176+AB176-AC176,0)))))</x:f>
        <x:v>0</x:v>
      </x:c>
      <x:c r="N176" s="6" t="n">
        <x:f>ROUND(MAX(0,I176+J176-K176-M176),2)</x:f>
        <x:v>0</x:v>
      </x:c>
      <x:c r="O176" s="6" t="n">
        <x:f>T175</x:f>
        <x:v>0</x:v>
      </x:c>
      <x:c r="P176" s="6" t="n">
        <x:f>ROUND(O176*'Debt strategy'!$D$11/12,2)</x:f>
        <x:v>0</x:v>
      </x:c>
      <x:c r="Q176" s="6" t="n">
        <x:f>MIN(O176+P176,'Debt strategy'!$E$11)</x:f>
        <x:v>0</x:v>
      </x:c>
      <x:c r="R176" s="27" t="n">
        <x:f>IF(O176+P176-Q176&lt;=0,99,1+SUM(IF(AND(C176+D176-E176&gt;0,OR('Debt strategy'!$D$9&gt;'Debt strategy'!$D$11,AND('Debt strategy'!$D$9='Debt strategy'!$D$11,0&lt;2))),1,0),IF(AND(I176+J176-K176&gt;0,OR('Debt strategy'!$D$10&gt;'Debt strategy'!$D$11,AND('Debt strategy'!$D$10='Debt strategy'!$D$11,1&lt;2))),1,0),IF(AND(U176+V176-W176&gt;0,OR('Debt strategy'!$D$12&gt;'Debt strategy'!$D$11,AND('Debt strategy'!$D$12='Debt strategy'!$D$11,3&lt;2))),1,0),IF(AND(AA176+AB176-AC176&gt;0,OR('Debt strategy'!$D$13&gt;'Debt strategy'!$D$11,AND('Debt strategy'!$D$13='Debt strategy'!$D$11,4&lt;2))),1,0)))</x:f>
        <x:v>99</x:v>
      </x:c>
      <x:c r="S176" s="6" t="n">
        <x:f>IF('Debt strategy'!$C$16&gt;0,0,MIN(O176+P176-Q176,MAX(0,'Debt strategy'!$C$5-SUM(E176,K176,Q176,W176,AC176)-SUM(IF(F176&lt;R176,C176+D176-E176,0),IF(L176&lt;R176,I176+J176-K176,0),IF(X176&lt;R176,U176+V176-W176,0),IF(AD176&lt;R176,AA176+AB176-AC176,0)))))</x:f>
        <x:v>0</x:v>
      </x:c>
      <x:c r="T176" s="6" t="n">
        <x:f>ROUND(MAX(0,O176+P176-Q176-S176),2)</x:f>
        <x:v>0</x:v>
      </x:c>
      <x:c r="U176" s="6" t="n">
        <x:f>Z175</x:f>
        <x:v>0</x:v>
      </x:c>
      <x:c r="V176" s="6" t="n">
        <x:f>ROUND(U176*'Debt strategy'!$D$12/12,2)</x:f>
        <x:v>0</x:v>
      </x:c>
      <x:c r="W176" s="6" t="n">
        <x:f>MIN(U176+V176,'Debt strategy'!$E$12)</x:f>
        <x:v>0</x:v>
      </x:c>
      <x:c r="X176" s="27" t="n">
        <x:f>IF(U176+V176-W176&lt;=0,99,1+SUM(IF(AND(C176+D176-E176&gt;0,OR('Debt strategy'!$D$9&gt;'Debt strategy'!$D$12,AND('Debt strategy'!$D$9='Debt strategy'!$D$12,0&lt;3))),1,0),IF(AND(I176+J176-K176&gt;0,OR('Debt strategy'!$D$10&gt;'Debt strategy'!$D$12,AND('Debt strategy'!$D$10='Debt strategy'!$D$12,1&lt;3))),1,0),IF(AND(O176+P176-Q176&gt;0,OR('Debt strategy'!$D$11&gt;'Debt strategy'!$D$12,AND('Debt strategy'!$D$11='Debt strategy'!$D$12,2&lt;3))),1,0),IF(AND(AA176+AB176-AC176&gt;0,OR('Debt strategy'!$D$13&gt;'Debt strategy'!$D$12,AND('Debt strategy'!$D$13='Debt strategy'!$D$12,4&lt;3))),1,0)))</x:f>
        <x:v>99</x:v>
      </x:c>
      <x:c r="Y176" s="6" t="n">
        <x:f>IF('Debt strategy'!$C$16&gt;0,0,MIN(U176+V176-W176,MAX(0,'Debt strategy'!$C$5-SUM(E176,K176,Q176,W176,AC176)-SUM(IF(F176&lt;X176,C176+D176-E176,0),IF(L176&lt;X176,I176+J176-K176,0),IF(R176&lt;X176,O176+P176-Q176,0),IF(AD176&lt;X176,AA176+AB176-AC176,0)))))</x:f>
        <x:v>0</x:v>
      </x:c>
      <x:c r="Z176" s="6" t="n">
        <x:f>ROUND(MAX(0,U176+V176-W176-Y176),2)</x:f>
        <x:v>0</x:v>
      </x:c>
      <x:c r="AA176" s="6" t="n">
        <x:f>AF175</x:f>
        <x:v>0</x:v>
      </x:c>
      <x:c r="AB176" s="6" t="n">
        <x:f>ROUND(AA176*'Debt strategy'!$D$13/12,2)</x:f>
        <x:v>0</x:v>
      </x:c>
      <x:c r="AC176" s="6" t="n">
        <x:f>MIN(AA176+AB176,'Debt strategy'!$E$13)</x:f>
        <x:v>0</x:v>
      </x:c>
      <x:c r="AD176" s="27" t="n">
        <x:f>IF(AA176+AB176-AC176&lt;=0,99,1+SUM(IF(AND(C176+D176-E176&gt;0,OR('Debt strategy'!$D$9&gt;'Debt strategy'!$D$13,AND('Debt strategy'!$D$9='Debt strategy'!$D$13,0&lt;4))),1,0),IF(AND(I176+J176-K176&gt;0,OR('Debt strategy'!$D$10&gt;'Debt strategy'!$D$13,AND('Debt strategy'!$D$10='Debt strategy'!$D$13,1&lt;4))),1,0),IF(AND(O176+P176-Q176&gt;0,OR('Debt strategy'!$D$11&gt;'Debt strategy'!$D$13,AND('Debt strategy'!$D$11='Debt strategy'!$D$13,2&lt;4))),1,0),IF(AND(U176+V176-W176&gt;0,OR('Debt strategy'!$D$12&gt;'Debt strategy'!$D$13,AND('Debt strategy'!$D$12='Debt strategy'!$D$13,3&lt;4))),1,0)))</x:f>
        <x:v>99</x:v>
      </x:c>
      <x:c r="AE176" s="6" t="n">
        <x:f>IF('Debt strategy'!$C$16&gt;0,0,MIN(AA176+AB176-AC176,MAX(0,'Debt strategy'!$C$5-SUM(E176,K176,Q176,W176,AC176)-SUM(IF(F176&lt;AD176,C176+D176-E176,0),IF(L176&lt;AD176,I176+J176-K176,0),IF(R176&lt;AD176,O176+P176-Q176,0),IF(X176&lt;AD176,U176+V176-W176,0)))))</x:f>
        <x:v>0</x:v>
      </x:c>
      <x:c r="AF176" s="6" t="n">
        <x:f>ROUND(MAX(0,AA176+AB176-AC176-AE176),2)</x:f>
        <x:v>0</x:v>
      </x:c>
      <x:c r="AG176" s="6" t="n">
        <x:f>SUM(H176,N176,T176,Z176,AF176)</x:f>
        <x:v>0</x:v>
      </x:c>
      <x:c r="AH176" s="6" t="n">
        <x:f>SUM(D176,J176,P176,V176,AB176)+AH175</x:f>
        <x:v>1220.8400000000001</x:v>
      </x:c>
      <x:c r="AI176" s="2"/>
    </x:row>
    <x:row r="177" ht="23" customHeight="1">
      <x:c r="B177" s="2" t="n">
        <x:f>169</x:f>
        <x:v>169</x:v>
      </x:c>
      <x:c r="C177" s="6" t="n">
        <x:f>H176</x:f>
        <x:v>0</x:v>
      </x:c>
      <x:c r="D177" s="6" t="n">
        <x:f>ROUND(C177*'Debt strategy'!$D$9/12,2)</x:f>
        <x:v>0</x:v>
      </x:c>
      <x:c r="E177" s="6" t="n">
        <x:f>MIN(C177+D177,'Debt strategy'!$E$9)</x:f>
        <x:v>0</x:v>
      </x:c>
      <x:c r="F177" s="27" t="n">
        <x:f>IF(C177+D177-E177&lt;=0,99,1+SUM(IF(AND(I177+J177-K177&gt;0,OR('Debt strategy'!$D$10&gt;'Debt strategy'!$D$9,AND('Debt strategy'!$D$10='Debt strategy'!$D$9,1&lt;0))),1,0),IF(AND(O177+P177-Q177&gt;0,OR('Debt strategy'!$D$11&gt;'Debt strategy'!$D$9,AND('Debt strategy'!$D$11='Debt strategy'!$D$9,2&lt;0))),1,0),IF(AND(U177+V177-W177&gt;0,OR('Debt strategy'!$D$12&gt;'Debt strategy'!$D$9,AND('Debt strategy'!$D$12='Debt strategy'!$D$9,3&lt;0))),1,0),IF(AND(AA177+AB177-AC177&gt;0,OR('Debt strategy'!$D$13&gt;'Debt strategy'!$D$9,AND('Debt strategy'!$D$13='Debt strategy'!$D$9,4&lt;0))),1,0)))</x:f>
        <x:v>99</x:v>
      </x:c>
      <x:c r="G177" s="6" t="n">
        <x:f>IF('Debt strategy'!$C$16&gt;0,0,MIN(C177+D177-E177,MAX(0,'Debt strategy'!$C$5-SUM(E177,K177,Q177,W177,AC177)-SUM(IF(L177&lt;F177,I177+J177-K177,0),IF(R177&lt;F177,O177+P177-Q177,0),IF(X177&lt;F177,U177+V177-W177,0),IF(AD177&lt;F177,AA177+AB177-AC177,0)))))</x:f>
        <x:v>0</x:v>
      </x:c>
      <x:c r="H177" s="6" t="n">
        <x:f>ROUND(MAX(0,C177+D177-E177-G177),2)</x:f>
        <x:v>0</x:v>
      </x:c>
      <x:c r="I177" s="6" t="n">
        <x:f>N176</x:f>
        <x:v>0</x:v>
      </x:c>
      <x:c r="J177" s="6" t="n">
        <x:f>ROUND(I177*'Debt strategy'!$D$10/12,2)</x:f>
        <x:v>0</x:v>
      </x:c>
      <x:c r="K177" s="6" t="n">
        <x:f>MIN(I177+J177,'Debt strategy'!$E$10)</x:f>
        <x:v>0</x:v>
      </x:c>
      <x:c r="L177" s="27" t="n">
        <x:f>IF(I177+J177-K177&lt;=0,99,1+SUM(IF(AND(C177+D177-E177&gt;0,OR('Debt strategy'!$D$9&gt;'Debt strategy'!$D$10,AND('Debt strategy'!$D$9='Debt strategy'!$D$10,0&lt;1))),1,0),IF(AND(O177+P177-Q177&gt;0,OR('Debt strategy'!$D$11&gt;'Debt strategy'!$D$10,AND('Debt strategy'!$D$11='Debt strategy'!$D$10,2&lt;1))),1,0),IF(AND(U177+V177-W177&gt;0,OR('Debt strategy'!$D$12&gt;'Debt strategy'!$D$10,AND('Debt strategy'!$D$12='Debt strategy'!$D$10,3&lt;1))),1,0),IF(AND(AA177+AB177-AC177&gt;0,OR('Debt strategy'!$D$13&gt;'Debt strategy'!$D$10,AND('Debt strategy'!$D$13='Debt strategy'!$D$10,4&lt;1))),1,0)))</x:f>
        <x:v>99</x:v>
      </x:c>
      <x:c r="M177" s="6" t="n">
        <x:f>IF('Debt strategy'!$C$16&gt;0,0,MIN(I177+J177-K177,MAX(0,'Debt strategy'!$C$5-SUM(E177,K177,Q177,W177,AC177)-SUM(IF(F177&lt;L177,C177+D177-E177,0),IF(R177&lt;L177,O177+P177-Q177,0),IF(X177&lt;L177,U177+V177-W177,0),IF(AD177&lt;L177,AA177+AB177-AC177,0)))))</x:f>
        <x:v>0</x:v>
      </x:c>
      <x:c r="N177" s="6" t="n">
        <x:f>ROUND(MAX(0,I177+J177-K177-M177),2)</x:f>
        <x:v>0</x:v>
      </x:c>
      <x:c r="O177" s="6" t="n">
        <x:f>T176</x:f>
        <x:v>0</x:v>
      </x:c>
      <x:c r="P177" s="6" t="n">
        <x:f>ROUND(O177*'Debt strategy'!$D$11/12,2)</x:f>
        <x:v>0</x:v>
      </x:c>
      <x:c r="Q177" s="6" t="n">
        <x:f>MIN(O177+P177,'Debt strategy'!$E$11)</x:f>
        <x:v>0</x:v>
      </x:c>
      <x:c r="R177" s="27" t="n">
        <x:f>IF(O177+P177-Q177&lt;=0,99,1+SUM(IF(AND(C177+D177-E177&gt;0,OR('Debt strategy'!$D$9&gt;'Debt strategy'!$D$11,AND('Debt strategy'!$D$9='Debt strategy'!$D$11,0&lt;2))),1,0),IF(AND(I177+J177-K177&gt;0,OR('Debt strategy'!$D$10&gt;'Debt strategy'!$D$11,AND('Debt strategy'!$D$10='Debt strategy'!$D$11,1&lt;2))),1,0),IF(AND(U177+V177-W177&gt;0,OR('Debt strategy'!$D$12&gt;'Debt strategy'!$D$11,AND('Debt strategy'!$D$12='Debt strategy'!$D$11,3&lt;2))),1,0),IF(AND(AA177+AB177-AC177&gt;0,OR('Debt strategy'!$D$13&gt;'Debt strategy'!$D$11,AND('Debt strategy'!$D$13='Debt strategy'!$D$11,4&lt;2))),1,0)))</x:f>
        <x:v>99</x:v>
      </x:c>
      <x:c r="S177" s="6" t="n">
        <x:f>IF('Debt strategy'!$C$16&gt;0,0,MIN(O177+P177-Q177,MAX(0,'Debt strategy'!$C$5-SUM(E177,K177,Q177,W177,AC177)-SUM(IF(F177&lt;R177,C177+D177-E177,0),IF(L177&lt;R177,I177+J177-K177,0),IF(X177&lt;R177,U177+V177-W177,0),IF(AD177&lt;R177,AA177+AB177-AC177,0)))))</x:f>
        <x:v>0</x:v>
      </x:c>
      <x:c r="T177" s="6" t="n">
        <x:f>ROUND(MAX(0,O177+P177-Q177-S177),2)</x:f>
        <x:v>0</x:v>
      </x:c>
      <x:c r="U177" s="6" t="n">
        <x:f>Z176</x:f>
        <x:v>0</x:v>
      </x:c>
      <x:c r="V177" s="6" t="n">
        <x:f>ROUND(U177*'Debt strategy'!$D$12/12,2)</x:f>
        <x:v>0</x:v>
      </x:c>
      <x:c r="W177" s="6" t="n">
        <x:f>MIN(U177+V177,'Debt strategy'!$E$12)</x:f>
        <x:v>0</x:v>
      </x:c>
      <x:c r="X177" s="27" t="n">
        <x:f>IF(U177+V177-W177&lt;=0,99,1+SUM(IF(AND(C177+D177-E177&gt;0,OR('Debt strategy'!$D$9&gt;'Debt strategy'!$D$12,AND('Debt strategy'!$D$9='Debt strategy'!$D$12,0&lt;3))),1,0),IF(AND(I177+J177-K177&gt;0,OR('Debt strategy'!$D$10&gt;'Debt strategy'!$D$12,AND('Debt strategy'!$D$10='Debt strategy'!$D$12,1&lt;3))),1,0),IF(AND(O177+P177-Q177&gt;0,OR('Debt strategy'!$D$11&gt;'Debt strategy'!$D$12,AND('Debt strategy'!$D$11='Debt strategy'!$D$12,2&lt;3))),1,0),IF(AND(AA177+AB177-AC177&gt;0,OR('Debt strategy'!$D$13&gt;'Debt strategy'!$D$12,AND('Debt strategy'!$D$13='Debt strategy'!$D$12,4&lt;3))),1,0)))</x:f>
        <x:v>99</x:v>
      </x:c>
      <x:c r="Y177" s="6" t="n">
        <x:f>IF('Debt strategy'!$C$16&gt;0,0,MIN(U177+V177-W177,MAX(0,'Debt strategy'!$C$5-SUM(E177,K177,Q177,W177,AC177)-SUM(IF(F177&lt;X177,C177+D177-E177,0),IF(L177&lt;X177,I177+J177-K177,0),IF(R177&lt;X177,O177+P177-Q177,0),IF(AD177&lt;X177,AA177+AB177-AC177,0)))))</x:f>
        <x:v>0</x:v>
      </x:c>
      <x:c r="Z177" s="6" t="n">
        <x:f>ROUND(MAX(0,U177+V177-W177-Y177),2)</x:f>
        <x:v>0</x:v>
      </x:c>
      <x:c r="AA177" s="6" t="n">
        <x:f>AF176</x:f>
        <x:v>0</x:v>
      </x:c>
      <x:c r="AB177" s="6" t="n">
        <x:f>ROUND(AA177*'Debt strategy'!$D$13/12,2)</x:f>
        <x:v>0</x:v>
      </x:c>
      <x:c r="AC177" s="6" t="n">
        <x:f>MIN(AA177+AB177,'Debt strategy'!$E$13)</x:f>
        <x:v>0</x:v>
      </x:c>
      <x:c r="AD177" s="27" t="n">
        <x:f>IF(AA177+AB177-AC177&lt;=0,99,1+SUM(IF(AND(C177+D177-E177&gt;0,OR('Debt strategy'!$D$9&gt;'Debt strategy'!$D$13,AND('Debt strategy'!$D$9='Debt strategy'!$D$13,0&lt;4))),1,0),IF(AND(I177+J177-K177&gt;0,OR('Debt strategy'!$D$10&gt;'Debt strategy'!$D$13,AND('Debt strategy'!$D$10='Debt strategy'!$D$13,1&lt;4))),1,0),IF(AND(O177+P177-Q177&gt;0,OR('Debt strategy'!$D$11&gt;'Debt strategy'!$D$13,AND('Debt strategy'!$D$11='Debt strategy'!$D$13,2&lt;4))),1,0),IF(AND(U177+V177-W177&gt;0,OR('Debt strategy'!$D$12&gt;'Debt strategy'!$D$13,AND('Debt strategy'!$D$12='Debt strategy'!$D$13,3&lt;4))),1,0)))</x:f>
        <x:v>99</x:v>
      </x:c>
      <x:c r="AE177" s="6" t="n">
        <x:f>IF('Debt strategy'!$C$16&gt;0,0,MIN(AA177+AB177-AC177,MAX(0,'Debt strategy'!$C$5-SUM(E177,K177,Q177,W177,AC177)-SUM(IF(F177&lt;AD177,C177+D177-E177,0),IF(L177&lt;AD177,I177+J177-K177,0),IF(R177&lt;AD177,O177+P177-Q177,0),IF(X177&lt;AD177,U177+V177-W177,0)))))</x:f>
        <x:v>0</x:v>
      </x:c>
      <x:c r="AF177" s="6" t="n">
        <x:f>ROUND(MAX(0,AA177+AB177-AC177-AE177),2)</x:f>
        <x:v>0</x:v>
      </x:c>
      <x:c r="AG177" s="6" t="n">
        <x:f>SUM(H177,N177,T177,Z177,AF177)</x:f>
        <x:v>0</x:v>
      </x:c>
      <x:c r="AH177" s="6" t="n">
        <x:f>SUM(D177,J177,P177,V177,AB177)+AH176</x:f>
        <x:v>1220.8400000000001</x:v>
      </x:c>
      <x:c r="AI177" s="2"/>
    </x:row>
    <x:row r="178" ht="23" customHeight="1">
      <x:c r="B178" s="2" t="n">
        <x:f>170</x:f>
        <x:v>170</x:v>
      </x:c>
      <x:c r="C178" s="6" t="n">
        <x:f>H177</x:f>
        <x:v>0</x:v>
      </x:c>
      <x:c r="D178" s="6" t="n">
        <x:f>ROUND(C178*'Debt strategy'!$D$9/12,2)</x:f>
        <x:v>0</x:v>
      </x:c>
      <x:c r="E178" s="6" t="n">
        <x:f>MIN(C178+D178,'Debt strategy'!$E$9)</x:f>
        <x:v>0</x:v>
      </x:c>
      <x:c r="F178" s="27" t="n">
        <x:f>IF(C178+D178-E178&lt;=0,99,1+SUM(IF(AND(I178+J178-K178&gt;0,OR('Debt strategy'!$D$10&gt;'Debt strategy'!$D$9,AND('Debt strategy'!$D$10='Debt strategy'!$D$9,1&lt;0))),1,0),IF(AND(O178+P178-Q178&gt;0,OR('Debt strategy'!$D$11&gt;'Debt strategy'!$D$9,AND('Debt strategy'!$D$11='Debt strategy'!$D$9,2&lt;0))),1,0),IF(AND(U178+V178-W178&gt;0,OR('Debt strategy'!$D$12&gt;'Debt strategy'!$D$9,AND('Debt strategy'!$D$12='Debt strategy'!$D$9,3&lt;0))),1,0),IF(AND(AA178+AB178-AC178&gt;0,OR('Debt strategy'!$D$13&gt;'Debt strategy'!$D$9,AND('Debt strategy'!$D$13='Debt strategy'!$D$9,4&lt;0))),1,0)))</x:f>
        <x:v>99</x:v>
      </x:c>
      <x:c r="G178" s="6" t="n">
        <x:f>IF('Debt strategy'!$C$16&gt;0,0,MIN(C178+D178-E178,MAX(0,'Debt strategy'!$C$5-SUM(E178,K178,Q178,W178,AC178)-SUM(IF(L178&lt;F178,I178+J178-K178,0),IF(R178&lt;F178,O178+P178-Q178,0),IF(X178&lt;F178,U178+V178-W178,0),IF(AD178&lt;F178,AA178+AB178-AC178,0)))))</x:f>
        <x:v>0</x:v>
      </x:c>
      <x:c r="H178" s="6" t="n">
        <x:f>ROUND(MAX(0,C178+D178-E178-G178),2)</x:f>
        <x:v>0</x:v>
      </x:c>
      <x:c r="I178" s="6" t="n">
        <x:f>N177</x:f>
        <x:v>0</x:v>
      </x:c>
      <x:c r="J178" s="6" t="n">
        <x:f>ROUND(I178*'Debt strategy'!$D$10/12,2)</x:f>
        <x:v>0</x:v>
      </x:c>
      <x:c r="K178" s="6" t="n">
        <x:f>MIN(I178+J178,'Debt strategy'!$E$10)</x:f>
        <x:v>0</x:v>
      </x:c>
      <x:c r="L178" s="27" t="n">
        <x:f>IF(I178+J178-K178&lt;=0,99,1+SUM(IF(AND(C178+D178-E178&gt;0,OR('Debt strategy'!$D$9&gt;'Debt strategy'!$D$10,AND('Debt strategy'!$D$9='Debt strategy'!$D$10,0&lt;1))),1,0),IF(AND(O178+P178-Q178&gt;0,OR('Debt strategy'!$D$11&gt;'Debt strategy'!$D$10,AND('Debt strategy'!$D$11='Debt strategy'!$D$10,2&lt;1))),1,0),IF(AND(U178+V178-W178&gt;0,OR('Debt strategy'!$D$12&gt;'Debt strategy'!$D$10,AND('Debt strategy'!$D$12='Debt strategy'!$D$10,3&lt;1))),1,0),IF(AND(AA178+AB178-AC178&gt;0,OR('Debt strategy'!$D$13&gt;'Debt strategy'!$D$10,AND('Debt strategy'!$D$13='Debt strategy'!$D$10,4&lt;1))),1,0)))</x:f>
        <x:v>99</x:v>
      </x:c>
      <x:c r="M178" s="6" t="n">
        <x:f>IF('Debt strategy'!$C$16&gt;0,0,MIN(I178+J178-K178,MAX(0,'Debt strategy'!$C$5-SUM(E178,K178,Q178,W178,AC178)-SUM(IF(F178&lt;L178,C178+D178-E178,0),IF(R178&lt;L178,O178+P178-Q178,0),IF(X178&lt;L178,U178+V178-W178,0),IF(AD178&lt;L178,AA178+AB178-AC178,0)))))</x:f>
        <x:v>0</x:v>
      </x:c>
      <x:c r="N178" s="6" t="n">
        <x:f>ROUND(MAX(0,I178+J178-K178-M178),2)</x:f>
        <x:v>0</x:v>
      </x:c>
      <x:c r="O178" s="6" t="n">
        <x:f>T177</x:f>
        <x:v>0</x:v>
      </x:c>
      <x:c r="P178" s="6" t="n">
        <x:f>ROUND(O178*'Debt strategy'!$D$11/12,2)</x:f>
        <x:v>0</x:v>
      </x:c>
      <x:c r="Q178" s="6" t="n">
        <x:f>MIN(O178+P178,'Debt strategy'!$E$11)</x:f>
        <x:v>0</x:v>
      </x:c>
      <x:c r="R178" s="27" t="n">
        <x:f>IF(O178+P178-Q178&lt;=0,99,1+SUM(IF(AND(C178+D178-E178&gt;0,OR('Debt strategy'!$D$9&gt;'Debt strategy'!$D$11,AND('Debt strategy'!$D$9='Debt strategy'!$D$11,0&lt;2))),1,0),IF(AND(I178+J178-K178&gt;0,OR('Debt strategy'!$D$10&gt;'Debt strategy'!$D$11,AND('Debt strategy'!$D$10='Debt strategy'!$D$11,1&lt;2))),1,0),IF(AND(U178+V178-W178&gt;0,OR('Debt strategy'!$D$12&gt;'Debt strategy'!$D$11,AND('Debt strategy'!$D$12='Debt strategy'!$D$11,3&lt;2))),1,0),IF(AND(AA178+AB178-AC178&gt;0,OR('Debt strategy'!$D$13&gt;'Debt strategy'!$D$11,AND('Debt strategy'!$D$13='Debt strategy'!$D$11,4&lt;2))),1,0)))</x:f>
        <x:v>99</x:v>
      </x:c>
      <x:c r="S178" s="6" t="n">
        <x:f>IF('Debt strategy'!$C$16&gt;0,0,MIN(O178+P178-Q178,MAX(0,'Debt strategy'!$C$5-SUM(E178,K178,Q178,W178,AC178)-SUM(IF(F178&lt;R178,C178+D178-E178,0),IF(L178&lt;R178,I178+J178-K178,0),IF(X178&lt;R178,U178+V178-W178,0),IF(AD178&lt;R178,AA178+AB178-AC178,0)))))</x:f>
        <x:v>0</x:v>
      </x:c>
      <x:c r="T178" s="6" t="n">
        <x:f>ROUND(MAX(0,O178+P178-Q178-S178),2)</x:f>
        <x:v>0</x:v>
      </x:c>
      <x:c r="U178" s="6" t="n">
        <x:f>Z177</x:f>
        <x:v>0</x:v>
      </x:c>
      <x:c r="V178" s="6" t="n">
        <x:f>ROUND(U178*'Debt strategy'!$D$12/12,2)</x:f>
        <x:v>0</x:v>
      </x:c>
      <x:c r="W178" s="6" t="n">
        <x:f>MIN(U178+V178,'Debt strategy'!$E$12)</x:f>
        <x:v>0</x:v>
      </x:c>
      <x:c r="X178" s="27" t="n">
        <x:f>IF(U178+V178-W178&lt;=0,99,1+SUM(IF(AND(C178+D178-E178&gt;0,OR('Debt strategy'!$D$9&gt;'Debt strategy'!$D$12,AND('Debt strategy'!$D$9='Debt strategy'!$D$12,0&lt;3))),1,0),IF(AND(I178+J178-K178&gt;0,OR('Debt strategy'!$D$10&gt;'Debt strategy'!$D$12,AND('Debt strategy'!$D$10='Debt strategy'!$D$12,1&lt;3))),1,0),IF(AND(O178+P178-Q178&gt;0,OR('Debt strategy'!$D$11&gt;'Debt strategy'!$D$12,AND('Debt strategy'!$D$11='Debt strategy'!$D$12,2&lt;3))),1,0),IF(AND(AA178+AB178-AC178&gt;0,OR('Debt strategy'!$D$13&gt;'Debt strategy'!$D$12,AND('Debt strategy'!$D$13='Debt strategy'!$D$12,4&lt;3))),1,0)))</x:f>
        <x:v>99</x:v>
      </x:c>
      <x:c r="Y178" s="6" t="n">
        <x:f>IF('Debt strategy'!$C$16&gt;0,0,MIN(U178+V178-W178,MAX(0,'Debt strategy'!$C$5-SUM(E178,K178,Q178,W178,AC178)-SUM(IF(F178&lt;X178,C178+D178-E178,0),IF(L178&lt;X178,I178+J178-K178,0),IF(R178&lt;X178,O178+P178-Q178,0),IF(AD178&lt;X178,AA178+AB178-AC178,0)))))</x:f>
        <x:v>0</x:v>
      </x:c>
      <x:c r="Z178" s="6" t="n">
        <x:f>ROUND(MAX(0,U178+V178-W178-Y178),2)</x:f>
        <x:v>0</x:v>
      </x:c>
      <x:c r="AA178" s="6" t="n">
        <x:f>AF177</x:f>
        <x:v>0</x:v>
      </x:c>
      <x:c r="AB178" s="6" t="n">
        <x:f>ROUND(AA178*'Debt strategy'!$D$13/12,2)</x:f>
        <x:v>0</x:v>
      </x:c>
      <x:c r="AC178" s="6" t="n">
        <x:f>MIN(AA178+AB178,'Debt strategy'!$E$13)</x:f>
        <x:v>0</x:v>
      </x:c>
      <x:c r="AD178" s="27" t="n">
        <x:f>IF(AA178+AB178-AC178&lt;=0,99,1+SUM(IF(AND(C178+D178-E178&gt;0,OR('Debt strategy'!$D$9&gt;'Debt strategy'!$D$13,AND('Debt strategy'!$D$9='Debt strategy'!$D$13,0&lt;4))),1,0),IF(AND(I178+J178-K178&gt;0,OR('Debt strategy'!$D$10&gt;'Debt strategy'!$D$13,AND('Debt strategy'!$D$10='Debt strategy'!$D$13,1&lt;4))),1,0),IF(AND(O178+P178-Q178&gt;0,OR('Debt strategy'!$D$11&gt;'Debt strategy'!$D$13,AND('Debt strategy'!$D$11='Debt strategy'!$D$13,2&lt;4))),1,0),IF(AND(U178+V178-W178&gt;0,OR('Debt strategy'!$D$12&gt;'Debt strategy'!$D$13,AND('Debt strategy'!$D$12='Debt strategy'!$D$13,3&lt;4))),1,0)))</x:f>
        <x:v>99</x:v>
      </x:c>
      <x:c r="AE178" s="6" t="n">
        <x:f>IF('Debt strategy'!$C$16&gt;0,0,MIN(AA178+AB178-AC178,MAX(0,'Debt strategy'!$C$5-SUM(E178,K178,Q178,W178,AC178)-SUM(IF(F178&lt;AD178,C178+D178-E178,0),IF(L178&lt;AD178,I178+J178-K178,0),IF(R178&lt;AD178,O178+P178-Q178,0),IF(X178&lt;AD178,U178+V178-W178,0)))))</x:f>
        <x:v>0</x:v>
      </x:c>
      <x:c r="AF178" s="6" t="n">
        <x:f>ROUND(MAX(0,AA178+AB178-AC178-AE178),2)</x:f>
        <x:v>0</x:v>
      </x:c>
      <x:c r="AG178" s="6" t="n">
        <x:f>SUM(H178,N178,T178,Z178,AF178)</x:f>
        <x:v>0</x:v>
      </x:c>
      <x:c r="AH178" s="6" t="n">
        <x:f>SUM(D178,J178,P178,V178,AB178)+AH177</x:f>
        <x:v>1220.8400000000001</x:v>
      </x:c>
      <x:c r="AI178" s="2"/>
    </x:row>
    <x:row r="179" ht="23" customHeight="1">
      <x:c r="B179" s="2" t="n">
        <x:f>171</x:f>
        <x:v>171</x:v>
      </x:c>
      <x:c r="C179" s="6" t="n">
        <x:f>H178</x:f>
        <x:v>0</x:v>
      </x:c>
      <x:c r="D179" s="6" t="n">
        <x:f>ROUND(C179*'Debt strategy'!$D$9/12,2)</x:f>
        <x:v>0</x:v>
      </x:c>
      <x:c r="E179" s="6" t="n">
        <x:f>MIN(C179+D179,'Debt strategy'!$E$9)</x:f>
        <x:v>0</x:v>
      </x:c>
      <x:c r="F179" s="27" t="n">
        <x:f>IF(C179+D179-E179&lt;=0,99,1+SUM(IF(AND(I179+J179-K179&gt;0,OR('Debt strategy'!$D$10&gt;'Debt strategy'!$D$9,AND('Debt strategy'!$D$10='Debt strategy'!$D$9,1&lt;0))),1,0),IF(AND(O179+P179-Q179&gt;0,OR('Debt strategy'!$D$11&gt;'Debt strategy'!$D$9,AND('Debt strategy'!$D$11='Debt strategy'!$D$9,2&lt;0))),1,0),IF(AND(U179+V179-W179&gt;0,OR('Debt strategy'!$D$12&gt;'Debt strategy'!$D$9,AND('Debt strategy'!$D$12='Debt strategy'!$D$9,3&lt;0))),1,0),IF(AND(AA179+AB179-AC179&gt;0,OR('Debt strategy'!$D$13&gt;'Debt strategy'!$D$9,AND('Debt strategy'!$D$13='Debt strategy'!$D$9,4&lt;0))),1,0)))</x:f>
        <x:v>99</x:v>
      </x:c>
      <x:c r="G179" s="6" t="n">
        <x:f>IF('Debt strategy'!$C$16&gt;0,0,MIN(C179+D179-E179,MAX(0,'Debt strategy'!$C$5-SUM(E179,K179,Q179,W179,AC179)-SUM(IF(L179&lt;F179,I179+J179-K179,0),IF(R179&lt;F179,O179+P179-Q179,0),IF(X179&lt;F179,U179+V179-W179,0),IF(AD179&lt;F179,AA179+AB179-AC179,0)))))</x:f>
        <x:v>0</x:v>
      </x:c>
      <x:c r="H179" s="6" t="n">
        <x:f>ROUND(MAX(0,C179+D179-E179-G179),2)</x:f>
        <x:v>0</x:v>
      </x:c>
      <x:c r="I179" s="6" t="n">
        <x:f>N178</x:f>
        <x:v>0</x:v>
      </x:c>
      <x:c r="J179" s="6" t="n">
        <x:f>ROUND(I179*'Debt strategy'!$D$10/12,2)</x:f>
        <x:v>0</x:v>
      </x:c>
      <x:c r="K179" s="6" t="n">
        <x:f>MIN(I179+J179,'Debt strategy'!$E$10)</x:f>
        <x:v>0</x:v>
      </x:c>
      <x:c r="L179" s="27" t="n">
        <x:f>IF(I179+J179-K179&lt;=0,99,1+SUM(IF(AND(C179+D179-E179&gt;0,OR('Debt strategy'!$D$9&gt;'Debt strategy'!$D$10,AND('Debt strategy'!$D$9='Debt strategy'!$D$10,0&lt;1))),1,0),IF(AND(O179+P179-Q179&gt;0,OR('Debt strategy'!$D$11&gt;'Debt strategy'!$D$10,AND('Debt strategy'!$D$11='Debt strategy'!$D$10,2&lt;1))),1,0),IF(AND(U179+V179-W179&gt;0,OR('Debt strategy'!$D$12&gt;'Debt strategy'!$D$10,AND('Debt strategy'!$D$12='Debt strategy'!$D$10,3&lt;1))),1,0),IF(AND(AA179+AB179-AC179&gt;0,OR('Debt strategy'!$D$13&gt;'Debt strategy'!$D$10,AND('Debt strategy'!$D$13='Debt strategy'!$D$10,4&lt;1))),1,0)))</x:f>
        <x:v>99</x:v>
      </x:c>
      <x:c r="M179" s="6" t="n">
        <x:f>IF('Debt strategy'!$C$16&gt;0,0,MIN(I179+J179-K179,MAX(0,'Debt strategy'!$C$5-SUM(E179,K179,Q179,W179,AC179)-SUM(IF(F179&lt;L179,C179+D179-E179,0),IF(R179&lt;L179,O179+P179-Q179,0),IF(X179&lt;L179,U179+V179-W179,0),IF(AD179&lt;L179,AA179+AB179-AC179,0)))))</x:f>
        <x:v>0</x:v>
      </x:c>
      <x:c r="N179" s="6" t="n">
        <x:f>ROUND(MAX(0,I179+J179-K179-M179),2)</x:f>
        <x:v>0</x:v>
      </x:c>
      <x:c r="O179" s="6" t="n">
        <x:f>T178</x:f>
        <x:v>0</x:v>
      </x:c>
      <x:c r="P179" s="6" t="n">
        <x:f>ROUND(O179*'Debt strategy'!$D$11/12,2)</x:f>
        <x:v>0</x:v>
      </x:c>
      <x:c r="Q179" s="6" t="n">
        <x:f>MIN(O179+P179,'Debt strategy'!$E$11)</x:f>
        <x:v>0</x:v>
      </x:c>
      <x:c r="R179" s="27" t="n">
        <x:f>IF(O179+P179-Q179&lt;=0,99,1+SUM(IF(AND(C179+D179-E179&gt;0,OR('Debt strategy'!$D$9&gt;'Debt strategy'!$D$11,AND('Debt strategy'!$D$9='Debt strategy'!$D$11,0&lt;2))),1,0),IF(AND(I179+J179-K179&gt;0,OR('Debt strategy'!$D$10&gt;'Debt strategy'!$D$11,AND('Debt strategy'!$D$10='Debt strategy'!$D$11,1&lt;2))),1,0),IF(AND(U179+V179-W179&gt;0,OR('Debt strategy'!$D$12&gt;'Debt strategy'!$D$11,AND('Debt strategy'!$D$12='Debt strategy'!$D$11,3&lt;2))),1,0),IF(AND(AA179+AB179-AC179&gt;0,OR('Debt strategy'!$D$13&gt;'Debt strategy'!$D$11,AND('Debt strategy'!$D$13='Debt strategy'!$D$11,4&lt;2))),1,0)))</x:f>
        <x:v>99</x:v>
      </x:c>
      <x:c r="S179" s="6" t="n">
        <x:f>IF('Debt strategy'!$C$16&gt;0,0,MIN(O179+P179-Q179,MAX(0,'Debt strategy'!$C$5-SUM(E179,K179,Q179,W179,AC179)-SUM(IF(F179&lt;R179,C179+D179-E179,0),IF(L179&lt;R179,I179+J179-K179,0),IF(X179&lt;R179,U179+V179-W179,0),IF(AD179&lt;R179,AA179+AB179-AC179,0)))))</x:f>
        <x:v>0</x:v>
      </x:c>
      <x:c r="T179" s="6" t="n">
        <x:f>ROUND(MAX(0,O179+P179-Q179-S179),2)</x:f>
        <x:v>0</x:v>
      </x:c>
      <x:c r="U179" s="6" t="n">
        <x:f>Z178</x:f>
        <x:v>0</x:v>
      </x:c>
      <x:c r="V179" s="6" t="n">
        <x:f>ROUND(U179*'Debt strategy'!$D$12/12,2)</x:f>
        <x:v>0</x:v>
      </x:c>
      <x:c r="W179" s="6" t="n">
        <x:f>MIN(U179+V179,'Debt strategy'!$E$12)</x:f>
        <x:v>0</x:v>
      </x:c>
      <x:c r="X179" s="27" t="n">
        <x:f>IF(U179+V179-W179&lt;=0,99,1+SUM(IF(AND(C179+D179-E179&gt;0,OR('Debt strategy'!$D$9&gt;'Debt strategy'!$D$12,AND('Debt strategy'!$D$9='Debt strategy'!$D$12,0&lt;3))),1,0),IF(AND(I179+J179-K179&gt;0,OR('Debt strategy'!$D$10&gt;'Debt strategy'!$D$12,AND('Debt strategy'!$D$10='Debt strategy'!$D$12,1&lt;3))),1,0),IF(AND(O179+P179-Q179&gt;0,OR('Debt strategy'!$D$11&gt;'Debt strategy'!$D$12,AND('Debt strategy'!$D$11='Debt strategy'!$D$12,2&lt;3))),1,0),IF(AND(AA179+AB179-AC179&gt;0,OR('Debt strategy'!$D$13&gt;'Debt strategy'!$D$12,AND('Debt strategy'!$D$13='Debt strategy'!$D$12,4&lt;3))),1,0)))</x:f>
        <x:v>99</x:v>
      </x:c>
      <x:c r="Y179" s="6" t="n">
        <x:f>IF('Debt strategy'!$C$16&gt;0,0,MIN(U179+V179-W179,MAX(0,'Debt strategy'!$C$5-SUM(E179,K179,Q179,W179,AC179)-SUM(IF(F179&lt;X179,C179+D179-E179,0),IF(L179&lt;X179,I179+J179-K179,0),IF(R179&lt;X179,O179+P179-Q179,0),IF(AD179&lt;X179,AA179+AB179-AC179,0)))))</x:f>
        <x:v>0</x:v>
      </x:c>
      <x:c r="Z179" s="6" t="n">
        <x:f>ROUND(MAX(0,U179+V179-W179-Y179),2)</x:f>
        <x:v>0</x:v>
      </x:c>
      <x:c r="AA179" s="6" t="n">
        <x:f>AF178</x:f>
        <x:v>0</x:v>
      </x:c>
      <x:c r="AB179" s="6" t="n">
        <x:f>ROUND(AA179*'Debt strategy'!$D$13/12,2)</x:f>
        <x:v>0</x:v>
      </x:c>
      <x:c r="AC179" s="6" t="n">
        <x:f>MIN(AA179+AB179,'Debt strategy'!$E$13)</x:f>
        <x:v>0</x:v>
      </x:c>
      <x:c r="AD179" s="27" t="n">
        <x:f>IF(AA179+AB179-AC179&lt;=0,99,1+SUM(IF(AND(C179+D179-E179&gt;0,OR('Debt strategy'!$D$9&gt;'Debt strategy'!$D$13,AND('Debt strategy'!$D$9='Debt strategy'!$D$13,0&lt;4))),1,0),IF(AND(I179+J179-K179&gt;0,OR('Debt strategy'!$D$10&gt;'Debt strategy'!$D$13,AND('Debt strategy'!$D$10='Debt strategy'!$D$13,1&lt;4))),1,0),IF(AND(O179+P179-Q179&gt;0,OR('Debt strategy'!$D$11&gt;'Debt strategy'!$D$13,AND('Debt strategy'!$D$11='Debt strategy'!$D$13,2&lt;4))),1,0),IF(AND(U179+V179-W179&gt;0,OR('Debt strategy'!$D$12&gt;'Debt strategy'!$D$13,AND('Debt strategy'!$D$12='Debt strategy'!$D$13,3&lt;4))),1,0)))</x:f>
        <x:v>99</x:v>
      </x:c>
      <x:c r="AE179" s="6" t="n">
        <x:f>IF('Debt strategy'!$C$16&gt;0,0,MIN(AA179+AB179-AC179,MAX(0,'Debt strategy'!$C$5-SUM(E179,K179,Q179,W179,AC179)-SUM(IF(F179&lt;AD179,C179+D179-E179,0),IF(L179&lt;AD179,I179+J179-K179,0),IF(R179&lt;AD179,O179+P179-Q179,0),IF(X179&lt;AD179,U179+V179-W179,0)))))</x:f>
        <x:v>0</x:v>
      </x:c>
      <x:c r="AF179" s="6" t="n">
        <x:f>ROUND(MAX(0,AA179+AB179-AC179-AE179),2)</x:f>
        <x:v>0</x:v>
      </x:c>
      <x:c r="AG179" s="6" t="n">
        <x:f>SUM(H179,N179,T179,Z179,AF179)</x:f>
        <x:v>0</x:v>
      </x:c>
      <x:c r="AH179" s="6" t="n">
        <x:f>SUM(D179,J179,P179,V179,AB179)+AH178</x:f>
        <x:v>1220.8400000000001</x:v>
      </x:c>
      <x:c r="AI179" s="2"/>
    </x:row>
    <x:row r="180" ht="23" customHeight="1">
      <x:c r="B180" s="2" t="n">
        <x:f>172</x:f>
        <x:v>172</x:v>
      </x:c>
      <x:c r="C180" s="6" t="n">
        <x:f>H179</x:f>
        <x:v>0</x:v>
      </x:c>
      <x:c r="D180" s="6" t="n">
        <x:f>ROUND(C180*'Debt strategy'!$D$9/12,2)</x:f>
        <x:v>0</x:v>
      </x:c>
      <x:c r="E180" s="6" t="n">
        <x:f>MIN(C180+D180,'Debt strategy'!$E$9)</x:f>
        <x:v>0</x:v>
      </x:c>
      <x:c r="F180" s="27" t="n">
        <x:f>IF(C180+D180-E180&lt;=0,99,1+SUM(IF(AND(I180+J180-K180&gt;0,OR('Debt strategy'!$D$10&gt;'Debt strategy'!$D$9,AND('Debt strategy'!$D$10='Debt strategy'!$D$9,1&lt;0))),1,0),IF(AND(O180+P180-Q180&gt;0,OR('Debt strategy'!$D$11&gt;'Debt strategy'!$D$9,AND('Debt strategy'!$D$11='Debt strategy'!$D$9,2&lt;0))),1,0),IF(AND(U180+V180-W180&gt;0,OR('Debt strategy'!$D$12&gt;'Debt strategy'!$D$9,AND('Debt strategy'!$D$12='Debt strategy'!$D$9,3&lt;0))),1,0),IF(AND(AA180+AB180-AC180&gt;0,OR('Debt strategy'!$D$13&gt;'Debt strategy'!$D$9,AND('Debt strategy'!$D$13='Debt strategy'!$D$9,4&lt;0))),1,0)))</x:f>
        <x:v>99</x:v>
      </x:c>
      <x:c r="G180" s="6" t="n">
        <x:f>IF('Debt strategy'!$C$16&gt;0,0,MIN(C180+D180-E180,MAX(0,'Debt strategy'!$C$5-SUM(E180,K180,Q180,W180,AC180)-SUM(IF(L180&lt;F180,I180+J180-K180,0),IF(R180&lt;F180,O180+P180-Q180,0),IF(X180&lt;F180,U180+V180-W180,0),IF(AD180&lt;F180,AA180+AB180-AC180,0)))))</x:f>
        <x:v>0</x:v>
      </x:c>
      <x:c r="H180" s="6" t="n">
        <x:f>ROUND(MAX(0,C180+D180-E180-G180),2)</x:f>
        <x:v>0</x:v>
      </x:c>
      <x:c r="I180" s="6" t="n">
        <x:f>N179</x:f>
        <x:v>0</x:v>
      </x:c>
      <x:c r="J180" s="6" t="n">
        <x:f>ROUND(I180*'Debt strategy'!$D$10/12,2)</x:f>
        <x:v>0</x:v>
      </x:c>
      <x:c r="K180" s="6" t="n">
        <x:f>MIN(I180+J180,'Debt strategy'!$E$10)</x:f>
        <x:v>0</x:v>
      </x:c>
      <x:c r="L180" s="27" t="n">
        <x:f>IF(I180+J180-K180&lt;=0,99,1+SUM(IF(AND(C180+D180-E180&gt;0,OR('Debt strategy'!$D$9&gt;'Debt strategy'!$D$10,AND('Debt strategy'!$D$9='Debt strategy'!$D$10,0&lt;1))),1,0),IF(AND(O180+P180-Q180&gt;0,OR('Debt strategy'!$D$11&gt;'Debt strategy'!$D$10,AND('Debt strategy'!$D$11='Debt strategy'!$D$10,2&lt;1))),1,0),IF(AND(U180+V180-W180&gt;0,OR('Debt strategy'!$D$12&gt;'Debt strategy'!$D$10,AND('Debt strategy'!$D$12='Debt strategy'!$D$10,3&lt;1))),1,0),IF(AND(AA180+AB180-AC180&gt;0,OR('Debt strategy'!$D$13&gt;'Debt strategy'!$D$10,AND('Debt strategy'!$D$13='Debt strategy'!$D$10,4&lt;1))),1,0)))</x:f>
        <x:v>99</x:v>
      </x:c>
      <x:c r="M180" s="6" t="n">
        <x:f>IF('Debt strategy'!$C$16&gt;0,0,MIN(I180+J180-K180,MAX(0,'Debt strategy'!$C$5-SUM(E180,K180,Q180,W180,AC180)-SUM(IF(F180&lt;L180,C180+D180-E180,0),IF(R180&lt;L180,O180+P180-Q180,0),IF(X180&lt;L180,U180+V180-W180,0),IF(AD180&lt;L180,AA180+AB180-AC180,0)))))</x:f>
        <x:v>0</x:v>
      </x:c>
      <x:c r="N180" s="6" t="n">
        <x:f>ROUND(MAX(0,I180+J180-K180-M180),2)</x:f>
        <x:v>0</x:v>
      </x:c>
      <x:c r="O180" s="6" t="n">
        <x:f>T179</x:f>
        <x:v>0</x:v>
      </x:c>
      <x:c r="P180" s="6" t="n">
        <x:f>ROUND(O180*'Debt strategy'!$D$11/12,2)</x:f>
        <x:v>0</x:v>
      </x:c>
      <x:c r="Q180" s="6" t="n">
        <x:f>MIN(O180+P180,'Debt strategy'!$E$11)</x:f>
        <x:v>0</x:v>
      </x:c>
      <x:c r="R180" s="27" t="n">
        <x:f>IF(O180+P180-Q180&lt;=0,99,1+SUM(IF(AND(C180+D180-E180&gt;0,OR('Debt strategy'!$D$9&gt;'Debt strategy'!$D$11,AND('Debt strategy'!$D$9='Debt strategy'!$D$11,0&lt;2))),1,0),IF(AND(I180+J180-K180&gt;0,OR('Debt strategy'!$D$10&gt;'Debt strategy'!$D$11,AND('Debt strategy'!$D$10='Debt strategy'!$D$11,1&lt;2))),1,0),IF(AND(U180+V180-W180&gt;0,OR('Debt strategy'!$D$12&gt;'Debt strategy'!$D$11,AND('Debt strategy'!$D$12='Debt strategy'!$D$11,3&lt;2))),1,0),IF(AND(AA180+AB180-AC180&gt;0,OR('Debt strategy'!$D$13&gt;'Debt strategy'!$D$11,AND('Debt strategy'!$D$13='Debt strategy'!$D$11,4&lt;2))),1,0)))</x:f>
        <x:v>99</x:v>
      </x:c>
      <x:c r="S180" s="6" t="n">
        <x:f>IF('Debt strategy'!$C$16&gt;0,0,MIN(O180+P180-Q180,MAX(0,'Debt strategy'!$C$5-SUM(E180,K180,Q180,W180,AC180)-SUM(IF(F180&lt;R180,C180+D180-E180,0),IF(L180&lt;R180,I180+J180-K180,0),IF(X180&lt;R180,U180+V180-W180,0),IF(AD180&lt;R180,AA180+AB180-AC180,0)))))</x:f>
        <x:v>0</x:v>
      </x:c>
      <x:c r="T180" s="6" t="n">
        <x:f>ROUND(MAX(0,O180+P180-Q180-S180),2)</x:f>
        <x:v>0</x:v>
      </x:c>
      <x:c r="U180" s="6" t="n">
        <x:f>Z179</x:f>
        <x:v>0</x:v>
      </x:c>
      <x:c r="V180" s="6" t="n">
        <x:f>ROUND(U180*'Debt strategy'!$D$12/12,2)</x:f>
        <x:v>0</x:v>
      </x:c>
      <x:c r="W180" s="6" t="n">
        <x:f>MIN(U180+V180,'Debt strategy'!$E$12)</x:f>
        <x:v>0</x:v>
      </x:c>
      <x:c r="X180" s="27" t="n">
        <x:f>IF(U180+V180-W180&lt;=0,99,1+SUM(IF(AND(C180+D180-E180&gt;0,OR('Debt strategy'!$D$9&gt;'Debt strategy'!$D$12,AND('Debt strategy'!$D$9='Debt strategy'!$D$12,0&lt;3))),1,0),IF(AND(I180+J180-K180&gt;0,OR('Debt strategy'!$D$10&gt;'Debt strategy'!$D$12,AND('Debt strategy'!$D$10='Debt strategy'!$D$12,1&lt;3))),1,0),IF(AND(O180+P180-Q180&gt;0,OR('Debt strategy'!$D$11&gt;'Debt strategy'!$D$12,AND('Debt strategy'!$D$11='Debt strategy'!$D$12,2&lt;3))),1,0),IF(AND(AA180+AB180-AC180&gt;0,OR('Debt strategy'!$D$13&gt;'Debt strategy'!$D$12,AND('Debt strategy'!$D$13='Debt strategy'!$D$12,4&lt;3))),1,0)))</x:f>
        <x:v>99</x:v>
      </x:c>
      <x:c r="Y180" s="6" t="n">
        <x:f>IF('Debt strategy'!$C$16&gt;0,0,MIN(U180+V180-W180,MAX(0,'Debt strategy'!$C$5-SUM(E180,K180,Q180,W180,AC180)-SUM(IF(F180&lt;X180,C180+D180-E180,0),IF(L180&lt;X180,I180+J180-K180,0),IF(R180&lt;X180,O180+P180-Q180,0),IF(AD180&lt;X180,AA180+AB180-AC180,0)))))</x:f>
        <x:v>0</x:v>
      </x:c>
      <x:c r="Z180" s="6" t="n">
        <x:f>ROUND(MAX(0,U180+V180-W180-Y180),2)</x:f>
        <x:v>0</x:v>
      </x:c>
      <x:c r="AA180" s="6" t="n">
        <x:f>AF179</x:f>
        <x:v>0</x:v>
      </x:c>
      <x:c r="AB180" s="6" t="n">
        <x:f>ROUND(AA180*'Debt strategy'!$D$13/12,2)</x:f>
        <x:v>0</x:v>
      </x:c>
      <x:c r="AC180" s="6" t="n">
        <x:f>MIN(AA180+AB180,'Debt strategy'!$E$13)</x:f>
        <x:v>0</x:v>
      </x:c>
      <x:c r="AD180" s="27" t="n">
        <x:f>IF(AA180+AB180-AC180&lt;=0,99,1+SUM(IF(AND(C180+D180-E180&gt;0,OR('Debt strategy'!$D$9&gt;'Debt strategy'!$D$13,AND('Debt strategy'!$D$9='Debt strategy'!$D$13,0&lt;4))),1,0),IF(AND(I180+J180-K180&gt;0,OR('Debt strategy'!$D$10&gt;'Debt strategy'!$D$13,AND('Debt strategy'!$D$10='Debt strategy'!$D$13,1&lt;4))),1,0),IF(AND(O180+P180-Q180&gt;0,OR('Debt strategy'!$D$11&gt;'Debt strategy'!$D$13,AND('Debt strategy'!$D$11='Debt strategy'!$D$13,2&lt;4))),1,0),IF(AND(U180+V180-W180&gt;0,OR('Debt strategy'!$D$12&gt;'Debt strategy'!$D$13,AND('Debt strategy'!$D$12='Debt strategy'!$D$13,3&lt;4))),1,0)))</x:f>
        <x:v>99</x:v>
      </x:c>
      <x:c r="AE180" s="6" t="n">
        <x:f>IF('Debt strategy'!$C$16&gt;0,0,MIN(AA180+AB180-AC180,MAX(0,'Debt strategy'!$C$5-SUM(E180,K180,Q180,W180,AC180)-SUM(IF(F180&lt;AD180,C180+D180-E180,0),IF(L180&lt;AD180,I180+J180-K180,0),IF(R180&lt;AD180,O180+P180-Q180,0),IF(X180&lt;AD180,U180+V180-W180,0)))))</x:f>
        <x:v>0</x:v>
      </x:c>
      <x:c r="AF180" s="6" t="n">
        <x:f>ROUND(MAX(0,AA180+AB180-AC180-AE180),2)</x:f>
        <x:v>0</x:v>
      </x:c>
      <x:c r="AG180" s="6" t="n">
        <x:f>SUM(H180,N180,T180,Z180,AF180)</x:f>
        <x:v>0</x:v>
      </x:c>
      <x:c r="AH180" s="6" t="n">
        <x:f>SUM(D180,J180,P180,V180,AB180)+AH179</x:f>
        <x:v>1220.8400000000001</x:v>
      </x:c>
      <x:c r="AI180" s="2"/>
    </x:row>
    <x:row r="181" ht="23" customHeight="1">
      <x:c r="B181" s="2" t="n">
        <x:f>173</x:f>
        <x:v>173</x:v>
      </x:c>
      <x:c r="C181" s="6" t="n">
        <x:f>H180</x:f>
        <x:v>0</x:v>
      </x:c>
      <x:c r="D181" s="6" t="n">
        <x:f>ROUND(C181*'Debt strategy'!$D$9/12,2)</x:f>
        <x:v>0</x:v>
      </x:c>
      <x:c r="E181" s="6" t="n">
        <x:f>MIN(C181+D181,'Debt strategy'!$E$9)</x:f>
        <x:v>0</x:v>
      </x:c>
      <x:c r="F181" s="27" t="n">
        <x:f>IF(C181+D181-E181&lt;=0,99,1+SUM(IF(AND(I181+J181-K181&gt;0,OR('Debt strategy'!$D$10&gt;'Debt strategy'!$D$9,AND('Debt strategy'!$D$10='Debt strategy'!$D$9,1&lt;0))),1,0),IF(AND(O181+P181-Q181&gt;0,OR('Debt strategy'!$D$11&gt;'Debt strategy'!$D$9,AND('Debt strategy'!$D$11='Debt strategy'!$D$9,2&lt;0))),1,0),IF(AND(U181+V181-W181&gt;0,OR('Debt strategy'!$D$12&gt;'Debt strategy'!$D$9,AND('Debt strategy'!$D$12='Debt strategy'!$D$9,3&lt;0))),1,0),IF(AND(AA181+AB181-AC181&gt;0,OR('Debt strategy'!$D$13&gt;'Debt strategy'!$D$9,AND('Debt strategy'!$D$13='Debt strategy'!$D$9,4&lt;0))),1,0)))</x:f>
        <x:v>99</x:v>
      </x:c>
      <x:c r="G181" s="6" t="n">
        <x:f>IF('Debt strategy'!$C$16&gt;0,0,MIN(C181+D181-E181,MAX(0,'Debt strategy'!$C$5-SUM(E181,K181,Q181,W181,AC181)-SUM(IF(L181&lt;F181,I181+J181-K181,0),IF(R181&lt;F181,O181+P181-Q181,0),IF(X181&lt;F181,U181+V181-W181,0),IF(AD181&lt;F181,AA181+AB181-AC181,0)))))</x:f>
        <x:v>0</x:v>
      </x:c>
      <x:c r="H181" s="6" t="n">
        <x:f>ROUND(MAX(0,C181+D181-E181-G181),2)</x:f>
        <x:v>0</x:v>
      </x:c>
      <x:c r="I181" s="6" t="n">
        <x:f>N180</x:f>
        <x:v>0</x:v>
      </x:c>
      <x:c r="J181" s="6" t="n">
        <x:f>ROUND(I181*'Debt strategy'!$D$10/12,2)</x:f>
        <x:v>0</x:v>
      </x:c>
      <x:c r="K181" s="6" t="n">
        <x:f>MIN(I181+J181,'Debt strategy'!$E$10)</x:f>
        <x:v>0</x:v>
      </x:c>
      <x:c r="L181" s="27" t="n">
        <x:f>IF(I181+J181-K181&lt;=0,99,1+SUM(IF(AND(C181+D181-E181&gt;0,OR('Debt strategy'!$D$9&gt;'Debt strategy'!$D$10,AND('Debt strategy'!$D$9='Debt strategy'!$D$10,0&lt;1))),1,0),IF(AND(O181+P181-Q181&gt;0,OR('Debt strategy'!$D$11&gt;'Debt strategy'!$D$10,AND('Debt strategy'!$D$11='Debt strategy'!$D$10,2&lt;1))),1,0),IF(AND(U181+V181-W181&gt;0,OR('Debt strategy'!$D$12&gt;'Debt strategy'!$D$10,AND('Debt strategy'!$D$12='Debt strategy'!$D$10,3&lt;1))),1,0),IF(AND(AA181+AB181-AC181&gt;0,OR('Debt strategy'!$D$13&gt;'Debt strategy'!$D$10,AND('Debt strategy'!$D$13='Debt strategy'!$D$10,4&lt;1))),1,0)))</x:f>
        <x:v>99</x:v>
      </x:c>
      <x:c r="M181" s="6" t="n">
        <x:f>IF('Debt strategy'!$C$16&gt;0,0,MIN(I181+J181-K181,MAX(0,'Debt strategy'!$C$5-SUM(E181,K181,Q181,W181,AC181)-SUM(IF(F181&lt;L181,C181+D181-E181,0),IF(R181&lt;L181,O181+P181-Q181,0),IF(X181&lt;L181,U181+V181-W181,0),IF(AD181&lt;L181,AA181+AB181-AC181,0)))))</x:f>
        <x:v>0</x:v>
      </x:c>
      <x:c r="N181" s="6" t="n">
        <x:f>ROUND(MAX(0,I181+J181-K181-M181),2)</x:f>
        <x:v>0</x:v>
      </x:c>
      <x:c r="O181" s="6" t="n">
        <x:f>T180</x:f>
        <x:v>0</x:v>
      </x:c>
      <x:c r="P181" s="6" t="n">
        <x:f>ROUND(O181*'Debt strategy'!$D$11/12,2)</x:f>
        <x:v>0</x:v>
      </x:c>
      <x:c r="Q181" s="6" t="n">
        <x:f>MIN(O181+P181,'Debt strategy'!$E$11)</x:f>
        <x:v>0</x:v>
      </x:c>
      <x:c r="R181" s="27" t="n">
        <x:f>IF(O181+P181-Q181&lt;=0,99,1+SUM(IF(AND(C181+D181-E181&gt;0,OR('Debt strategy'!$D$9&gt;'Debt strategy'!$D$11,AND('Debt strategy'!$D$9='Debt strategy'!$D$11,0&lt;2))),1,0),IF(AND(I181+J181-K181&gt;0,OR('Debt strategy'!$D$10&gt;'Debt strategy'!$D$11,AND('Debt strategy'!$D$10='Debt strategy'!$D$11,1&lt;2))),1,0),IF(AND(U181+V181-W181&gt;0,OR('Debt strategy'!$D$12&gt;'Debt strategy'!$D$11,AND('Debt strategy'!$D$12='Debt strategy'!$D$11,3&lt;2))),1,0),IF(AND(AA181+AB181-AC181&gt;0,OR('Debt strategy'!$D$13&gt;'Debt strategy'!$D$11,AND('Debt strategy'!$D$13='Debt strategy'!$D$11,4&lt;2))),1,0)))</x:f>
        <x:v>99</x:v>
      </x:c>
      <x:c r="S181" s="6" t="n">
        <x:f>IF('Debt strategy'!$C$16&gt;0,0,MIN(O181+P181-Q181,MAX(0,'Debt strategy'!$C$5-SUM(E181,K181,Q181,W181,AC181)-SUM(IF(F181&lt;R181,C181+D181-E181,0),IF(L181&lt;R181,I181+J181-K181,0),IF(X181&lt;R181,U181+V181-W181,0),IF(AD181&lt;R181,AA181+AB181-AC181,0)))))</x:f>
        <x:v>0</x:v>
      </x:c>
      <x:c r="T181" s="6" t="n">
        <x:f>ROUND(MAX(0,O181+P181-Q181-S181),2)</x:f>
        <x:v>0</x:v>
      </x:c>
      <x:c r="U181" s="6" t="n">
        <x:f>Z180</x:f>
        <x:v>0</x:v>
      </x:c>
      <x:c r="V181" s="6" t="n">
        <x:f>ROUND(U181*'Debt strategy'!$D$12/12,2)</x:f>
        <x:v>0</x:v>
      </x:c>
      <x:c r="W181" s="6" t="n">
        <x:f>MIN(U181+V181,'Debt strategy'!$E$12)</x:f>
        <x:v>0</x:v>
      </x:c>
      <x:c r="X181" s="27" t="n">
        <x:f>IF(U181+V181-W181&lt;=0,99,1+SUM(IF(AND(C181+D181-E181&gt;0,OR('Debt strategy'!$D$9&gt;'Debt strategy'!$D$12,AND('Debt strategy'!$D$9='Debt strategy'!$D$12,0&lt;3))),1,0),IF(AND(I181+J181-K181&gt;0,OR('Debt strategy'!$D$10&gt;'Debt strategy'!$D$12,AND('Debt strategy'!$D$10='Debt strategy'!$D$12,1&lt;3))),1,0),IF(AND(O181+P181-Q181&gt;0,OR('Debt strategy'!$D$11&gt;'Debt strategy'!$D$12,AND('Debt strategy'!$D$11='Debt strategy'!$D$12,2&lt;3))),1,0),IF(AND(AA181+AB181-AC181&gt;0,OR('Debt strategy'!$D$13&gt;'Debt strategy'!$D$12,AND('Debt strategy'!$D$13='Debt strategy'!$D$12,4&lt;3))),1,0)))</x:f>
        <x:v>99</x:v>
      </x:c>
      <x:c r="Y181" s="6" t="n">
        <x:f>IF('Debt strategy'!$C$16&gt;0,0,MIN(U181+V181-W181,MAX(0,'Debt strategy'!$C$5-SUM(E181,K181,Q181,W181,AC181)-SUM(IF(F181&lt;X181,C181+D181-E181,0),IF(L181&lt;X181,I181+J181-K181,0),IF(R181&lt;X181,O181+P181-Q181,0),IF(AD181&lt;X181,AA181+AB181-AC181,0)))))</x:f>
        <x:v>0</x:v>
      </x:c>
      <x:c r="Z181" s="6" t="n">
        <x:f>ROUND(MAX(0,U181+V181-W181-Y181),2)</x:f>
        <x:v>0</x:v>
      </x:c>
      <x:c r="AA181" s="6" t="n">
        <x:f>AF180</x:f>
        <x:v>0</x:v>
      </x:c>
      <x:c r="AB181" s="6" t="n">
        <x:f>ROUND(AA181*'Debt strategy'!$D$13/12,2)</x:f>
        <x:v>0</x:v>
      </x:c>
      <x:c r="AC181" s="6" t="n">
        <x:f>MIN(AA181+AB181,'Debt strategy'!$E$13)</x:f>
        <x:v>0</x:v>
      </x:c>
      <x:c r="AD181" s="27" t="n">
        <x:f>IF(AA181+AB181-AC181&lt;=0,99,1+SUM(IF(AND(C181+D181-E181&gt;0,OR('Debt strategy'!$D$9&gt;'Debt strategy'!$D$13,AND('Debt strategy'!$D$9='Debt strategy'!$D$13,0&lt;4))),1,0),IF(AND(I181+J181-K181&gt;0,OR('Debt strategy'!$D$10&gt;'Debt strategy'!$D$13,AND('Debt strategy'!$D$10='Debt strategy'!$D$13,1&lt;4))),1,0),IF(AND(O181+P181-Q181&gt;0,OR('Debt strategy'!$D$11&gt;'Debt strategy'!$D$13,AND('Debt strategy'!$D$11='Debt strategy'!$D$13,2&lt;4))),1,0),IF(AND(U181+V181-W181&gt;0,OR('Debt strategy'!$D$12&gt;'Debt strategy'!$D$13,AND('Debt strategy'!$D$12='Debt strategy'!$D$13,3&lt;4))),1,0)))</x:f>
        <x:v>99</x:v>
      </x:c>
      <x:c r="AE181" s="6" t="n">
        <x:f>IF('Debt strategy'!$C$16&gt;0,0,MIN(AA181+AB181-AC181,MAX(0,'Debt strategy'!$C$5-SUM(E181,K181,Q181,W181,AC181)-SUM(IF(F181&lt;AD181,C181+D181-E181,0),IF(L181&lt;AD181,I181+J181-K181,0),IF(R181&lt;AD181,O181+P181-Q181,0),IF(X181&lt;AD181,U181+V181-W181,0)))))</x:f>
        <x:v>0</x:v>
      </x:c>
      <x:c r="AF181" s="6" t="n">
        <x:f>ROUND(MAX(0,AA181+AB181-AC181-AE181),2)</x:f>
        <x:v>0</x:v>
      </x:c>
      <x:c r="AG181" s="6" t="n">
        <x:f>SUM(H181,N181,T181,Z181,AF181)</x:f>
        <x:v>0</x:v>
      </x:c>
      <x:c r="AH181" s="6" t="n">
        <x:f>SUM(D181,J181,P181,V181,AB181)+AH180</x:f>
        <x:v>1220.8400000000001</x:v>
      </x:c>
      <x:c r="AI181" s="2"/>
    </x:row>
    <x:row r="182" ht="23" customHeight="1">
      <x:c r="B182" s="2" t="n">
        <x:f>174</x:f>
        <x:v>174</x:v>
      </x:c>
      <x:c r="C182" s="6" t="n">
        <x:f>H181</x:f>
        <x:v>0</x:v>
      </x:c>
      <x:c r="D182" s="6" t="n">
        <x:f>ROUND(C182*'Debt strategy'!$D$9/12,2)</x:f>
        <x:v>0</x:v>
      </x:c>
      <x:c r="E182" s="6" t="n">
        <x:f>MIN(C182+D182,'Debt strategy'!$E$9)</x:f>
        <x:v>0</x:v>
      </x:c>
      <x:c r="F182" s="27" t="n">
        <x:f>IF(C182+D182-E182&lt;=0,99,1+SUM(IF(AND(I182+J182-K182&gt;0,OR('Debt strategy'!$D$10&gt;'Debt strategy'!$D$9,AND('Debt strategy'!$D$10='Debt strategy'!$D$9,1&lt;0))),1,0),IF(AND(O182+P182-Q182&gt;0,OR('Debt strategy'!$D$11&gt;'Debt strategy'!$D$9,AND('Debt strategy'!$D$11='Debt strategy'!$D$9,2&lt;0))),1,0),IF(AND(U182+V182-W182&gt;0,OR('Debt strategy'!$D$12&gt;'Debt strategy'!$D$9,AND('Debt strategy'!$D$12='Debt strategy'!$D$9,3&lt;0))),1,0),IF(AND(AA182+AB182-AC182&gt;0,OR('Debt strategy'!$D$13&gt;'Debt strategy'!$D$9,AND('Debt strategy'!$D$13='Debt strategy'!$D$9,4&lt;0))),1,0)))</x:f>
        <x:v>99</x:v>
      </x:c>
      <x:c r="G182" s="6" t="n">
        <x:f>IF('Debt strategy'!$C$16&gt;0,0,MIN(C182+D182-E182,MAX(0,'Debt strategy'!$C$5-SUM(E182,K182,Q182,W182,AC182)-SUM(IF(L182&lt;F182,I182+J182-K182,0),IF(R182&lt;F182,O182+P182-Q182,0),IF(X182&lt;F182,U182+V182-W182,0),IF(AD182&lt;F182,AA182+AB182-AC182,0)))))</x:f>
        <x:v>0</x:v>
      </x:c>
      <x:c r="H182" s="6" t="n">
        <x:f>ROUND(MAX(0,C182+D182-E182-G182),2)</x:f>
        <x:v>0</x:v>
      </x:c>
      <x:c r="I182" s="6" t="n">
        <x:f>N181</x:f>
        <x:v>0</x:v>
      </x:c>
      <x:c r="J182" s="6" t="n">
        <x:f>ROUND(I182*'Debt strategy'!$D$10/12,2)</x:f>
        <x:v>0</x:v>
      </x:c>
      <x:c r="K182" s="6" t="n">
        <x:f>MIN(I182+J182,'Debt strategy'!$E$10)</x:f>
        <x:v>0</x:v>
      </x:c>
      <x:c r="L182" s="27" t="n">
        <x:f>IF(I182+J182-K182&lt;=0,99,1+SUM(IF(AND(C182+D182-E182&gt;0,OR('Debt strategy'!$D$9&gt;'Debt strategy'!$D$10,AND('Debt strategy'!$D$9='Debt strategy'!$D$10,0&lt;1))),1,0),IF(AND(O182+P182-Q182&gt;0,OR('Debt strategy'!$D$11&gt;'Debt strategy'!$D$10,AND('Debt strategy'!$D$11='Debt strategy'!$D$10,2&lt;1))),1,0),IF(AND(U182+V182-W182&gt;0,OR('Debt strategy'!$D$12&gt;'Debt strategy'!$D$10,AND('Debt strategy'!$D$12='Debt strategy'!$D$10,3&lt;1))),1,0),IF(AND(AA182+AB182-AC182&gt;0,OR('Debt strategy'!$D$13&gt;'Debt strategy'!$D$10,AND('Debt strategy'!$D$13='Debt strategy'!$D$10,4&lt;1))),1,0)))</x:f>
        <x:v>99</x:v>
      </x:c>
      <x:c r="M182" s="6" t="n">
        <x:f>IF('Debt strategy'!$C$16&gt;0,0,MIN(I182+J182-K182,MAX(0,'Debt strategy'!$C$5-SUM(E182,K182,Q182,W182,AC182)-SUM(IF(F182&lt;L182,C182+D182-E182,0),IF(R182&lt;L182,O182+P182-Q182,0),IF(X182&lt;L182,U182+V182-W182,0),IF(AD182&lt;L182,AA182+AB182-AC182,0)))))</x:f>
        <x:v>0</x:v>
      </x:c>
      <x:c r="N182" s="6" t="n">
        <x:f>ROUND(MAX(0,I182+J182-K182-M182),2)</x:f>
        <x:v>0</x:v>
      </x:c>
      <x:c r="O182" s="6" t="n">
        <x:f>T181</x:f>
        <x:v>0</x:v>
      </x:c>
      <x:c r="P182" s="6" t="n">
        <x:f>ROUND(O182*'Debt strategy'!$D$11/12,2)</x:f>
        <x:v>0</x:v>
      </x:c>
      <x:c r="Q182" s="6" t="n">
        <x:f>MIN(O182+P182,'Debt strategy'!$E$11)</x:f>
        <x:v>0</x:v>
      </x:c>
      <x:c r="R182" s="27" t="n">
        <x:f>IF(O182+P182-Q182&lt;=0,99,1+SUM(IF(AND(C182+D182-E182&gt;0,OR('Debt strategy'!$D$9&gt;'Debt strategy'!$D$11,AND('Debt strategy'!$D$9='Debt strategy'!$D$11,0&lt;2))),1,0),IF(AND(I182+J182-K182&gt;0,OR('Debt strategy'!$D$10&gt;'Debt strategy'!$D$11,AND('Debt strategy'!$D$10='Debt strategy'!$D$11,1&lt;2))),1,0),IF(AND(U182+V182-W182&gt;0,OR('Debt strategy'!$D$12&gt;'Debt strategy'!$D$11,AND('Debt strategy'!$D$12='Debt strategy'!$D$11,3&lt;2))),1,0),IF(AND(AA182+AB182-AC182&gt;0,OR('Debt strategy'!$D$13&gt;'Debt strategy'!$D$11,AND('Debt strategy'!$D$13='Debt strategy'!$D$11,4&lt;2))),1,0)))</x:f>
        <x:v>99</x:v>
      </x:c>
      <x:c r="S182" s="6" t="n">
        <x:f>IF('Debt strategy'!$C$16&gt;0,0,MIN(O182+P182-Q182,MAX(0,'Debt strategy'!$C$5-SUM(E182,K182,Q182,W182,AC182)-SUM(IF(F182&lt;R182,C182+D182-E182,0),IF(L182&lt;R182,I182+J182-K182,0),IF(X182&lt;R182,U182+V182-W182,0),IF(AD182&lt;R182,AA182+AB182-AC182,0)))))</x:f>
        <x:v>0</x:v>
      </x:c>
      <x:c r="T182" s="6" t="n">
        <x:f>ROUND(MAX(0,O182+P182-Q182-S182),2)</x:f>
        <x:v>0</x:v>
      </x:c>
      <x:c r="U182" s="6" t="n">
        <x:f>Z181</x:f>
        <x:v>0</x:v>
      </x:c>
      <x:c r="V182" s="6" t="n">
        <x:f>ROUND(U182*'Debt strategy'!$D$12/12,2)</x:f>
        <x:v>0</x:v>
      </x:c>
      <x:c r="W182" s="6" t="n">
        <x:f>MIN(U182+V182,'Debt strategy'!$E$12)</x:f>
        <x:v>0</x:v>
      </x:c>
      <x:c r="X182" s="27" t="n">
        <x:f>IF(U182+V182-W182&lt;=0,99,1+SUM(IF(AND(C182+D182-E182&gt;0,OR('Debt strategy'!$D$9&gt;'Debt strategy'!$D$12,AND('Debt strategy'!$D$9='Debt strategy'!$D$12,0&lt;3))),1,0),IF(AND(I182+J182-K182&gt;0,OR('Debt strategy'!$D$10&gt;'Debt strategy'!$D$12,AND('Debt strategy'!$D$10='Debt strategy'!$D$12,1&lt;3))),1,0),IF(AND(O182+P182-Q182&gt;0,OR('Debt strategy'!$D$11&gt;'Debt strategy'!$D$12,AND('Debt strategy'!$D$11='Debt strategy'!$D$12,2&lt;3))),1,0),IF(AND(AA182+AB182-AC182&gt;0,OR('Debt strategy'!$D$13&gt;'Debt strategy'!$D$12,AND('Debt strategy'!$D$13='Debt strategy'!$D$12,4&lt;3))),1,0)))</x:f>
        <x:v>99</x:v>
      </x:c>
      <x:c r="Y182" s="6" t="n">
        <x:f>IF('Debt strategy'!$C$16&gt;0,0,MIN(U182+V182-W182,MAX(0,'Debt strategy'!$C$5-SUM(E182,K182,Q182,W182,AC182)-SUM(IF(F182&lt;X182,C182+D182-E182,0),IF(L182&lt;X182,I182+J182-K182,0),IF(R182&lt;X182,O182+P182-Q182,0),IF(AD182&lt;X182,AA182+AB182-AC182,0)))))</x:f>
        <x:v>0</x:v>
      </x:c>
      <x:c r="Z182" s="6" t="n">
        <x:f>ROUND(MAX(0,U182+V182-W182-Y182),2)</x:f>
        <x:v>0</x:v>
      </x:c>
      <x:c r="AA182" s="6" t="n">
        <x:f>AF181</x:f>
        <x:v>0</x:v>
      </x:c>
      <x:c r="AB182" s="6" t="n">
        <x:f>ROUND(AA182*'Debt strategy'!$D$13/12,2)</x:f>
        <x:v>0</x:v>
      </x:c>
      <x:c r="AC182" s="6" t="n">
        <x:f>MIN(AA182+AB182,'Debt strategy'!$E$13)</x:f>
        <x:v>0</x:v>
      </x:c>
      <x:c r="AD182" s="27" t="n">
        <x:f>IF(AA182+AB182-AC182&lt;=0,99,1+SUM(IF(AND(C182+D182-E182&gt;0,OR('Debt strategy'!$D$9&gt;'Debt strategy'!$D$13,AND('Debt strategy'!$D$9='Debt strategy'!$D$13,0&lt;4))),1,0),IF(AND(I182+J182-K182&gt;0,OR('Debt strategy'!$D$10&gt;'Debt strategy'!$D$13,AND('Debt strategy'!$D$10='Debt strategy'!$D$13,1&lt;4))),1,0),IF(AND(O182+P182-Q182&gt;0,OR('Debt strategy'!$D$11&gt;'Debt strategy'!$D$13,AND('Debt strategy'!$D$11='Debt strategy'!$D$13,2&lt;4))),1,0),IF(AND(U182+V182-W182&gt;0,OR('Debt strategy'!$D$12&gt;'Debt strategy'!$D$13,AND('Debt strategy'!$D$12='Debt strategy'!$D$13,3&lt;4))),1,0)))</x:f>
        <x:v>99</x:v>
      </x:c>
      <x:c r="AE182" s="6" t="n">
        <x:f>IF('Debt strategy'!$C$16&gt;0,0,MIN(AA182+AB182-AC182,MAX(0,'Debt strategy'!$C$5-SUM(E182,K182,Q182,W182,AC182)-SUM(IF(F182&lt;AD182,C182+D182-E182,0),IF(L182&lt;AD182,I182+J182-K182,0),IF(R182&lt;AD182,O182+P182-Q182,0),IF(X182&lt;AD182,U182+V182-W182,0)))))</x:f>
        <x:v>0</x:v>
      </x:c>
      <x:c r="AF182" s="6" t="n">
        <x:f>ROUND(MAX(0,AA182+AB182-AC182-AE182),2)</x:f>
        <x:v>0</x:v>
      </x:c>
      <x:c r="AG182" s="6" t="n">
        <x:f>SUM(H182,N182,T182,Z182,AF182)</x:f>
        <x:v>0</x:v>
      </x:c>
      <x:c r="AH182" s="6" t="n">
        <x:f>SUM(D182,J182,P182,V182,AB182)+AH181</x:f>
        <x:v>1220.8400000000001</x:v>
      </x:c>
      <x:c r="AI182" s="2"/>
    </x:row>
    <x:row r="183" ht="23" customHeight="1">
      <x:c r="B183" s="2" t="n">
        <x:f>175</x:f>
        <x:v>175</x:v>
      </x:c>
      <x:c r="C183" s="6" t="n">
        <x:f>H182</x:f>
        <x:v>0</x:v>
      </x:c>
      <x:c r="D183" s="6" t="n">
        <x:f>ROUND(C183*'Debt strategy'!$D$9/12,2)</x:f>
        <x:v>0</x:v>
      </x:c>
      <x:c r="E183" s="6" t="n">
        <x:f>MIN(C183+D183,'Debt strategy'!$E$9)</x:f>
        <x:v>0</x:v>
      </x:c>
      <x:c r="F183" s="27" t="n">
        <x:f>IF(C183+D183-E183&lt;=0,99,1+SUM(IF(AND(I183+J183-K183&gt;0,OR('Debt strategy'!$D$10&gt;'Debt strategy'!$D$9,AND('Debt strategy'!$D$10='Debt strategy'!$D$9,1&lt;0))),1,0),IF(AND(O183+P183-Q183&gt;0,OR('Debt strategy'!$D$11&gt;'Debt strategy'!$D$9,AND('Debt strategy'!$D$11='Debt strategy'!$D$9,2&lt;0))),1,0),IF(AND(U183+V183-W183&gt;0,OR('Debt strategy'!$D$12&gt;'Debt strategy'!$D$9,AND('Debt strategy'!$D$12='Debt strategy'!$D$9,3&lt;0))),1,0),IF(AND(AA183+AB183-AC183&gt;0,OR('Debt strategy'!$D$13&gt;'Debt strategy'!$D$9,AND('Debt strategy'!$D$13='Debt strategy'!$D$9,4&lt;0))),1,0)))</x:f>
        <x:v>99</x:v>
      </x:c>
      <x:c r="G183" s="6" t="n">
        <x:f>IF('Debt strategy'!$C$16&gt;0,0,MIN(C183+D183-E183,MAX(0,'Debt strategy'!$C$5-SUM(E183,K183,Q183,W183,AC183)-SUM(IF(L183&lt;F183,I183+J183-K183,0),IF(R183&lt;F183,O183+P183-Q183,0),IF(X183&lt;F183,U183+V183-W183,0),IF(AD183&lt;F183,AA183+AB183-AC183,0)))))</x:f>
        <x:v>0</x:v>
      </x:c>
      <x:c r="H183" s="6" t="n">
        <x:f>ROUND(MAX(0,C183+D183-E183-G183),2)</x:f>
        <x:v>0</x:v>
      </x:c>
      <x:c r="I183" s="6" t="n">
        <x:f>N182</x:f>
        <x:v>0</x:v>
      </x:c>
      <x:c r="J183" s="6" t="n">
        <x:f>ROUND(I183*'Debt strategy'!$D$10/12,2)</x:f>
        <x:v>0</x:v>
      </x:c>
      <x:c r="K183" s="6" t="n">
        <x:f>MIN(I183+J183,'Debt strategy'!$E$10)</x:f>
        <x:v>0</x:v>
      </x:c>
      <x:c r="L183" s="27" t="n">
        <x:f>IF(I183+J183-K183&lt;=0,99,1+SUM(IF(AND(C183+D183-E183&gt;0,OR('Debt strategy'!$D$9&gt;'Debt strategy'!$D$10,AND('Debt strategy'!$D$9='Debt strategy'!$D$10,0&lt;1))),1,0),IF(AND(O183+P183-Q183&gt;0,OR('Debt strategy'!$D$11&gt;'Debt strategy'!$D$10,AND('Debt strategy'!$D$11='Debt strategy'!$D$10,2&lt;1))),1,0),IF(AND(U183+V183-W183&gt;0,OR('Debt strategy'!$D$12&gt;'Debt strategy'!$D$10,AND('Debt strategy'!$D$12='Debt strategy'!$D$10,3&lt;1))),1,0),IF(AND(AA183+AB183-AC183&gt;0,OR('Debt strategy'!$D$13&gt;'Debt strategy'!$D$10,AND('Debt strategy'!$D$13='Debt strategy'!$D$10,4&lt;1))),1,0)))</x:f>
        <x:v>99</x:v>
      </x:c>
      <x:c r="M183" s="6" t="n">
        <x:f>IF('Debt strategy'!$C$16&gt;0,0,MIN(I183+J183-K183,MAX(0,'Debt strategy'!$C$5-SUM(E183,K183,Q183,W183,AC183)-SUM(IF(F183&lt;L183,C183+D183-E183,0),IF(R183&lt;L183,O183+P183-Q183,0),IF(X183&lt;L183,U183+V183-W183,0),IF(AD183&lt;L183,AA183+AB183-AC183,0)))))</x:f>
        <x:v>0</x:v>
      </x:c>
      <x:c r="N183" s="6" t="n">
        <x:f>ROUND(MAX(0,I183+J183-K183-M183),2)</x:f>
        <x:v>0</x:v>
      </x:c>
      <x:c r="O183" s="6" t="n">
        <x:f>T182</x:f>
        <x:v>0</x:v>
      </x:c>
      <x:c r="P183" s="6" t="n">
        <x:f>ROUND(O183*'Debt strategy'!$D$11/12,2)</x:f>
        <x:v>0</x:v>
      </x:c>
      <x:c r="Q183" s="6" t="n">
        <x:f>MIN(O183+P183,'Debt strategy'!$E$11)</x:f>
        <x:v>0</x:v>
      </x:c>
      <x:c r="R183" s="27" t="n">
        <x:f>IF(O183+P183-Q183&lt;=0,99,1+SUM(IF(AND(C183+D183-E183&gt;0,OR('Debt strategy'!$D$9&gt;'Debt strategy'!$D$11,AND('Debt strategy'!$D$9='Debt strategy'!$D$11,0&lt;2))),1,0),IF(AND(I183+J183-K183&gt;0,OR('Debt strategy'!$D$10&gt;'Debt strategy'!$D$11,AND('Debt strategy'!$D$10='Debt strategy'!$D$11,1&lt;2))),1,0),IF(AND(U183+V183-W183&gt;0,OR('Debt strategy'!$D$12&gt;'Debt strategy'!$D$11,AND('Debt strategy'!$D$12='Debt strategy'!$D$11,3&lt;2))),1,0),IF(AND(AA183+AB183-AC183&gt;0,OR('Debt strategy'!$D$13&gt;'Debt strategy'!$D$11,AND('Debt strategy'!$D$13='Debt strategy'!$D$11,4&lt;2))),1,0)))</x:f>
        <x:v>99</x:v>
      </x:c>
      <x:c r="S183" s="6" t="n">
        <x:f>IF('Debt strategy'!$C$16&gt;0,0,MIN(O183+P183-Q183,MAX(0,'Debt strategy'!$C$5-SUM(E183,K183,Q183,W183,AC183)-SUM(IF(F183&lt;R183,C183+D183-E183,0),IF(L183&lt;R183,I183+J183-K183,0),IF(X183&lt;R183,U183+V183-W183,0),IF(AD183&lt;R183,AA183+AB183-AC183,0)))))</x:f>
        <x:v>0</x:v>
      </x:c>
      <x:c r="T183" s="6" t="n">
        <x:f>ROUND(MAX(0,O183+P183-Q183-S183),2)</x:f>
        <x:v>0</x:v>
      </x:c>
      <x:c r="U183" s="6" t="n">
        <x:f>Z182</x:f>
        <x:v>0</x:v>
      </x:c>
      <x:c r="V183" s="6" t="n">
        <x:f>ROUND(U183*'Debt strategy'!$D$12/12,2)</x:f>
        <x:v>0</x:v>
      </x:c>
      <x:c r="W183" s="6" t="n">
        <x:f>MIN(U183+V183,'Debt strategy'!$E$12)</x:f>
        <x:v>0</x:v>
      </x:c>
      <x:c r="X183" s="27" t="n">
        <x:f>IF(U183+V183-W183&lt;=0,99,1+SUM(IF(AND(C183+D183-E183&gt;0,OR('Debt strategy'!$D$9&gt;'Debt strategy'!$D$12,AND('Debt strategy'!$D$9='Debt strategy'!$D$12,0&lt;3))),1,0),IF(AND(I183+J183-K183&gt;0,OR('Debt strategy'!$D$10&gt;'Debt strategy'!$D$12,AND('Debt strategy'!$D$10='Debt strategy'!$D$12,1&lt;3))),1,0),IF(AND(O183+P183-Q183&gt;0,OR('Debt strategy'!$D$11&gt;'Debt strategy'!$D$12,AND('Debt strategy'!$D$11='Debt strategy'!$D$12,2&lt;3))),1,0),IF(AND(AA183+AB183-AC183&gt;0,OR('Debt strategy'!$D$13&gt;'Debt strategy'!$D$12,AND('Debt strategy'!$D$13='Debt strategy'!$D$12,4&lt;3))),1,0)))</x:f>
        <x:v>99</x:v>
      </x:c>
      <x:c r="Y183" s="6" t="n">
        <x:f>IF('Debt strategy'!$C$16&gt;0,0,MIN(U183+V183-W183,MAX(0,'Debt strategy'!$C$5-SUM(E183,K183,Q183,W183,AC183)-SUM(IF(F183&lt;X183,C183+D183-E183,0),IF(L183&lt;X183,I183+J183-K183,0),IF(R183&lt;X183,O183+P183-Q183,0),IF(AD183&lt;X183,AA183+AB183-AC183,0)))))</x:f>
        <x:v>0</x:v>
      </x:c>
      <x:c r="Z183" s="6" t="n">
        <x:f>ROUND(MAX(0,U183+V183-W183-Y183),2)</x:f>
        <x:v>0</x:v>
      </x:c>
      <x:c r="AA183" s="6" t="n">
        <x:f>AF182</x:f>
        <x:v>0</x:v>
      </x:c>
      <x:c r="AB183" s="6" t="n">
        <x:f>ROUND(AA183*'Debt strategy'!$D$13/12,2)</x:f>
        <x:v>0</x:v>
      </x:c>
      <x:c r="AC183" s="6" t="n">
        <x:f>MIN(AA183+AB183,'Debt strategy'!$E$13)</x:f>
        <x:v>0</x:v>
      </x:c>
      <x:c r="AD183" s="27" t="n">
        <x:f>IF(AA183+AB183-AC183&lt;=0,99,1+SUM(IF(AND(C183+D183-E183&gt;0,OR('Debt strategy'!$D$9&gt;'Debt strategy'!$D$13,AND('Debt strategy'!$D$9='Debt strategy'!$D$13,0&lt;4))),1,0),IF(AND(I183+J183-K183&gt;0,OR('Debt strategy'!$D$10&gt;'Debt strategy'!$D$13,AND('Debt strategy'!$D$10='Debt strategy'!$D$13,1&lt;4))),1,0),IF(AND(O183+P183-Q183&gt;0,OR('Debt strategy'!$D$11&gt;'Debt strategy'!$D$13,AND('Debt strategy'!$D$11='Debt strategy'!$D$13,2&lt;4))),1,0),IF(AND(U183+V183-W183&gt;0,OR('Debt strategy'!$D$12&gt;'Debt strategy'!$D$13,AND('Debt strategy'!$D$12='Debt strategy'!$D$13,3&lt;4))),1,0)))</x:f>
        <x:v>99</x:v>
      </x:c>
      <x:c r="AE183" s="6" t="n">
        <x:f>IF('Debt strategy'!$C$16&gt;0,0,MIN(AA183+AB183-AC183,MAX(0,'Debt strategy'!$C$5-SUM(E183,K183,Q183,W183,AC183)-SUM(IF(F183&lt;AD183,C183+D183-E183,0),IF(L183&lt;AD183,I183+J183-K183,0),IF(R183&lt;AD183,O183+P183-Q183,0),IF(X183&lt;AD183,U183+V183-W183,0)))))</x:f>
        <x:v>0</x:v>
      </x:c>
      <x:c r="AF183" s="6" t="n">
        <x:f>ROUND(MAX(0,AA183+AB183-AC183-AE183),2)</x:f>
        <x:v>0</x:v>
      </x:c>
      <x:c r="AG183" s="6" t="n">
        <x:f>SUM(H183,N183,T183,Z183,AF183)</x:f>
        <x:v>0</x:v>
      </x:c>
      <x:c r="AH183" s="6" t="n">
        <x:f>SUM(D183,J183,P183,V183,AB183)+AH182</x:f>
        <x:v>1220.8400000000001</x:v>
      </x:c>
      <x:c r="AI183" s="2"/>
    </x:row>
    <x:row r="184" ht="23" customHeight="1">
      <x:c r="B184" s="2" t="n">
        <x:f>176</x:f>
        <x:v>176</x:v>
      </x:c>
      <x:c r="C184" s="6" t="n">
        <x:f>H183</x:f>
        <x:v>0</x:v>
      </x:c>
      <x:c r="D184" s="6" t="n">
        <x:f>ROUND(C184*'Debt strategy'!$D$9/12,2)</x:f>
        <x:v>0</x:v>
      </x:c>
      <x:c r="E184" s="6" t="n">
        <x:f>MIN(C184+D184,'Debt strategy'!$E$9)</x:f>
        <x:v>0</x:v>
      </x:c>
      <x:c r="F184" s="27" t="n">
        <x:f>IF(C184+D184-E184&lt;=0,99,1+SUM(IF(AND(I184+J184-K184&gt;0,OR('Debt strategy'!$D$10&gt;'Debt strategy'!$D$9,AND('Debt strategy'!$D$10='Debt strategy'!$D$9,1&lt;0))),1,0),IF(AND(O184+P184-Q184&gt;0,OR('Debt strategy'!$D$11&gt;'Debt strategy'!$D$9,AND('Debt strategy'!$D$11='Debt strategy'!$D$9,2&lt;0))),1,0),IF(AND(U184+V184-W184&gt;0,OR('Debt strategy'!$D$12&gt;'Debt strategy'!$D$9,AND('Debt strategy'!$D$12='Debt strategy'!$D$9,3&lt;0))),1,0),IF(AND(AA184+AB184-AC184&gt;0,OR('Debt strategy'!$D$13&gt;'Debt strategy'!$D$9,AND('Debt strategy'!$D$13='Debt strategy'!$D$9,4&lt;0))),1,0)))</x:f>
        <x:v>99</x:v>
      </x:c>
      <x:c r="G184" s="6" t="n">
        <x:f>IF('Debt strategy'!$C$16&gt;0,0,MIN(C184+D184-E184,MAX(0,'Debt strategy'!$C$5-SUM(E184,K184,Q184,W184,AC184)-SUM(IF(L184&lt;F184,I184+J184-K184,0),IF(R184&lt;F184,O184+P184-Q184,0),IF(X184&lt;F184,U184+V184-W184,0),IF(AD184&lt;F184,AA184+AB184-AC184,0)))))</x:f>
        <x:v>0</x:v>
      </x:c>
      <x:c r="H184" s="6" t="n">
        <x:f>ROUND(MAX(0,C184+D184-E184-G184),2)</x:f>
        <x:v>0</x:v>
      </x:c>
      <x:c r="I184" s="6" t="n">
        <x:f>N183</x:f>
        <x:v>0</x:v>
      </x:c>
      <x:c r="J184" s="6" t="n">
        <x:f>ROUND(I184*'Debt strategy'!$D$10/12,2)</x:f>
        <x:v>0</x:v>
      </x:c>
      <x:c r="K184" s="6" t="n">
        <x:f>MIN(I184+J184,'Debt strategy'!$E$10)</x:f>
        <x:v>0</x:v>
      </x:c>
      <x:c r="L184" s="27" t="n">
        <x:f>IF(I184+J184-K184&lt;=0,99,1+SUM(IF(AND(C184+D184-E184&gt;0,OR('Debt strategy'!$D$9&gt;'Debt strategy'!$D$10,AND('Debt strategy'!$D$9='Debt strategy'!$D$10,0&lt;1))),1,0),IF(AND(O184+P184-Q184&gt;0,OR('Debt strategy'!$D$11&gt;'Debt strategy'!$D$10,AND('Debt strategy'!$D$11='Debt strategy'!$D$10,2&lt;1))),1,0),IF(AND(U184+V184-W184&gt;0,OR('Debt strategy'!$D$12&gt;'Debt strategy'!$D$10,AND('Debt strategy'!$D$12='Debt strategy'!$D$10,3&lt;1))),1,0),IF(AND(AA184+AB184-AC184&gt;0,OR('Debt strategy'!$D$13&gt;'Debt strategy'!$D$10,AND('Debt strategy'!$D$13='Debt strategy'!$D$10,4&lt;1))),1,0)))</x:f>
        <x:v>99</x:v>
      </x:c>
      <x:c r="M184" s="6" t="n">
        <x:f>IF('Debt strategy'!$C$16&gt;0,0,MIN(I184+J184-K184,MAX(0,'Debt strategy'!$C$5-SUM(E184,K184,Q184,W184,AC184)-SUM(IF(F184&lt;L184,C184+D184-E184,0),IF(R184&lt;L184,O184+P184-Q184,0),IF(X184&lt;L184,U184+V184-W184,0),IF(AD184&lt;L184,AA184+AB184-AC184,0)))))</x:f>
        <x:v>0</x:v>
      </x:c>
      <x:c r="N184" s="6" t="n">
        <x:f>ROUND(MAX(0,I184+J184-K184-M184),2)</x:f>
        <x:v>0</x:v>
      </x:c>
      <x:c r="O184" s="6" t="n">
        <x:f>T183</x:f>
        <x:v>0</x:v>
      </x:c>
      <x:c r="P184" s="6" t="n">
        <x:f>ROUND(O184*'Debt strategy'!$D$11/12,2)</x:f>
        <x:v>0</x:v>
      </x:c>
      <x:c r="Q184" s="6" t="n">
        <x:f>MIN(O184+P184,'Debt strategy'!$E$11)</x:f>
        <x:v>0</x:v>
      </x:c>
      <x:c r="R184" s="27" t="n">
        <x:f>IF(O184+P184-Q184&lt;=0,99,1+SUM(IF(AND(C184+D184-E184&gt;0,OR('Debt strategy'!$D$9&gt;'Debt strategy'!$D$11,AND('Debt strategy'!$D$9='Debt strategy'!$D$11,0&lt;2))),1,0),IF(AND(I184+J184-K184&gt;0,OR('Debt strategy'!$D$10&gt;'Debt strategy'!$D$11,AND('Debt strategy'!$D$10='Debt strategy'!$D$11,1&lt;2))),1,0),IF(AND(U184+V184-W184&gt;0,OR('Debt strategy'!$D$12&gt;'Debt strategy'!$D$11,AND('Debt strategy'!$D$12='Debt strategy'!$D$11,3&lt;2))),1,0),IF(AND(AA184+AB184-AC184&gt;0,OR('Debt strategy'!$D$13&gt;'Debt strategy'!$D$11,AND('Debt strategy'!$D$13='Debt strategy'!$D$11,4&lt;2))),1,0)))</x:f>
        <x:v>99</x:v>
      </x:c>
      <x:c r="S184" s="6" t="n">
        <x:f>IF('Debt strategy'!$C$16&gt;0,0,MIN(O184+P184-Q184,MAX(0,'Debt strategy'!$C$5-SUM(E184,K184,Q184,W184,AC184)-SUM(IF(F184&lt;R184,C184+D184-E184,0),IF(L184&lt;R184,I184+J184-K184,0),IF(X184&lt;R184,U184+V184-W184,0),IF(AD184&lt;R184,AA184+AB184-AC184,0)))))</x:f>
        <x:v>0</x:v>
      </x:c>
      <x:c r="T184" s="6" t="n">
        <x:f>ROUND(MAX(0,O184+P184-Q184-S184),2)</x:f>
        <x:v>0</x:v>
      </x:c>
      <x:c r="U184" s="6" t="n">
        <x:f>Z183</x:f>
        <x:v>0</x:v>
      </x:c>
      <x:c r="V184" s="6" t="n">
        <x:f>ROUND(U184*'Debt strategy'!$D$12/12,2)</x:f>
        <x:v>0</x:v>
      </x:c>
      <x:c r="W184" s="6" t="n">
        <x:f>MIN(U184+V184,'Debt strategy'!$E$12)</x:f>
        <x:v>0</x:v>
      </x:c>
      <x:c r="X184" s="27" t="n">
        <x:f>IF(U184+V184-W184&lt;=0,99,1+SUM(IF(AND(C184+D184-E184&gt;0,OR('Debt strategy'!$D$9&gt;'Debt strategy'!$D$12,AND('Debt strategy'!$D$9='Debt strategy'!$D$12,0&lt;3))),1,0),IF(AND(I184+J184-K184&gt;0,OR('Debt strategy'!$D$10&gt;'Debt strategy'!$D$12,AND('Debt strategy'!$D$10='Debt strategy'!$D$12,1&lt;3))),1,0),IF(AND(O184+P184-Q184&gt;0,OR('Debt strategy'!$D$11&gt;'Debt strategy'!$D$12,AND('Debt strategy'!$D$11='Debt strategy'!$D$12,2&lt;3))),1,0),IF(AND(AA184+AB184-AC184&gt;0,OR('Debt strategy'!$D$13&gt;'Debt strategy'!$D$12,AND('Debt strategy'!$D$13='Debt strategy'!$D$12,4&lt;3))),1,0)))</x:f>
        <x:v>99</x:v>
      </x:c>
      <x:c r="Y184" s="6" t="n">
        <x:f>IF('Debt strategy'!$C$16&gt;0,0,MIN(U184+V184-W184,MAX(0,'Debt strategy'!$C$5-SUM(E184,K184,Q184,W184,AC184)-SUM(IF(F184&lt;X184,C184+D184-E184,0),IF(L184&lt;X184,I184+J184-K184,0),IF(R184&lt;X184,O184+P184-Q184,0),IF(AD184&lt;X184,AA184+AB184-AC184,0)))))</x:f>
        <x:v>0</x:v>
      </x:c>
      <x:c r="Z184" s="6" t="n">
        <x:f>ROUND(MAX(0,U184+V184-W184-Y184),2)</x:f>
        <x:v>0</x:v>
      </x:c>
      <x:c r="AA184" s="6" t="n">
        <x:f>AF183</x:f>
        <x:v>0</x:v>
      </x:c>
      <x:c r="AB184" s="6" t="n">
        <x:f>ROUND(AA184*'Debt strategy'!$D$13/12,2)</x:f>
        <x:v>0</x:v>
      </x:c>
      <x:c r="AC184" s="6" t="n">
        <x:f>MIN(AA184+AB184,'Debt strategy'!$E$13)</x:f>
        <x:v>0</x:v>
      </x:c>
      <x:c r="AD184" s="27" t="n">
        <x:f>IF(AA184+AB184-AC184&lt;=0,99,1+SUM(IF(AND(C184+D184-E184&gt;0,OR('Debt strategy'!$D$9&gt;'Debt strategy'!$D$13,AND('Debt strategy'!$D$9='Debt strategy'!$D$13,0&lt;4))),1,0),IF(AND(I184+J184-K184&gt;0,OR('Debt strategy'!$D$10&gt;'Debt strategy'!$D$13,AND('Debt strategy'!$D$10='Debt strategy'!$D$13,1&lt;4))),1,0),IF(AND(O184+P184-Q184&gt;0,OR('Debt strategy'!$D$11&gt;'Debt strategy'!$D$13,AND('Debt strategy'!$D$11='Debt strategy'!$D$13,2&lt;4))),1,0),IF(AND(U184+V184-W184&gt;0,OR('Debt strategy'!$D$12&gt;'Debt strategy'!$D$13,AND('Debt strategy'!$D$12='Debt strategy'!$D$13,3&lt;4))),1,0)))</x:f>
        <x:v>99</x:v>
      </x:c>
      <x:c r="AE184" s="6" t="n">
        <x:f>IF('Debt strategy'!$C$16&gt;0,0,MIN(AA184+AB184-AC184,MAX(0,'Debt strategy'!$C$5-SUM(E184,K184,Q184,W184,AC184)-SUM(IF(F184&lt;AD184,C184+D184-E184,0),IF(L184&lt;AD184,I184+J184-K184,0),IF(R184&lt;AD184,O184+P184-Q184,0),IF(X184&lt;AD184,U184+V184-W184,0)))))</x:f>
        <x:v>0</x:v>
      </x:c>
      <x:c r="AF184" s="6" t="n">
        <x:f>ROUND(MAX(0,AA184+AB184-AC184-AE184),2)</x:f>
        <x:v>0</x:v>
      </x:c>
      <x:c r="AG184" s="6" t="n">
        <x:f>SUM(H184,N184,T184,Z184,AF184)</x:f>
        <x:v>0</x:v>
      </x:c>
      <x:c r="AH184" s="6" t="n">
        <x:f>SUM(D184,J184,P184,V184,AB184)+AH183</x:f>
        <x:v>1220.8400000000001</x:v>
      </x:c>
      <x:c r="AI184" s="2"/>
    </x:row>
    <x:row r="185" ht="23" customHeight="1">
      <x:c r="B185" s="2" t="n">
        <x:f>177</x:f>
        <x:v>177</x:v>
      </x:c>
      <x:c r="C185" s="6" t="n">
        <x:f>H184</x:f>
        <x:v>0</x:v>
      </x:c>
      <x:c r="D185" s="6" t="n">
        <x:f>ROUND(C185*'Debt strategy'!$D$9/12,2)</x:f>
        <x:v>0</x:v>
      </x:c>
      <x:c r="E185" s="6" t="n">
        <x:f>MIN(C185+D185,'Debt strategy'!$E$9)</x:f>
        <x:v>0</x:v>
      </x:c>
      <x:c r="F185" s="27" t="n">
        <x:f>IF(C185+D185-E185&lt;=0,99,1+SUM(IF(AND(I185+J185-K185&gt;0,OR('Debt strategy'!$D$10&gt;'Debt strategy'!$D$9,AND('Debt strategy'!$D$10='Debt strategy'!$D$9,1&lt;0))),1,0),IF(AND(O185+P185-Q185&gt;0,OR('Debt strategy'!$D$11&gt;'Debt strategy'!$D$9,AND('Debt strategy'!$D$11='Debt strategy'!$D$9,2&lt;0))),1,0),IF(AND(U185+V185-W185&gt;0,OR('Debt strategy'!$D$12&gt;'Debt strategy'!$D$9,AND('Debt strategy'!$D$12='Debt strategy'!$D$9,3&lt;0))),1,0),IF(AND(AA185+AB185-AC185&gt;0,OR('Debt strategy'!$D$13&gt;'Debt strategy'!$D$9,AND('Debt strategy'!$D$13='Debt strategy'!$D$9,4&lt;0))),1,0)))</x:f>
        <x:v>99</x:v>
      </x:c>
      <x:c r="G185" s="6" t="n">
        <x:f>IF('Debt strategy'!$C$16&gt;0,0,MIN(C185+D185-E185,MAX(0,'Debt strategy'!$C$5-SUM(E185,K185,Q185,W185,AC185)-SUM(IF(L185&lt;F185,I185+J185-K185,0),IF(R185&lt;F185,O185+P185-Q185,0),IF(X185&lt;F185,U185+V185-W185,0),IF(AD185&lt;F185,AA185+AB185-AC185,0)))))</x:f>
        <x:v>0</x:v>
      </x:c>
      <x:c r="H185" s="6" t="n">
        <x:f>ROUND(MAX(0,C185+D185-E185-G185),2)</x:f>
        <x:v>0</x:v>
      </x:c>
      <x:c r="I185" s="6" t="n">
        <x:f>N184</x:f>
        <x:v>0</x:v>
      </x:c>
      <x:c r="J185" s="6" t="n">
        <x:f>ROUND(I185*'Debt strategy'!$D$10/12,2)</x:f>
        <x:v>0</x:v>
      </x:c>
      <x:c r="K185" s="6" t="n">
        <x:f>MIN(I185+J185,'Debt strategy'!$E$10)</x:f>
        <x:v>0</x:v>
      </x:c>
      <x:c r="L185" s="27" t="n">
        <x:f>IF(I185+J185-K185&lt;=0,99,1+SUM(IF(AND(C185+D185-E185&gt;0,OR('Debt strategy'!$D$9&gt;'Debt strategy'!$D$10,AND('Debt strategy'!$D$9='Debt strategy'!$D$10,0&lt;1))),1,0),IF(AND(O185+P185-Q185&gt;0,OR('Debt strategy'!$D$11&gt;'Debt strategy'!$D$10,AND('Debt strategy'!$D$11='Debt strategy'!$D$10,2&lt;1))),1,0),IF(AND(U185+V185-W185&gt;0,OR('Debt strategy'!$D$12&gt;'Debt strategy'!$D$10,AND('Debt strategy'!$D$12='Debt strategy'!$D$10,3&lt;1))),1,0),IF(AND(AA185+AB185-AC185&gt;0,OR('Debt strategy'!$D$13&gt;'Debt strategy'!$D$10,AND('Debt strategy'!$D$13='Debt strategy'!$D$10,4&lt;1))),1,0)))</x:f>
        <x:v>99</x:v>
      </x:c>
      <x:c r="M185" s="6" t="n">
        <x:f>IF('Debt strategy'!$C$16&gt;0,0,MIN(I185+J185-K185,MAX(0,'Debt strategy'!$C$5-SUM(E185,K185,Q185,W185,AC185)-SUM(IF(F185&lt;L185,C185+D185-E185,0),IF(R185&lt;L185,O185+P185-Q185,0),IF(X185&lt;L185,U185+V185-W185,0),IF(AD185&lt;L185,AA185+AB185-AC185,0)))))</x:f>
        <x:v>0</x:v>
      </x:c>
      <x:c r="N185" s="6" t="n">
        <x:f>ROUND(MAX(0,I185+J185-K185-M185),2)</x:f>
        <x:v>0</x:v>
      </x:c>
      <x:c r="O185" s="6" t="n">
        <x:f>T184</x:f>
        <x:v>0</x:v>
      </x:c>
      <x:c r="P185" s="6" t="n">
        <x:f>ROUND(O185*'Debt strategy'!$D$11/12,2)</x:f>
        <x:v>0</x:v>
      </x:c>
      <x:c r="Q185" s="6" t="n">
        <x:f>MIN(O185+P185,'Debt strategy'!$E$11)</x:f>
        <x:v>0</x:v>
      </x:c>
      <x:c r="R185" s="27" t="n">
        <x:f>IF(O185+P185-Q185&lt;=0,99,1+SUM(IF(AND(C185+D185-E185&gt;0,OR('Debt strategy'!$D$9&gt;'Debt strategy'!$D$11,AND('Debt strategy'!$D$9='Debt strategy'!$D$11,0&lt;2))),1,0),IF(AND(I185+J185-K185&gt;0,OR('Debt strategy'!$D$10&gt;'Debt strategy'!$D$11,AND('Debt strategy'!$D$10='Debt strategy'!$D$11,1&lt;2))),1,0),IF(AND(U185+V185-W185&gt;0,OR('Debt strategy'!$D$12&gt;'Debt strategy'!$D$11,AND('Debt strategy'!$D$12='Debt strategy'!$D$11,3&lt;2))),1,0),IF(AND(AA185+AB185-AC185&gt;0,OR('Debt strategy'!$D$13&gt;'Debt strategy'!$D$11,AND('Debt strategy'!$D$13='Debt strategy'!$D$11,4&lt;2))),1,0)))</x:f>
        <x:v>99</x:v>
      </x:c>
      <x:c r="S185" s="6" t="n">
        <x:f>IF('Debt strategy'!$C$16&gt;0,0,MIN(O185+P185-Q185,MAX(0,'Debt strategy'!$C$5-SUM(E185,K185,Q185,W185,AC185)-SUM(IF(F185&lt;R185,C185+D185-E185,0),IF(L185&lt;R185,I185+J185-K185,0),IF(X185&lt;R185,U185+V185-W185,0),IF(AD185&lt;R185,AA185+AB185-AC185,0)))))</x:f>
        <x:v>0</x:v>
      </x:c>
      <x:c r="T185" s="6" t="n">
        <x:f>ROUND(MAX(0,O185+P185-Q185-S185),2)</x:f>
        <x:v>0</x:v>
      </x:c>
      <x:c r="U185" s="6" t="n">
        <x:f>Z184</x:f>
        <x:v>0</x:v>
      </x:c>
      <x:c r="V185" s="6" t="n">
        <x:f>ROUND(U185*'Debt strategy'!$D$12/12,2)</x:f>
        <x:v>0</x:v>
      </x:c>
      <x:c r="W185" s="6" t="n">
        <x:f>MIN(U185+V185,'Debt strategy'!$E$12)</x:f>
        <x:v>0</x:v>
      </x:c>
      <x:c r="X185" s="27" t="n">
        <x:f>IF(U185+V185-W185&lt;=0,99,1+SUM(IF(AND(C185+D185-E185&gt;0,OR('Debt strategy'!$D$9&gt;'Debt strategy'!$D$12,AND('Debt strategy'!$D$9='Debt strategy'!$D$12,0&lt;3))),1,0),IF(AND(I185+J185-K185&gt;0,OR('Debt strategy'!$D$10&gt;'Debt strategy'!$D$12,AND('Debt strategy'!$D$10='Debt strategy'!$D$12,1&lt;3))),1,0),IF(AND(O185+P185-Q185&gt;0,OR('Debt strategy'!$D$11&gt;'Debt strategy'!$D$12,AND('Debt strategy'!$D$11='Debt strategy'!$D$12,2&lt;3))),1,0),IF(AND(AA185+AB185-AC185&gt;0,OR('Debt strategy'!$D$13&gt;'Debt strategy'!$D$12,AND('Debt strategy'!$D$13='Debt strategy'!$D$12,4&lt;3))),1,0)))</x:f>
        <x:v>99</x:v>
      </x:c>
      <x:c r="Y185" s="6" t="n">
        <x:f>IF('Debt strategy'!$C$16&gt;0,0,MIN(U185+V185-W185,MAX(0,'Debt strategy'!$C$5-SUM(E185,K185,Q185,W185,AC185)-SUM(IF(F185&lt;X185,C185+D185-E185,0),IF(L185&lt;X185,I185+J185-K185,0),IF(R185&lt;X185,O185+P185-Q185,0),IF(AD185&lt;X185,AA185+AB185-AC185,0)))))</x:f>
        <x:v>0</x:v>
      </x:c>
      <x:c r="Z185" s="6" t="n">
        <x:f>ROUND(MAX(0,U185+V185-W185-Y185),2)</x:f>
        <x:v>0</x:v>
      </x:c>
      <x:c r="AA185" s="6" t="n">
        <x:f>AF184</x:f>
        <x:v>0</x:v>
      </x:c>
      <x:c r="AB185" s="6" t="n">
        <x:f>ROUND(AA185*'Debt strategy'!$D$13/12,2)</x:f>
        <x:v>0</x:v>
      </x:c>
      <x:c r="AC185" s="6" t="n">
        <x:f>MIN(AA185+AB185,'Debt strategy'!$E$13)</x:f>
        <x:v>0</x:v>
      </x:c>
      <x:c r="AD185" s="27" t="n">
        <x:f>IF(AA185+AB185-AC185&lt;=0,99,1+SUM(IF(AND(C185+D185-E185&gt;0,OR('Debt strategy'!$D$9&gt;'Debt strategy'!$D$13,AND('Debt strategy'!$D$9='Debt strategy'!$D$13,0&lt;4))),1,0),IF(AND(I185+J185-K185&gt;0,OR('Debt strategy'!$D$10&gt;'Debt strategy'!$D$13,AND('Debt strategy'!$D$10='Debt strategy'!$D$13,1&lt;4))),1,0),IF(AND(O185+P185-Q185&gt;0,OR('Debt strategy'!$D$11&gt;'Debt strategy'!$D$13,AND('Debt strategy'!$D$11='Debt strategy'!$D$13,2&lt;4))),1,0),IF(AND(U185+V185-W185&gt;0,OR('Debt strategy'!$D$12&gt;'Debt strategy'!$D$13,AND('Debt strategy'!$D$12='Debt strategy'!$D$13,3&lt;4))),1,0)))</x:f>
        <x:v>99</x:v>
      </x:c>
      <x:c r="AE185" s="6" t="n">
        <x:f>IF('Debt strategy'!$C$16&gt;0,0,MIN(AA185+AB185-AC185,MAX(0,'Debt strategy'!$C$5-SUM(E185,K185,Q185,W185,AC185)-SUM(IF(F185&lt;AD185,C185+D185-E185,0),IF(L185&lt;AD185,I185+J185-K185,0),IF(R185&lt;AD185,O185+P185-Q185,0),IF(X185&lt;AD185,U185+V185-W185,0)))))</x:f>
        <x:v>0</x:v>
      </x:c>
      <x:c r="AF185" s="6" t="n">
        <x:f>ROUND(MAX(0,AA185+AB185-AC185-AE185),2)</x:f>
        <x:v>0</x:v>
      </x:c>
      <x:c r="AG185" s="6" t="n">
        <x:f>SUM(H185,N185,T185,Z185,AF185)</x:f>
        <x:v>0</x:v>
      </x:c>
      <x:c r="AH185" s="6" t="n">
        <x:f>SUM(D185,J185,P185,V185,AB185)+AH184</x:f>
        <x:v>1220.8400000000001</x:v>
      </x:c>
      <x:c r="AI185" s="2"/>
    </x:row>
    <x:row r="186" ht="23" customHeight="1">
      <x:c r="B186" s="2" t="n">
        <x:f>178</x:f>
        <x:v>178</x:v>
      </x:c>
      <x:c r="C186" s="6" t="n">
        <x:f>H185</x:f>
        <x:v>0</x:v>
      </x:c>
      <x:c r="D186" s="6" t="n">
        <x:f>ROUND(C186*'Debt strategy'!$D$9/12,2)</x:f>
        <x:v>0</x:v>
      </x:c>
      <x:c r="E186" s="6" t="n">
        <x:f>MIN(C186+D186,'Debt strategy'!$E$9)</x:f>
        <x:v>0</x:v>
      </x:c>
      <x:c r="F186" s="27" t="n">
        <x:f>IF(C186+D186-E186&lt;=0,99,1+SUM(IF(AND(I186+J186-K186&gt;0,OR('Debt strategy'!$D$10&gt;'Debt strategy'!$D$9,AND('Debt strategy'!$D$10='Debt strategy'!$D$9,1&lt;0))),1,0),IF(AND(O186+P186-Q186&gt;0,OR('Debt strategy'!$D$11&gt;'Debt strategy'!$D$9,AND('Debt strategy'!$D$11='Debt strategy'!$D$9,2&lt;0))),1,0),IF(AND(U186+V186-W186&gt;0,OR('Debt strategy'!$D$12&gt;'Debt strategy'!$D$9,AND('Debt strategy'!$D$12='Debt strategy'!$D$9,3&lt;0))),1,0),IF(AND(AA186+AB186-AC186&gt;0,OR('Debt strategy'!$D$13&gt;'Debt strategy'!$D$9,AND('Debt strategy'!$D$13='Debt strategy'!$D$9,4&lt;0))),1,0)))</x:f>
        <x:v>99</x:v>
      </x:c>
      <x:c r="G186" s="6" t="n">
        <x:f>IF('Debt strategy'!$C$16&gt;0,0,MIN(C186+D186-E186,MAX(0,'Debt strategy'!$C$5-SUM(E186,K186,Q186,W186,AC186)-SUM(IF(L186&lt;F186,I186+J186-K186,0),IF(R186&lt;F186,O186+P186-Q186,0),IF(X186&lt;F186,U186+V186-W186,0),IF(AD186&lt;F186,AA186+AB186-AC186,0)))))</x:f>
        <x:v>0</x:v>
      </x:c>
      <x:c r="H186" s="6" t="n">
        <x:f>ROUND(MAX(0,C186+D186-E186-G186),2)</x:f>
        <x:v>0</x:v>
      </x:c>
      <x:c r="I186" s="6" t="n">
        <x:f>N185</x:f>
        <x:v>0</x:v>
      </x:c>
      <x:c r="J186" s="6" t="n">
        <x:f>ROUND(I186*'Debt strategy'!$D$10/12,2)</x:f>
        <x:v>0</x:v>
      </x:c>
      <x:c r="K186" s="6" t="n">
        <x:f>MIN(I186+J186,'Debt strategy'!$E$10)</x:f>
        <x:v>0</x:v>
      </x:c>
      <x:c r="L186" s="27" t="n">
        <x:f>IF(I186+J186-K186&lt;=0,99,1+SUM(IF(AND(C186+D186-E186&gt;0,OR('Debt strategy'!$D$9&gt;'Debt strategy'!$D$10,AND('Debt strategy'!$D$9='Debt strategy'!$D$10,0&lt;1))),1,0),IF(AND(O186+P186-Q186&gt;0,OR('Debt strategy'!$D$11&gt;'Debt strategy'!$D$10,AND('Debt strategy'!$D$11='Debt strategy'!$D$10,2&lt;1))),1,0),IF(AND(U186+V186-W186&gt;0,OR('Debt strategy'!$D$12&gt;'Debt strategy'!$D$10,AND('Debt strategy'!$D$12='Debt strategy'!$D$10,3&lt;1))),1,0),IF(AND(AA186+AB186-AC186&gt;0,OR('Debt strategy'!$D$13&gt;'Debt strategy'!$D$10,AND('Debt strategy'!$D$13='Debt strategy'!$D$10,4&lt;1))),1,0)))</x:f>
        <x:v>99</x:v>
      </x:c>
      <x:c r="M186" s="6" t="n">
        <x:f>IF('Debt strategy'!$C$16&gt;0,0,MIN(I186+J186-K186,MAX(0,'Debt strategy'!$C$5-SUM(E186,K186,Q186,W186,AC186)-SUM(IF(F186&lt;L186,C186+D186-E186,0),IF(R186&lt;L186,O186+P186-Q186,0),IF(X186&lt;L186,U186+V186-W186,0),IF(AD186&lt;L186,AA186+AB186-AC186,0)))))</x:f>
        <x:v>0</x:v>
      </x:c>
      <x:c r="N186" s="6" t="n">
        <x:f>ROUND(MAX(0,I186+J186-K186-M186),2)</x:f>
        <x:v>0</x:v>
      </x:c>
      <x:c r="O186" s="6" t="n">
        <x:f>T185</x:f>
        <x:v>0</x:v>
      </x:c>
      <x:c r="P186" s="6" t="n">
        <x:f>ROUND(O186*'Debt strategy'!$D$11/12,2)</x:f>
        <x:v>0</x:v>
      </x:c>
      <x:c r="Q186" s="6" t="n">
        <x:f>MIN(O186+P186,'Debt strategy'!$E$11)</x:f>
        <x:v>0</x:v>
      </x:c>
      <x:c r="R186" s="27" t="n">
        <x:f>IF(O186+P186-Q186&lt;=0,99,1+SUM(IF(AND(C186+D186-E186&gt;0,OR('Debt strategy'!$D$9&gt;'Debt strategy'!$D$11,AND('Debt strategy'!$D$9='Debt strategy'!$D$11,0&lt;2))),1,0),IF(AND(I186+J186-K186&gt;0,OR('Debt strategy'!$D$10&gt;'Debt strategy'!$D$11,AND('Debt strategy'!$D$10='Debt strategy'!$D$11,1&lt;2))),1,0),IF(AND(U186+V186-W186&gt;0,OR('Debt strategy'!$D$12&gt;'Debt strategy'!$D$11,AND('Debt strategy'!$D$12='Debt strategy'!$D$11,3&lt;2))),1,0),IF(AND(AA186+AB186-AC186&gt;0,OR('Debt strategy'!$D$13&gt;'Debt strategy'!$D$11,AND('Debt strategy'!$D$13='Debt strategy'!$D$11,4&lt;2))),1,0)))</x:f>
        <x:v>99</x:v>
      </x:c>
      <x:c r="S186" s="6" t="n">
        <x:f>IF('Debt strategy'!$C$16&gt;0,0,MIN(O186+P186-Q186,MAX(0,'Debt strategy'!$C$5-SUM(E186,K186,Q186,W186,AC186)-SUM(IF(F186&lt;R186,C186+D186-E186,0),IF(L186&lt;R186,I186+J186-K186,0),IF(X186&lt;R186,U186+V186-W186,0),IF(AD186&lt;R186,AA186+AB186-AC186,0)))))</x:f>
        <x:v>0</x:v>
      </x:c>
      <x:c r="T186" s="6" t="n">
        <x:f>ROUND(MAX(0,O186+P186-Q186-S186),2)</x:f>
        <x:v>0</x:v>
      </x:c>
      <x:c r="U186" s="6" t="n">
        <x:f>Z185</x:f>
        <x:v>0</x:v>
      </x:c>
      <x:c r="V186" s="6" t="n">
        <x:f>ROUND(U186*'Debt strategy'!$D$12/12,2)</x:f>
        <x:v>0</x:v>
      </x:c>
      <x:c r="W186" s="6" t="n">
        <x:f>MIN(U186+V186,'Debt strategy'!$E$12)</x:f>
        <x:v>0</x:v>
      </x:c>
      <x:c r="X186" s="27" t="n">
        <x:f>IF(U186+V186-W186&lt;=0,99,1+SUM(IF(AND(C186+D186-E186&gt;0,OR('Debt strategy'!$D$9&gt;'Debt strategy'!$D$12,AND('Debt strategy'!$D$9='Debt strategy'!$D$12,0&lt;3))),1,0),IF(AND(I186+J186-K186&gt;0,OR('Debt strategy'!$D$10&gt;'Debt strategy'!$D$12,AND('Debt strategy'!$D$10='Debt strategy'!$D$12,1&lt;3))),1,0),IF(AND(O186+P186-Q186&gt;0,OR('Debt strategy'!$D$11&gt;'Debt strategy'!$D$12,AND('Debt strategy'!$D$11='Debt strategy'!$D$12,2&lt;3))),1,0),IF(AND(AA186+AB186-AC186&gt;0,OR('Debt strategy'!$D$13&gt;'Debt strategy'!$D$12,AND('Debt strategy'!$D$13='Debt strategy'!$D$12,4&lt;3))),1,0)))</x:f>
        <x:v>99</x:v>
      </x:c>
      <x:c r="Y186" s="6" t="n">
        <x:f>IF('Debt strategy'!$C$16&gt;0,0,MIN(U186+V186-W186,MAX(0,'Debt strategy'!$C$5-SUM(E186,K186,Q186,W186,AC186)-SUM(IF(F186&lt;X186,C186+D186-E186,0),IF(L186&lt;X186,I186+J186-K186,0),IF(R186&lt;X186,O186+P186-Q186,0),IF(AD186&lt;X186,AA186+AB186-AC186,0)))))</x:f>
        <x:v>0</x:v>
      </x:c>
      <x:c r="Z186" s="6" t="n">
        <x:f>ROUND(MAX(0,U186+V186-W186-Y186),2)</x:f>
        <x:v>0</x:v>
      </x:c>
      <x:c r="AA186" s="6" t="n">
        <x:f>AF185</x:f>
        <x:v>0</x:v>
      </x:c>
      <x:c r="AB186" s="6" t="n">
        <x:f>ROUND(AA186*'Debt strategy'!$D$13/12,2)</x:f>
        <x:v>0</x:v>
      </x:c>
      <x:c r="AC186" s="6" t="n">
        <x:f>MIN(AA186+AB186,'Debt strategy'!$E$13)</x:f>
        <x:v>0</x:v>
      </x:c>
      <x:c r="AD186" s="27" t="n">
        <x:f>IF(AA186+AB186-AC186&lt;=0,99,1+SUM(IF(AND(C186+D186-E186&gt;0,OR('Debt strategy'!$D$9&gt;'Debt strategy'!$D$13,AND('Debt strategy'!$D$9='Debt strategy'!$D$13,0&lt;4))),1,0),IF(AND(I186+J186-K186&gt;0,OR('Debt strategy'!$D$10&gt;'Debt strategy'!$D$13,AND('Debt strategy'!$D$10='Debt strategy'!$D$13,1&lt;4))),1,0),IF(AND(O186+P186-Q186&gt;0,OR('Debt strategy'!$D$11&gt;'Debt strategy'!$D$13,AND('Debt strategy'!$D$11='Debt strategy'!$D$13,2&lt;4))),1,0),IF(AND(U186+V186-W186&gt;0,OR('Debt strategy'!$D$12&gt;'Debt strategy'!$D$13,AND('Debt strategy'!$D$12='Debt strategy'!$D$13,3&lt;4))),1,0)))</x:f>
        <x:v>99</x:v>
      </x:c>
      <x:c r="AE186" s="6" t="n">
        <x:f>IF('Debt strategy'!$C$16&gt;0,0,MIN(AA186+AB186-AC186,MAX(0,'Debt strategy'!$C$5-SUM(E186,K186,Q186,W186,AC186)-SUM(IF(F186&lt;AD186,C186+D186-E186,0),IF(L186&lt;AD186,I186+J186-K186,0),IF(R186&lt;AD186,O186+P186-Q186,0),IF(X186&lt;AD186,U186+V186-W186,0)))))</x:f>
        <x:v>0</x:v>
      </x:c>
      <x:c r="AF186" s="6" t="n">
        <x:f>ROUND(MAX(0,AA186+AB186-AC186-AE186),2)</x:f>
        <x:v>0</x:v>
      </x:c>
      <x:c r="AG186" s="6" t="n">
        <x:f>SUM(H186,N186,T186,Z186,AF186)</x:f>
        <x:v>0</x:v>
      </x:c>
      <x:c r="AH186" s="6" t="n">
        <x:f>SUM(D186,J186,P186,V186,AB186)+AH185</x:f>
        <x:v>1220.8400000000001</x:v>
      </x:c>
      <x:c r="AI186" s="2"/>
    </x:row>
    <x:row r="187" ht="23" customHeight="1">
      <x:c r="B187" s="2" t="n">
        <x:f>179</x:f>
        <x:v>179</x:v>
      </x:c>
      <x:c r="C187" s="6" t="n">
        <x:f>H186</x:f>
        <x:v>0</x:v>
      </x:c>
      <x:c r="D187" s="6" t="n">
        <x:f>ROUND(C187*'Debt strategy'!$D$9/12,2)</x:f>
        <x:v>0</x:v>
      </x:c>
      <x:c r="E187" s="6" t="n">
        <x:f>MIN(C187+D187,'Debt strategy'!$E$9)</x:f>
        <x:v>0</x:v>
      </x:c>
      <x:c r="F187" s="27" t="n">
        <x:f>IF(C187+D187-E187&lt;=0,99,1+SUM(IF(AND(I187+J187-K187&gt;0,OR('Debt strategy'!$D$10&gt;'Debt strategy'!$D$9,AND('Debt strategy'!$D$10='Debt strategy'!$D$9,1&lt;0))),1,0),IF(AND(O187+P187-Q187&gt;0,OR('Debt strategy'!$D$11&gt;'Debt strategy'!$D$9,AND('Debt strategy'!$D$11='Debt strategy'!$D$9,2&lt;0))),1,0),IF(AND(U187+V187-W187&gt;0,OR('Debt strategy'!$D$12&gt;'Debt strategy'!$D$9,AND('Debt strategy'!$D$12='Debt strategy'!$D$9,3&lt;0))),1,0),IF(AND(AA187+AB187-AC187&gt;0,OR('Debt strategy'!$D$13&gt;'Debt strategy'!$D$9,AND('Debt strategy'!$D$13='Debt strategy'!$D$9,4&lt;0))),1,0)))</x:f>
        <x:v>99</x:v>
      </x:c>
      <x:c r="G187" s="6" t="n">
        <x:f>IF('Debt strategy'!$C$16&gt;0,0,MIN(C187+D187-E187,MAX(0,'Debt strategy'!$C$5-SUM(E187,K187,Q187,W187,AC187)-SUM(IF(L187&lt;F187,I187+J187-K187,0),IF(R187&lt;F187,O187+P187-Q187,0),IF(X187&lt;F187,U187+V187-W187,0),IF(AD187&lt;F187,AA187+AB187-AC187,0)))))</x:f>
        <x:v>0</x:v>
      </x:c>
      <x:c r="H187" s="6" t="n">
        <x:f>ROUND(MAX(0,C187+D187-E187-G187),2)</x:f>
        <x:v>0</x:v>
      </x:c>
      <x:c r="I187" s="6" t="n">
        <x:f>N186</x:f>
        <x:v>0</x:v>
      </x:c>
      <x:c r="J187" s="6" t="n">
        <x:f>ROUND(I187*'Debt strategy'!$D$10/12,2)</x:f>
        <x:v>0</x:v>
      </x:c>
      <x:c r="K187" s="6" t="n">
        <x:f>MIN(I187+J187,'Debt strategy'!$E$10)</x:f>
        <x:v>0</x:v>
      </x:c>
      <x:c r="L187" s="27" t="n">
        <x:f>IF(I187+J187-K187&lt;=0,99,1+SUM(IF(AND(C187+D187-E187&gt;0,OR('Debt strategy'!$D$9&gt;'Debt strategy'!$D$10,AND('Debt strategy'!$D$9='Debt strategy'!$D$10,0&lt;1))),1,0),IF(AND(O187+P187-Q187&gt;0,OR('Debt strategy'!$D$11&gt;'Debt strategy'!$D$10,AND('Debt strategy'!$D$11='Debt strategy'!$D$10,2&lt;1))),1,0),IF(AND(U187+V187-W187&gt;0,OR('Debt strategy'!$D$12&gt;'Debt strategy'!$D$10,AND('Debt strategy'!$D$12='Debt strategy'!$D$10,3&lt;1))),1,0),IF(AND(AA187+AB187-AC187&gt;0,OR('Debt strategy'!$D$13&gt;'Debt strategy'!$D$10,AND('Debt strategy'!$D$13='Debt strategy'!$D$10,4&lt;1))),1,0)))</x:f>
        <x:v>99</x:v>
      </x:c>
      <x:c r="M187" s="6" t="n">
        <x:f>IF('Debt strategy'!$C$16&gt;0,0,MIN(I187+J187-K187,MAX(0,'Debt strategy'!$C$5-SUM(E187,K187,Q187,W187,AC187)-SUM(IF(F187&lt;L187,C187+D187-E187,0),IF(R187&lt;L187,O187+P187-Q187,0),IF(X187&lt;L187,U187+V187-W187,0),IF(AD187&lt;L187,AA187+AB187-AC187,0)))))</x:f>
        <x:v>0</x:v>
      </x:c>
      <x:c r="N187" s="6" t="n">
        <x:f>ROUND(MAX(0,I187+J187-K187-M187),2)</x:f>
        <x:v>0</x:v>
      </x:c>
      <x:c r="O187" s="6" t="n">
        <x:f>T186</x:f>
        <x:v>0</x:v>
      </x:c>
      <x:c r="P187" s="6" t="n">
        <x:f>ROUND(O187*'Debt strategy'!$D$11/12,2)</x:f>
        <x:v>0</x:v>
      </x:c>
      <x:c r="Q187" s="6" t="n">
        <x:f>MIN(O187+P187,'Debt strategy'!$E$11)</x:f>
        <x:v>0</x:v>
      </x:c>
      <x:c r="R187" s="27" t="n">
        <x:f>IF(O187+P187-Q187&lt;=0,99,1+SUM(IF(AND(C187+D187-E187&gt;0,OR('Debt strategy'!$D$9&gt;'Debt strategy'!$D$11,AND('Debt strategy'!$D$9='Debt strategy'!$D$11,0&lt;2))),1,0),IF(AND(I187+J187-K187&gt;0,OR('Debt strategy'!$D$10&gt;'Debt strategy'!$D$11,AND('Debt strategy'!$D$10='Debt strategy'!$D$11,1&lt;2))),1,0),IF(AND(U187+V187-W187&gt;0,OR('Debt strategy'!$D$12&gt;'Debt strategy'!$D$11,AND('Debt strategy'!$D$12='Debt strategy'!$D$11,3&lt;2))),1,0),IF(AND(AA187+AB187-AC187&gt;0,OR('Debt strategy'!$D$13&gt;'Debt strategy'!$D$11,AND('Debt strategy'!$D$13='Debt strategy'!$D$11,4&lt;2))),1,0)))</x:f>
        <x:v>99</x:v>
      </x:c>
      <x:c r="S187" s="6" t="n">
        <x:f>IF('Debt strategy'!$C$16&gt;0,0,MIN(O187+P187-Q187,MAX(0,'Debt strategy'!$C$5-SUM(E187,K187,Q187,W187,AC187)-SUM(IF(F187&lt;R187,C187+D187-E187,0),IF(L187&lt;R187,I187+J187-K187,0),IF(X187&lt;R187,U187+V187-W187,0),IF(AD187&lt;R187,AA187+AB187-AC187,0)))))</x:f>
        <x:v>0</x:v>
      </x:c>
      <x:c r="T187" s="6" t="n">
        <x:f>ROUND(MAX(0,O187+P187-Q187-S187),2)</x:f>
        <x:v>0</x:v>
      </x:c>
      <x:c r="U187" s="6" t="n">
        <x:f>Z186</x:f>
        <x:v>0</x:v>
      </x:c>
      <x:c r="V187" s="6" t="n">
        <x:f>ROUND(U187*'Debt strategy'!$D$12/12,2)</x:f>
        <x:v>0</x:v>
      </x:c>
      <x:c r="W187" s="6" t="n">
        <x:f>MIN(U187+V187,'Debt strategy'!$E$12)</x:f>
        <x:v>0</x:v>
      </x:c>
      <x:c r="X187" s="27" t="n">
        <x:f>IF(U187+V187-W187&lt;=0,99,1+SUM(IF(AND(C187+D187-E187&gt;0,OR('Debt strategy'!$D$9&gt;'Debt strategy'!$D$12,AND('Debt strategy'!$D$9='Debt strategy'!$D$12,0&lt;3))),1,0),IF(AND(I187+J187-K187&gt;0,OR('Debt strategy'!$D$10&gt;'Debt strategy'!$D$12,AND('Debt strategy'!$D$10='Debt strategy'!$D$12,1&lt;3))),1,0),IF(AND(O187+P187-Q187&gt;0,OR('Debt strategy'!$D$11&gt;'Debt strategy'!$D$12,AND('Debt strategy'!$D$11='Debt strategy'!$D$12,2&lt;3))),1,0),IF(AND(AA187+AB187-AC187&gt;0,OR('Debt strategy'!$D$13&gt;'Debt strategy'!$D$12,AND('Debt strategy'!$D$13='Debt strategy'!$D$12,4&lt;3))),1,0)))</x:f>
        <x:v>99</x:v>
      </x:c>
      <x:c r="Y187" s="6" t="n">
        <x:f>IF('Debt strategy'!$C$16&gt;0,0,MIN(U187+V187-W187,MAX(0,'Debt strategy'!$C$5-SUM(E187,K187,Q187,W187,AC187)-SUM(IF(F187&lt;X187,C187+D187-E187,0),IF(L187&lt;X187,I187+J187-K187,0),IF(R187&lt;X187,O187+P187-Q187,0),IF(AD187&lt;X187,AA187+AB187-AC187,0)))))</x:f>
        <x:v>0</x:v>
      </x:c>
      <x:c r="Z187" s="6" t="n">
        <x:f>ROUND(MAX(0,U187+V187-W187-Y187),2)</x:f>
        <x:v>0</x:v>
      </x:c>
      <x:c r="AA187" s="6" t="n">
        <x:f>AF186</x:f>
        <x:v>0</x:v>
      </x:c>
      <x:c r="AB187" s="6" t="n">
        <x:f>ROUND(AA187*'Debt strategy'!$D$13/12,2)</x:f>
        <x:v>0</x:v>
      </x:c>
      <x:c r="AC187" s="6" t="n">
        <x:f>MIN(AA187+AB187,'Debt strategy'!$E$13)</x:f>
        <x:v>0</x:v>
      </x:c>
      <x:c r="AD187" s="27" t="n">
        <x:f>IF(AA187+AB187-AC187&lt;=0,99,1+SUM(IF(AND(C187+D187-E187&gt;0,OR('Debt strategy'!$D$9&gt;'Debt strategy'!$D$13,AND('Debt strategy'!$D$9='Debt strategy'!$D$13,0&lt;4))),1,0),IF(AND(I187+J187-K187&gt;0,OR('Debt strategy'!$D$10&gt;'Debt strategy'!$D$13,AND('Debt strategy'!$D$10='Debt strategy'!$D$13,1&lt;4))),1,0),IF(AND(O187+P187-Q187&gt;0,OR('Debt strategy'!$D$11&gt;'Debt strategy'!$D$13,AND('Debt strategy'!$D$11='Debt strategy'!$D$13,2&lt;4))),1,0),IF(AND(U187+V187-W187&gt;0,OR('Debt strategy'!$D$12&gt;'Debt strategy'!$D$13,AND('Debt strategy'!$D$12='Debt strategy'!$D$13,3&lt;4))),1,0)))</x:f>
        <x:v>99</x:v>
      </x:c>
      <x:c r="AE187" s="6" t="n">
        <x:f>IF('Debt strategy'!$C$16&gt;0,0,MIN(AA187+AB187-AC187,MAX(0,'Debt strategy'!$C$5-SUM(E187,K187,Q187,W187,AC187)-SUM(IF(F187&lt;AD187,C187+D187-E187,0),IF(L187&lt;AD187,I187+J187-K187,0),IF(R187&lt;AD187,O187+P187-Q187,0),IF(X187&lt;AD187,U187+V187-W187,0)))))</x:f>
        <x:v>0</x:v>
      </x:c>
      <x:c r="AF187" s="6" t="n">
        <x:f>ROUND(MAX(0,AA187+AB187-AC187-AE187),2)</x:f>
        <x:v>0</x:v>
      </x:c>
      <x:c r="AG187" s="6" t="n">
        <x:f>SUM(H187,N187,T187,Z187,AF187)</x:f>
        <x:v>0</x:v>
      </x:c>
      <x:c r="AH187" s="6" t="n">
        <x:f>SUM(D187,J187,P187,V187,AB187)+AH186</x:f>
        <x:v>1220.8400000000001</x:v>
      </x:c>
      <x:c r="AI187" s="2"/>
    </x:row>
    <x:row r="188" ht="23" customHeight="1">
      <x:c r="B188" s="2" t="n">
        <x:f>180</x:f>
        <x:v>180</x:v>
      </x:c>
      <x:c r="C188" s="6" t="n">
        <x:f>H187</x:f>
        <x:v>0</x:v>
      </x:c>
      <x:c r="D188" s="6" t="n">
        <x:f>ROUND(C188*'Debt strategy'!$D$9/12,2)</x:f>
        <x:v>0</x:v>
      </x:c>
      <x:c r="E188" s="6" t="n">
        <x:f>MIN(C188+D188,'Debt strategy'!$E$9)</x:f>
        <x:v>0</x:v>
      </x:c>
      <x:c r="F188" s="27" t="n">
        <x:f>IF(C188+D188-E188&lt;=0,99,1+SUM(IF(AND(I188+J188-K188&gt;0,OR('Debt strategy'!$D$10&gt;'Debt strategy'!$D$9,AND('Debt strategy'!$D$10='Debt strategy'!$D$9,1&lt;0))),1,0),IF(AND(O188+P188-Q188&gt;0,OR('Debt strategy'!$D$11&gt;'Debt strategy'!$D$9,AND('Debt strategy'!$D$11='Debt strategy'!$D$9,2&lt;0))),1,0),IF(AND(U188+V188-W188&gt;0,OR('Debt strategy'!$D$12&gt;'Debt strategy'!$D$9,AND('Debt strategy'!$D$12='Debt strategy'!$D$9,3&lt;0))),1,0),IF(AND(AA188+AB188-AC188&gt;0,OR('Debt strategy'!$D$13&gt;'Debt strategy'!$D$9,AND('Debt strategy'!$D$13='Debt strategy'!$D$9,4&lt;0))),1,0)))</x:f>
        <x:v>99</x:v>
      </x:c>
      <x:c r="G188" s="6" t="n">
        <x:f>IF('Debt strategy'!$C$16&gt;0,0,MIN(C188+D188-E188,MAX(0,'Debt strategy'!$C$5-SUM(E188,K188,Q188,W188,AC188)-SUM(IF(L188&lt;F188,I188+J188-K188,0),IF(R188&lt;F188,O188+P188-Q188,0),IF(X188&lt;F188,U188+V188-W188,0),IF(AD188&lt;F188,AA188+AB188-AC188,0)))))</x:f>
        <x:v>0</x:v>
      </x:c>
      <x:c r="H188" s="6" t="n">
        <x:f>ROUND(MAX(0,C188+D188-E188-G188),2)</x:f>
        <x:v>0</x:v>
      </x:c>
      <x:c r="I188" s="6" t="n">
        <x:f>N187</x:f>
        <x:v>0</x:v>
      </x:c>
      <x:c r="J188" s="6" t="n">
        <x:f>ROUND(I188*'Debt strategy'!$D$10/12,2)</x:f>
        <x:v>0</x:v>
      </x:c>
      <x:c r="K188" s="6" t="n">
        <x:f>MIN(I188+J188,'Debt strategy'!$E$10)</x:f>
        <x:v>0</x:v>
      </x:c>
      <x:c r="L188" s="27" t="n">
        <x:f>IF(I188+J188-K188&lt;=0,99,1+SUM(IF(AND(C188+D188-E188&gt;0,OR('Debt strategy'!$D$9&gt;'Debt strategy'!$D$10,AND('Debt strategy'!$D$9='Debt strategy'!$D$10,0&lt;1))),1,0),IF(AND(O188+P188-Q188&gt;0,OR('Debt strategy'!$D$11&gt;'Debt strategy'!$D$10,AND('Debt strategy'!$D$11='Debt strategy'!$D$10,2&lt;1))),1,0),IF(AND(U188+V188-W188&gt;0,OR('Debt strategy'!$D$12&gt;'Debt strategy'!$D$10,AND('Debt strategy'!$D$12='Debt strategy'!$D$10,3&lt;1))),1,0),IF(AND(AA188+AB188-AC188&gt;0,OR('Debt strategy'!$D$13&gt;'Debt strategy'!$D$10,AND('Debt strategy'!$D$13='Debt strategy'!$D$10,4&lt;1))),1,0)))</x:f>
        <x:v>99</x:v>
      </x:c>
      <x:c r="M188" s="6" t="n">
        <x:f>IF('Debt strategy'!$C$16&gt;0,0,MIN(I188+J188-K188,MAX(0,'Debt strategy'!$C$5-SUM(E188,K188,Q188,W188,AC188)-SUM(IF(F188&lt;L188,C188+D188-E188,0),IF(R188&lt;L188,O188+P188-Q188,0),IF(X188&lt;L188,U188+V188-W188,0),IF(AD188&lt;L188,AA188+AB188-AC188,0)))))</x:f>
        <x:v>0</x:v>
      </x:c>
      <x:c r="N188" s="6" t="n">
        <x:f>ROUND(MAX(0,I188+J188-K188-M188),2)</x:f>
        <x:v>0</x:v>
      </x:c>
      <x:c r="O188" s="6" t="n">
        <x:f>T187</x:f>
        <x:v>0</x:v>
      </x:c>
      <x:c r="P188" s="6" t="n">
        <x:f>ROUND(O188*'Debt strategy'!$D$11/12,2)</x:f>
        <x:v>0</x:v>
      </x:c>
      <x:c r="Q188" s="6" t="n">
        <x:f>MIN(O188+P188,'Debt strategy'!$E$11)</x:f>
        <x:v>0</x:v>
      </x:c>
      <x:c r="R188" s="27" t="n">
        <x:f>IF(O188+P188-Q188&lt;=0,99,1+SUM(IF(AND(C188+D188-E188&gt;0,OR('Debt strategy'!$D$9&gt;'Debt strategy'!$D$11,AND('Debt strategy'!$D$9='Debt strategy'!$D$11,0&lt;2))),1,0),IF(AND(I188+J188-K188&gt;0,OR('Debt strategy'!$D$10&gt;'Debt strategy'!$D$11,AND('Debt strategy'!$D$10='Debt strategy'!$D$11,1&lt;2))),1,0),IF(AND(U188+V188-W188&gt;0,OR('Debt strategy'!$D$12&gt;'Debt strategy'!$D$11,AND('Debt strategy'!$D$12='Debt strategy'!$D$11,3&lt;2))),1,0),IF(AND(AA188+AB188-AC188&gt;0,OR('Debt strategy'!$D$13&gt;'Debt strategy'!$D$11,AND('Debt strategy'!$D$13='Debt strategy'!$D$11,4&lt;2))),1,0)))</x:f>
        <x:v>99</x:v>
      </x:c>
      <x:c r="S188" s="6" t="n">
        <x:f>IF('Debt strategy'!$C$16&gt;0,0,MIN(O188+P188-Q188,MAX(0,'Debt strategy'!$C$5-SUM(E188,K188,Q188,W188,AC188)-SUM(IF(F188&lt;R188,C188+D188-E188,0),IF(L188&lt;R188,I188+J188-K188,0),IF(X188&lt;R188,U188+V188-W188,0),IF(AD188&lt;R188,AA188+AB188-AC188,0)))))</x:f>
        <x:v>0</x:v>
      </x:c>
      <x:c r="T188" s="6" t="n">
        <x:f>ROUND(MAX(0,O188+P188-Q188-S188),2)</x:f>
        <x:v>0</x:v>
      </x:c>
      <x:c r="U188" s="6" t="n">
        <x:f>Z187</x:f>
        <x:v>0</x:v>
      </x:c>
      <x:c r="V188" s="6" t="n">
        <x:f>ROUND(U188*'Debt strategy'!$D$12/12,2)</x:f>
        <x:v>0</x:v>
      </x:c>
      <x:c r="W188" s="6" t="n">
        <x:f>MIN(U188+V188,'Debt strategy'!$E$12)</x:f>
        <x:v>0</x:v>
      </x:c>
      <x:c r="X188" s="27" t="n">
        <x:f>IF(U188+V188-W188&lt;=0,99,1+SUM(IF(AND(C188+D188-E188&gt;0,OR('Debt strategy'!$D$9&gt;'Debt strategy'!$D$12,AND('Debt strategy'!$D$9='Debt strategy'!$D$12,0&lt;3))),1,0),IF(AND(I188+J188-K188&gt;0,OR('Debt strategy'!$D$10&gt;'Debt strategy'!$D$12,AND('Debt strategy'!$D$10='Debt strategy'!$D$12,1&lt;3))),1,0),IF(AND(O188+P188-Q188&gt;0,OR('Debt strategy'!$D$11&gt;'Debt strategy'!$D$12,AND('Debt strategy'!$D$11='Debt strategy'!$D$12,2&lt;3))),1,0),IF(AND(AA188+AB188-AC188&gt;0,OR('Debt strategy'!$D$13&gt;'Debt strategy'!$D$12,AND('Debt strategy'!$D$13='Debt strategy'!$D$12,4&lt;3))),1,0)))</x:f>
        <x:v>99</x:v>
      </x:c>
      <x:c r="Y188" s="6" t="n">
        <x:f>IF('Debt strategy'!$C$16&gt;0,0,MIN(U188+V188-W188,MAX(0,'Debt strategy'!$C$5-SUM(E188,K188,Q188,W188,AC188)-SUM(IF(F188&lt;X188,C188+D188-E188,0),IF(L188&lt;X188,I188+J188-K188,0),IF(R188&lt;X188,O188+P188-Q188,0),IF(AD188&lt;X188,AA188+AB188-AC188,0)))))</x:f>
        <x:v>0</x:v>
      </x:c>
      <x:c r="Z188" s="6" t="n">
        <x:f>ROUND(MAX(0,U188+V188-W188-Y188),2)</x:f>
        <x:v>0</x:v>
      </x:c>
      <x:c r="AA188" s="6" t="n">
        <x:f>AF187</x:f>
        <x:v>0</x:v>
      </x:c>
      <x:c r="AB188" s="6" t="n">
        <x:f>ROUND(AA188*'Debt strategy'!$D$13/12,2)</x:f>
        <x:v>0</x:v>
      </x:c>
      <x:c r="AC188" s="6" t="n">
        <x:f>MIN(AA188+AB188,'Debt strategy'!$E$13)</x:f>
        <x:v>0</x:v>
      </x:c>
      <x:c r="AD188" s="27" t="n">
        <x:f>IF(AA188+AB188-AC188&lt;=0,99,1+SUM(IF(AND(C188+D188-E188&gt;0,OR('Debt strategy'!$D$9&gt;'Debt strategy'!$D$13,AND('Debt strategy'!$D$9='Debt strategy'!$D$13,0&lt;4))),1,0),IF(AND(I188+J188-K188&gt;0,OR('Debt strategy'!$D$10&gt;'Debt strategy'!$D$13,AND('Debt strategy'!$D$10='Debt strategy'!$D$13,1&lt;4))),1,0),IF(AND(O188+P188-Q188&gt;0,OR('Debt strategy'!$D$11&gt;'Debt strategy'!$D$13,AND('Debt strategy'!$D$11='Debt strategy'!$D$13,2&lt;4))),1,0),IF(AND(U188+V188-W188&gt;0,OR('Debt strategy'!$D$12&gt;'Debt strategy'!$D$13,AND('Debt strategy'!$D$12='Debt strategy'!$D$13,3&lt;4))),1,0)))</x:f>
        <x:v>99</x:v>
      </x:c>
      <x:c r="AE188" s="6" t="n">
        <x:f>IF('Debt strategy'!$C$16&gt;0,0,MIN(AA188+AB188-AC188,MAX(0,'Debt strategy'!$C$5-SUM(E188,K188,Q188,W188,AC188)-SUM(IF(F188&lt;AD188,C188+D188-E188,0),IF(L188&lt;AD188,I188+J188-K188,0),IF(R188&lt;AD188,O188+P188-Q188,0),IF(X188&lt;AD188,U188+V188-W188,0)))))</x:f>
        <x:v>0</x:v>
      </x:c>
      <x:c r="AF188" s="6" t="n">
        <x:f>ROUND(MAX(0,AA188+AB188-AC188-AE188),2)</x:f>
        <x:v>0</x:v>
      </x:c>
      <x:c r="AG188" s="6" t="n">
        <x:f>SUM(H188,N188,T188,Z188,AF188)</x:f>
        <x:v>0</x:v>
      </x:c>
      <x:c r="AH188" s="6" t="n">
        <x:f>SUM(D188,J188,P188,V188,AB188)+AH187</x:f>
        <x:v>1220.8400000000001</x:v>
      </x:c>
      <x:c r="AI188" s="2"/>
    </x:row>
    <x:row r="189" ht="23" customHeight="1">
      <x:c r="B189" s="2" t="n">
        <x:f>181</x:f>
        <x:v>181</x:v>
      </x:c>
      <x:c r="C189" s="6" t="n">
        <x:f>H188</x:f>
        <x:v>0</x:v>
      </x:c>
      <x:c r="D189" s="6" t="n">
        <x:f>ROUND(C189*'Debt strategy'!$D$9/12,2)</x:f>
        <x:v>0</x:v>
      </x:c>
      <x:c r="E189" s="6" t="n">
        <x:f>MIN(C189+D189,'Debt strategy'!$E$9)</x:f>
        <x:v>0</x:v>
      </x:c>
      <x:c r="F189" s="27" t="n">
        <x:f>IF(C189+D189-E189&lt;=0,99,1+SUM(IF(AND(I189+J189-K189&gt;0,OR('Debt strategy'!$D$10&gt;'Debt strategy'!$D$9,AND('Debt strategy'!$D$10='Debt strategy'!$D$9,1&lt;0))),1,0),IF(AND(O189+P189-Q189&gt;0,OR('Debt strategy'!$D$11&gt;'Debt strategy'!$D$9,AND('Debt strategy'!$D$11='Debt strategy'!$D$9,2&lt;0))),1,0),IF(AND(U189+V189-W189&gt;0,OR('Debt strategy'!$D$12&gt;'Debt strategy'!$D$9,AND('Debt strategy'!$D$12='Debt strategy'!$D$9,3&lt;0))),1,0),IF(AND(AA189+AB189-AC189&gt;0,OR('Debt strategy'!$D$13&gt;'Debt strategy'!$D$9,AND('Debt strategy'!$D$13='Debt strategy'!$D$9,4&lt;0))),1,0)))</x:f>
        <x:v>99</x:v>
      </x:c>
      <x:c r="G189" s="6" t="n">
        <x:f>IF('Debt strategy'!$C$16&gt;0,0,MIN(C189+D189-E189,MAX(0,'Debt strategy'!$C$5-SUM(E189,K189,Q189,W189,AC189)-SUM(IF(L189&lt;F189,I189+J189-K189,0),IF(R189&lt;F189,O189+P189-Q189,0),IF(X189&lt;F189,U189+V189-W189,0),IF(AD189&lt;F189,AA189+AB189-AC189,0)))))</x:f>
        <x:v>0</x:v>
      </x:c>
      <x:c r="H189" s="6" t="n">
        <x:f>ROUND(MAX(0,C189+D189-E189-G189),2)</x:f>
        <x:v>0</x:v>
      </x:c>
      <x:c r="I189" s="6" t="n">
        <x:f>N188</x:f>
        <x:v>0</x:v>
      </x:c>
      <x:c r="J189" s="6" t="n">
        <x:f>ROUND(I189*'Debt strategy'!$D$10/12,2)</x:f>
        <x:v>0</x:v>
      </x:c>
      <x:c r="K189" s="6" t="n">
        <x:f>MIN(I189+J189,'Debt strategy'!$E$10)</x:f>
        <x:v>0</x:v>
      </x:c>
      <x:c r="L189" s="27" t="n">
        <x:f>IF(I189+J189-K189&lt;=0,99,1+SUM(IF(AND(C189+D189-E189&gt;0,OR('Debt strategy'!$D$9&gt;'Debt strategy'!$D$10,AND('Debt strategy'!$D$9='Debt strategy'!$D$10,0&lt;1))),1,0),IF(AND(O189+P189-Q189&gt;0,OR('Debt strategy'!$D$11&gt;'Debt strategy'!$D$10,AND('Debt strategy'!$D$11='Debt strategy'!$D$10,2&lt;1))),1,0),IF(AND(U189+V189-W189&gt;0,OR('Debt strategy'!$D$12&gt;'Debt strategy'!$D$10,AND('Debt strategy'!$D$12='Debt strategy'!$D$10,3&lt;1))),1,0),IF(AND(AA189+AB189-AC189&gt;0,OR('Debt strategy'!$D$13&gt;'Debt strategy'!$D$10,AND('Debt strategy'!$D$13='Debt strategy'!$D$10,4&lt;1))),1,0)))</x:f>
        <x:v>99</x:v>
      </x:c>
      <x:c r="M189" s="6" t="n">
        <x:f>IF('Debt strategy'!$C$16&gt;0,0,MIN(I189+J189-K189,MAX(0,'Debt strategy'!$C$5-SUM(E189,K189,Q189,W189,AC189)-SUM(IF(F189&lt;L189,C189+D189-E189,0),IF(R189&lt;L189,O189+P189-Q189,0),IF(X189&lt;L189,U189+V189-W189,0),IF(AD189&lt;L189,AA189+AB189-AC189,0)))))</x:f>
        <x:v>0</x:v>
      </x:c>
      <x:c r="N189" s="6" t="n">
        <x:f>ROUND(MAX(0,I189+J189-K189-M189),2)</x:f>
        <x:v>0</x:v>
      </x:c>
      <x:c r="O189" s="6" t="n">
        <x:f>T188</x:f>
        <x:v>0</x:v>
      </x:c>
      <x:c r="P189" s="6" t="n">
        <x:f>ROUND(O189*'Debt strategy'!$D$11/12,2)</x:f>
        <x:v>0</x:v>
      </x:c>
      <x:c r="Q189" s="6" t="n">
        <x:f>MIN(O189+P189,'Debt strategy'!$E$11)</x:f>
        <x:v>0</x:v>
      </x:c>
      <x:c r="R189" s="27" t="n">
        <x:f>IF(O189+P189-Q189&lt;=0,99,1+SUM(IF(AND(C189+D189-E189&gt;0,OR('Debt strategy'!$D$9&gt;'Debt strategy'!$D$11,AND('Debt strategy'!$D$9='Debt strategy'!$D$11,0&lt;2))),1,0),IF(AND(I189+J189-K189&gt;0,OR('Debt strategy'!$D$10&gt;'Debt strategy'!$D$11,AND('Debt strategy'!$D$10='Debt strategy'!$D$11,1&lt;2))),1,0),IF(AND(U189+V189-W189&gt;0,OR('Debt strategy'!$D$12&gt;'Debt strategy'!$D$11,AND('Debt strategy'!$D$12='Debt strategy'!$D$11,3&lt;2))),1,0),IF(AND(AA189+AB189-AC189&gt;0,OR('Debt strategy'!$D$13&gt;'Debt strategy'!$D$11,AND('Debt strategy'!$D$13='Debt strategy'!$D$11,4&lt;2))),1,0)))</x:f>
        <x:v>99</x:v>
      </x:c>
      <x:c r="S189" s="6" t="n">
        <x:f>IF('Debt strategy'!$C$16&gt;0,0,MIN(O189+P189-Q189,MAX(0,'Debt strategy'!$C$5-SUM(E189,K189,Q189,W189,AC189)-SUM(IF(F189&lt;R189,C189+D189-E189,0),IF(L189&lt;R189,I189+J189-K189,0),IF(X189&lt;R189,U189+V189-W189,0),IF(AD189&lt;R189,AA189+AB189-AC189,0)))))</x:f>
        <x:v>0</x:v>
      </x:c>
      <x:c r="T189" s="6" t="n">
        <x:f>ROUND(MAX(0,O189+P189-Q189-S189),2)</x:f>
        <x:v>0</x:v>
      </x:c>
      <x:c r="U189" s="6" t="n">
        <x:f>Z188</x:f>
        <x:v>0</x:v>
      </x:c>
      <x:c r="V189" s="6" t="n">
        <x:f>ROUND(U189*'Debt strategy'!$D$12/12,2)</x:f>
        <x:v>0</x:v>
      </x:c>
      <x:c r="W189" s="6" t="n">
        <x:f>MIN(U189+V189,'Debt strategy'!$E$12)</x:f>
        <x:v>0</x:v>
      </x:c>
      <x:c r="X189" s="27" t="n">
        <x:f>IF(U189+V189-W189&lt;=0,99,1+SUM(IF(AND(C189+D189-E189&gt;0,OR('Debt strategy'!$D$9&gt;'Debt strategy'!$D$12,AND('Debt strategy'!$D$9='Debt strategy'!$D$12,0&lt;3))),1,0),IF(AND(I189+J189-K189&gt;0,OR('Debt strategy'!$D$10&gt;'Debt strategy'!$D$12,AND('Debt strategy'!$D$10='Debt strategy'!$D$12,1&lt;3))),1,0),IF(AND(O189+P189-Q189&gt;0,OR('Debt strategy'!$D$11&gt;'Debt strategy'!$D$12,AND('Debt strategy'!$D$11='Debt strategy'!$D$12,2&lt;3))),1,0),IF(AND(AA189+AB189-AC189&gt;0,OR('Debt strategy'!$D$13&gt;'Debt strategy'!$D$12,AND('Debt strategy'!$D$13='Debt strategy'!$D$12,4&lt;3))),1,0)))</x:f>
        <x:v>99</x:v>
      </x:c>
      <x:c r="Y189" s="6" t="n">
        <x:f>IF('Debt strategy'!$C$16&gt;0,0,MIN(U189+V189-W189,MAX(0,'Debt strategy'!$C$5-SUM(E189,K189,Q189,W189,AC189)-SUM(IF(F189&lt;X189,C189+D189-E189,0),IF(L189&lt;X189,I189+J189-K189,0),IF(R189&lt;X189,O189+P189-Q189,0),IF(AD189&lt;X189,AA189+AB189-AC189,0)))))</x:f>
        <x:v>0</x:v>
      </x:c>
      <x:c r="Z189" s="6" t="n">
        <x:f>ROUND(MAX(0,U189+V189-W189-Y189),2)</x:f>
        <x:v>0</x:v>
      </x:c>
      <x:c r="AA189" s="6" t="n">
        <x:f>AF188</x:f>
        <x:v>0</x:v>
      </x:c>
      <x:c r="AB189" s="6" t="n">
        <x:f>ROUND(AA189*'Debt strategy'!$D$13/12,2)</x:f>
        <x:v>0</x:v>
      </x:c>
      <x:c r="AC189" s="6" t="n">
        <x:f>MIN(AA189+AB189,'Debt strategy'!$E$13)</x:f>
        <x:v>0</x:v>
      </x:c>
      <x:c r="AD189" s="27" t="n">
        <x:f>IF(AA189+AB189-AC189&lt;=0,99,1+SUM(IF(AND(C189+D189-E189&gt;0,OR('Debt strategy'!$D$9&gt;'Debt strategy'!$D$13,AND('Debt strategy'!$D$9='Debt strategy'!$D$13,0&lt;4))),1,0),IF(AND(I189+J189-K189&gt;0,OR('Debt strategy'!$D$10&gt;'Debt strategy'!$D$13,AND('Debt strategy'!$D$10='Debt strategy'!$D$13,1&lt;4))),1,0),IF(AND(O189+P189-Q189&gt;0,OR('Debt strategy'!$D$11&gt;'Debt strategy'!$D$13,AND('Debt strategy'!$D$11='Debt strategy'!$D$13,2&lt;4))),1,0),IF(AND(U189+V189-W189&gt;0,OR('Debt strategy'!$D$12&gt;'Debt strategy'!$D$13,AND('Debt strategy'!$D$12='Debt strategy'!$D$13,3&lt;4))),1,0)))</x:f>
        <x:v>99</x:v>
      </x:c>
      <x:c r="AE189" s="6" t="n">
        <x:f>IF('Debt strategy'!$C$16&gt;0,0,MIN(AA189+AB189-AC189,MAX(0,'Debt strategy'!$C$5-SUM(E189,K189,Q189,W189,AC189)-SUM(IF(F189&lt;AD189,C189+D189-E189,0),IF(L189&lt;AD189,I189+J189-K189,0),IF(R189&lt;AD189,O189+P189-Q189,0),IF(X189&lt;AD189,U189+V189-W189,0)))))</x:f>
        <x:v>0</x:v>
      </x:c>
      <x:c r="AF189" s="6" t="n">
        <x:f>ROUND(MAX(0,AA189+AB189-AC189-AE189),2)</x:f>
        <x:v>0</x:v>
      </x:c>
      <x:c r="AG189" s="6" t="n">
        <x:f>SUM(H189,N189,T189,Z189,AF189)</x:f>
        <x:v>0</x:v>
      </x:c>
      <x:c r="AH189" s="6" t="n">
        <x:f>SUM(D189,J189,P189,V189,AB189)+AH188</x:f>
        <x:v>1220.8400000000001</x:v>
      </x:c>
      <x:c r="AI189" s="2"/>
    </x:row>
    <x:row r="190" ht="23" customHeight="1">
      <x:c r="B190" s="2" t="n">
        <x:f>182</x:f>
        <x:v>182</x:v>
      </x:c>
      <x:c r="C190" s="6" t="n">
        <x:f>H189</x:f>
        <x:v>0</x:v>
      </x:c>
      <x:c r="D190" s="6" t="n">
        <x:f>ROUND(C190*'Debt strategy'!$D$9/12,2)</x:f>
        <x:v>0</x:v>
      </x:c>
      <x:c r="E190" s="6" t="n">
        <x:f>MIN(C190+D190,'Debt strategy'!$E$9)</x:f>
        <x:v>0</x:v>
      </x:c>
      <x:c r="F190" s="27" t="n">
        <x:f>IF(C190+D190-E190&lt;=0,99,1+SUM(IF(AND(I190+J190-K190&gt;0,OR('Debt strategy'!$D$10&gt;'Debt strategy'!$D$9,AND('Debt strategy'!$D$10='Debt strategy'!$D$9,1&lt;0))),1,0),IF(AND(O190+P190-Q190&gt;0,OR('Debt strategy'!$D$11&gt;'Debt strategy'!$D$9,AND('Debt strategy'!$D$11='Debt strategy'!$D$9,2&lt;0))),1,0),IF(AND(U190+V190-W190&gt;0,OR('Debt strategy'!$D$12&gt;'Debt strategy'!$D$9,AND('Debt strategy'!$D$12='Debt strategy'!$D$9,3&lt;0))),1,0),IF(AND(AA190+AB190-AC190&gt;0,OR('Debt strategy'!$D$13&gt;'Debt strategy'!$D$9,AND('Debt strategy'!$D$13='Debt strategy'!$D$9,4&lt;0))),1,0)))</x:f>
        <x:v>99</x:v>
      </x:c>
      <x:c r="G190" s="6" t="n">
        <x:f>IF('Debt strategy'!$C$16&gt;0,0,MIN(C190+D190-E190,MAX(0,'Debt strategy'!$C$5-SUM(E190,K190,Q190,W190,AC190)-SUM(IF(L190&lt;F190,I190+J190-K190,0),IF(R190&lt;F190,O190+P190-Q190,0),IF(X190&lt;F190,U190+V190-W190,0),IF(AD190&lt;F190,AA190+AB190-AC190,0)))))</x:f>
        <x:v>0</x:v>
      </x:c>
      <x:c r="H190" s="6" t="n">
        <x:f>ROUND(MAX(0,C190+D190-E190-G190),2)</x:f>
        <x:v>0</x:v>
      </x:c>
      <x:c r="I190" s="6" t="n">
        <x:f>N189</x:f>
        <x:v>0</x:v>
      </x:c>
      <x:c r="J190" s="6" t="n">
        <x:f>ROUND(I190*'Debt strategy'!$D$10/12,2)</x:f>
        <x:v>0</x:v>
      </x:c>
      <x:c r="K190" s="6" t="n">
        <x:f>MIN(I190+J190,'Debt strategy'!$E$10)</x:f>
        <x:v>0</x:v>
      </x:c>
      <x:c r="L190" s="27" t="n">
        <x:f>IF(I190+J190-K190&lt;=0,99,1+SUM(IF(AND(C190+D190-E190&gt;0,OR('Debt strategy'!$D$9&gt;'Debt strategy'!$D$10,AND('Debt strategy'!$D$9='Debt strategy'!$D$10,0&lt;1))),1,0),IF(AND(O190+P190-Q190&gt;0,OR('Debt strategy'!$D$11&gt;'Debt strategy'!$D$10,AND('Debt strategy'!$D$11='Debt strategy'!$D$10,2&lt;1))),1,0),IF(AND(U190+V190-W190&gt;0,OR('Debt strategy'!$D$12&gt;'Debt strategy'!$D$10,AND('Debt strategy'!$D$12='Debt strategy'!$D$10,3&lt;1))),1,0),IF(AND(AA190+AB190-AC190&gt;0,OR('Debt strategy'!$D$13&gt;'Debt strategy'!$D$10,AND('Debt strategy'!$D$13='Debt strategy'!$D$10,4&lt;1))),1,0)))</x:f>
        <x:v>99</x:v>
      </x:c>
      <x:c r="M190" s="6" t="n">
        <x:f>IF('Debt strategy'!$C$16&gt;0,0,MIN(I190+J190-K190,MAX(0,'Debt strategy'!$C$5-SUM(E190,K190,Q190,W190,AC190)-SUM(IF(F190&lt;L190,C190+D190-E190,0),IF(R190&lt;L190,O190+P190-Q190,0),IF(X190&lt;L190,U190+V190-W190,0),IF(AD190&lt;L190,AA190+AB190-AC190,0)))))</x:f>
        <x:v>0</x:v>
      </x:c>
      <x:c r="N190" s="6" t="n">
        <x:f>ROUND(MAX(0,I190+J190-K190-M190),2)</x:f>
        <x:v>0</x:v>
      </x:c>
      <x:c r="O190" s="6" t="n">
        <x:f>T189</x:f>
        <x:v>0</x:v>
      </x:c>
      <x:c r="P190" s="6" t="n">
        <x:f>ROUND(O190*'Debt strategy'!$D$11/12,2)</x:f>
        <x:v>0</x:v>
      </x:c>
      <x:c r="Q190" s="6" t="n">
        <x:f>MIN(O190+P190,'Debt strategy'!$E$11)</x:f>
        <x:v>0</x:v>
      </x:c>
      <x:c r="R190" s="27" t="n">
        <x:f>IF(O190+P190-Q190&lt;=0,99,1+SUM(IF(AND(C190+D190-E190&gt;0,OR('Debt strategy'!$D$9&gt;'Debt strategy'!$D$11,AND('Debt strategy'!$D$9='Debt strategy'!$D$11,0&lt;2))),1,0),IF(AND(I190+J190-K190&gt;0,OR('Debt strategy'!$D$10&gt;'Debt strategy'!$D$11,AND('Debt strategy'!$D$10='Debt strategy'!$D$11,1&lt;2))),1,0),IF(AND(U190+V190-W190&gt;0,OR('Debt strategy'!$D$12&gt;'Debt strategy'!$D$11,AND('Debt strategy'!$D$12='Debt strategy'!$D$11,3&lt;2))),1,0),IF(AND(AA190+AB190-AC190&gt;0,OR('Debt strategy'!$D$13&gt;'Debt strategy'!$D$11,AND('Debt strategy'!$D$13='Debt strategy'!$D$11,4&lt;2))),1,0)))</x:f>
        <x:v>99</x:v>
      </x:c>
      <x:c r="S190" s="6" t="n">
        <x:f>IF('Debt strategy'!$C$16&gt;0,0,MIN(O190+P190-Q190,MAX(0,'Debt strategy'!$C$5-SUM(E190,K190,Q190,W190,AC190)-SUM(IF(F190&lt;R190,C190+D190-E190,0),IF(L190&lt;R190,I190+J190-K190,0),IF(X190&lt;R190,U190+V190-W190,0),IF(AD190&lt;R190,AA190+AB190-AC190,0)))))</x:f>
        <x:v>0</x:v>
      </x:c>
      <x:c r="T190" s="6" t="n">
        <x:f>ROUND(MAX(0,O190+P190-Q190-S190),2)</x:f>
        <x:v>0</x:v>
      </x:c>
      <x:c r="U190" s="6" t="n">
        <x:f>Z189</x:f>
        <x:v>0</x:v>
      </x:c>
      <x:c r="V190" s="6" t="n">
        <x:f>ROUND(U190*'Debt strategy'!$D$12/12,2)</x:f>
        <x:v>0</x:v>
      </x:c>
      <x:c r="W190" s="6" t="n">
        <x:f>MIN(U190+V190,'Debt strategy'!$E$12)</x:f>
        <x:v>0</x:v>
      </x:c>
      <x:c r="X190" s="27" t="n">
        <x:f>IF(U190+V190-W190&lt;=0,99,1+SUM(IF(AND(C190+D190-E190&gt;0,OR('Debt strategy'!$D$9&gt;'Debt strategy'!$D$12,AND('Debt strategy'!$D$9='Debt strategy'!$D$12,0&lt;3))),1,0),IF(AND(I190+J190-K190&gt;0,OR('Debt strategy'!$D$10&gt;'Debt strategy'!$D$12,AND('Debt strategy'!$D$10='Debt strategy'!$D$12,1&lt;3))),1,0),IF(AND(O190+P190-Q190&gt;0,OR('Debt strategy'!$D$11&gt;'Debt strategy'!$D$12,AND('Debt strategy'!$D$11='Debt strategy'!$D$12,2&lt;3))),1,0),IF(AND(AA190+AB190-AC190&gt;0,OR('Debt strategy'!$D$13&gt;'Debt strategy'!$D$12,AND('Debt strategy'!$D$13='Debt strategy'!$D$12,4&lt;3))),1,0)))</x:f>
        <x:v>99</x:v>
      </x:c>
      <x:c r="Y190" s="6" t="n">
        <x:f>IF('Debt strategy'!$C$16&gt;0,0,MIN(U190+V190-W190,MAX(0,'Debt strategy'!$C$5-SUM(E190,K190,Q190,W190,AC190)-SUM(IF(F190&lt;X190,C190+D190-E190,0),IF(L190&lt;X190,I190+J190-K190,0),IF(R190&lt;X190,O190+P190-Q190,0),IF(AD190&lt;X190,AA190+AB190-AC190,0)))))</x:f>
        <x:v>0</x:v>
      </x:c>
      <x:c r="Z190" s="6" t="n">
        <x:f>ROUND(MAX(0,U190+V190-W190-Y190),2)</x:f>
        <x:v>0</x:v>
      </x:c>
      <x:c r="AA190" s="6" t="n">
        <x:f>AF189</x:f>
        <x:v>0</x:v>
      </x:c>
      <x:c r="AB190" s="6" t="n">
        <x:f>ROUND(AA190*'Debt strategy'!$D$13/12,2)</x:f>
        <x:v>0</x:v>
      </x:c>
      <x:c r="AC190" s="6" t="n">
        <x:f>MIN(AA190+AB190,'Debt strategy'!$E$13)</x:f>
        <x:v>0</x:v>
      </x:c>
      <x:c r="AD190" s="27" t="n">
        <x:f>IF(AA190+AB190-AC190&lt;=0,99,1+SUM(IF(AND(C190+D190-E190&gt;0,OR('Debt strategy'!$D$9&gt;'Debt strategy'!$D$13,AND('Debt strategy'!$D$9='Debt strategy'!$D$13,0&lt;4))),1,0),IF(AND(I190+J190-K190&gt;0,OR('Debt strategy'!$D$10&gt;'Debt strategy'!$D$13,AND('Debt strategy'!$D$10='Debt strategy'!$D$13,1&lt;4))),1,0),IF(AND(O190+P190-Q190&gt;0,OR('Debt strategy'!$D$11&gt;'Debt strategy'!$D$13,AND('Debt strategy'!$D$11='Debt strategy'!$D$13,2&lt;4))),1,0),IF(AND(U190+V190-W190&gt;0,OR('Debt strategy'!$D$12&gt;'Debt strategy'!$D$13,AND('Debt strategy'!$D$12='Debt strategy'!$D$13,3&lt;4))),1,0)))</x:f>
        <x:v>99</x:v>
      </x:c>
      <x:c r="AE190" s="6" t="n">
        <x:f>IF('Debt strategy'!$C$16&gt;0,0,MIN(AA190+AB190-AC190,MAX(0,'Debt strategy'!$C$5-SUM(E190,K190,Q190,W190,AC190)-SUM(IF(F190&lt;AD190,C190+D190-E190,0),IF(L190&lt;AD190,I190+J190-K190,0),IF(R190&lt;AD190,O190+P190-Q190,0),IF(X190&lt;AD190,U190+V190-W190,0)))))</x:f>
        <x:v>0</x:v>
      </x:c>
      <x:c r="AF190" s="6" t="n">
        <x:f>ROUND(MAX(0,AA190+AB190-AC190-AE190),2)</x:f>
        <x:v>0</x:v>
      </x:c>
      <x:c r="AG190" s="6" t="n">
        <x:f>SUM(H190,N190,T190,Z190,AF190)</x:f>
        <x:v>0</x:v>
      </x:c>
      <x:c r="AH190" s="6" t="n">
        <x:f>SUM(D190,J190,P190,V190,AB190)+AH189</x:f>
        <x:v>1220.8400000000001</x:v>
      </x:c>
      <x:c r="AI190" s="2"/>
    </x:row>
    <x:row r="191" ht="23" customHeight="1">
      <x:c r="B191" s="2" t="n">
        <x:f>183</x:f>
        <x:v>183</x:v>
      </x:c>
      <x:c r="C191" s="6" t="n">
        <x:f>H190</x:f>
        <x:v>0</x:v>
      </x:c>
      <x:c r="D191" s="6" t="n">
        <x:f>ROUND(C191*'Debt strategy'!$D$9/12,2)</x:f>
        <x:v>0</x:v>
      </x:c>
      <x:c r="E191" s="6" t="n">
        <x:f>MIN(C191+D191,'Debt strategy'!$E$9)</x:f>
        <x:v>0</x:v>
      </x:c>
      <x:c r="F191" s="27" t="n">
        <x:f>IF(C191+D191-E191&lt;=0,99,1+SUM(IF(AND(I191+J191-K191&gt;0,OR('Debt strategy'!$D$10&gt;'Debt strategy'!$D$9,AND('Debt strategy'!$D$10='Debt strategy'!$D$9,1&lt;0))),1,0),IF(AND(O191+P191-Q191&gt;0,OR('Debt strategy'!$D$11&gt;'Debt strategy'!$D$9,AND('Debt strategy'!$D$11='Debt strategy'!$D$9,2&lt;0))),1,0),IF(AND(U191+V191-W191&gt;0,OR('Debt strategy'!$D$12&gt;'Debt strategy'!$D$9,AND('Debt strategy'!$D$12='Debt strategy'!$D$9,3&lt;0))),1,0),IF(AND(AA191+AB191-AC191&gt;0,OR('Debt strategy'!$D$13&gt;'Debt strategy'!$D$9,AND('Debt strategy'!$D$13='Debt strategy'!$D$9,4&lt;0))),1,0)))</x:f>
        <x:v>99</x:v>
      </x:c>
      <x:c r="G191" s="6" t="n">
        <x:f>IF('Debt strategy'!$C$16&gt;0,0,MIN(C191+D191-E191,MAX(0,'Debt strategy'!$C$5-SUM(E191,K191,Q191,W191,AC191)-SUM(IF(L191&lt;F191,I191+J191-K191,0),IF(R191&lt;F191,O191+P191-Q191,0),IF(X191&lt;F191,U191+V191-W191,0),IF(AD191&lt;F191,AA191+AB191-AC191,0)))))</x:f>
        <x:v>0</x:v>
      </x:c>
      <x:c r="H191" s="6" t="n">
        <x:f>ROUND(MAX(0,C191+D191-E191-G191),2)</x:f>
        <x:v>0</x:v>
      </x:c>
      <x:c r="I191" s="6" t="n">
        <x:f>N190</x:f>
        <x:v>0</x:v>
      </x:c>
      <x:c r="J191" s="6" t="n">
        <x:f>ROUND(I191*'Debt strategy'!$D$10/12,2)</x:f>
        <x:v>0</x:v>
      </x:c>
      <x:c r="K191" s="6" t="n">
        <x:f>MIN(I191+J191,'Debt strategy'!$E$10)</x:f>
        <x:v>0</x:v>
      </x:c>
      <x:c r="L191" s="27" t="n">
        <x:f>IF(I191+J191-K191&lt;=0,99,1+SUM(IF(AND(C191+D191-E191&gt;0,OR('Debt strategy'!$D$9&gt;'Debt strategy'!$D$10,AND('Debt strategy'!$D$9='Debt strategy'!$D$10,0&lt;1))),1,0),IF(AND(O191+P191-Q191&gt;0,OR('Debt strategy'!$D$11&gt;'Debt strategy'!$D$10,AND('Debt strategy'!$D$11='Debt strategy'!$D$10,2&lt;1))),1,0),IF(AND(U191+V191-W191&gt;0,OR('Debt strategy'!$D$12&gt;'Debt strategy'!$D$10,AND('Debt strategy'!$D$12='Debt strategy'!$D$10,3&lt;1))),1,0),IF(AND(AA191+AB191-AC191&gt;0,OR('Debt strategy'!$D$13&gt;'Debt strategy'!$D$10,AND('Debt strategy'!$D$13='Debt strategy'!$D$10,4&lt;1))),1,0)))</x:f>
        <x:v>99</x:v>
      </x:c>
      <x:c r="M191" s="6" t="n">
        <x:f>IF('Debt strategy'!$C$16&gt;0,0,MIN(I191+J191-K191,MAX(0,'Debt strategy'!$C$5-SUM(E191,K191,Q191,W191,AC191)-SUM(IF(F191&lt;L191,C191+D191-E191,0),IF(R191&lt;L191,O191+P191-Q191,0),IF(X191&lt;L191,U191+V191-W191,0),IF(AD191&lt;L191,AA191+AB191-AC191,0)))))</x:f>
        <x:v>0</x:v>
      </x:c>
      <x:c r="N191" s="6" t="n">
        <x:f>ROUND(MAX(0,I191+J191-K191-M191),2)</x:f>
        <x:v>0</x:v>
      </x:c>
      <x:c r="O191" s="6" t="n">
        <x:f>T190</x:f>
        <x:v>0</x:v>
      </x:c>
      <x:c r="P191" s="6" t="n">
        <x:f>ROUND(O191*'Debt strategy'!$D$11/12,2)</x:f>
        <x:v>0</x:v>
      </x:c>
      <x:c r="Q191" s="6" t="n">
        <x:f>MIN(O191+P191,'Debt strategy'!$E$11)</x:f>
        <x:v>0</x:v>
      </x:c>
      <x:c r="R191" s="27" t="n">
        <x:f>IF(O191+P191-Q191&lt;=0,99,1+SUM(IF(AND(C191+D191-E191&gt;0,OR('Debt strategy'!$D$9&gt;'Debt strategy'!$D$11,AND('Debt strategy'!$D$9='Debt strategy'!$D$11,0&lt;2))),1,0),IF(AND(I191+J191-K191&gt;0,OR('Debt strategy'!$D$10&gt;'Debt strategy'!$D$11,AND('Debt strategy'!$D$10='Debt strategy'!$D$11,1&lt;2))),1,0),IF(AND(U191+V191-W191&gt;0,OR('Debt strategy'!$D$12&gt;'Debt strategy'!$D$11,AND('Debt strategy'!$D$12='Debt strategy'!$D$11,3&lt;2))),1,0),IF(AND(AA191+AB191-AC191&gt;0,OR('Debt strategy'!$D$13&gt;'Debt strategy'!$D$11,AND('Debt strategy'!$D$13='Debt strategy'!$D$11,4&lt;2))),1,0)))</x:f>
        <x:v>99</x:v>
      </x:c>
      <x:c r="S191" s="6" t="n">
        <x:f>IF('Debt strategy'!$C$16&gt;0,0,MIN(O191+P191-Q191,MAX(0,'Debt strategy'!$C$5-SUM(E191,K191,Q191,W191,AC191)-SUM(IF(F191&lt;R191,C191+D191-E191,0),IF(L191&lt;R191,I191+J191-K191,0),IF(X191&lt;R191,U191+V191-W191,0),IF(AD191&lt;R191,AA191+AB191-AC191,0)))))</x:f>
        <x:v>0</x:v>
      </x:c>
      <x:c r="T191" s="6" t="n">
        <x:f>ROUND(MAX(0,O191+P191-Q191-S191),2)</x:f>
        <x:v>0</x:v>
      </x:c>
      <x:c r="U191" s="6" t="n">
        <x:f>Z190</x:f>
        <x:v>0</x:v>
      </x:c>
      <x:c r="V191" s="6" t="n">
        <x:f>ROUND(U191*'Debt strategy'!$D$12/12,2)</x:f>
        <x:v>0</x:v>
      </x:c>
      <x:c r="W191" s="6" t="n">
        <x:f>MIN(U191+V191,'Debt strategy'!$E$12)</x:f>
        <x:v>0</x:v>
      </x:c>
      <x:c r="X191" s="27" t="n">
        <x:f>IF(U191+V191-W191&lt;=0,99,1+SUM(IF(AND(C191+D191-E191&gt;0,OR('Debt strategy'!$D$9&gt;'Debt strategy'!$D$12,AND('Debt strategy'!$D$9='Debt strategy'!$D$12,0&lt;3))),1,0),IF(AND(I191+J191-K191&gt;0,OR('Debt strategy'!$D$10&gt;'Debt strategy'!$D$12,AND('Debt strategy'!$D$10='Debt strategy'!$D$12,1&lt;3))),1,0),IF(AND(O191+P191-Q191&gt;0,OR('Debt strategy'!$D$11&gt;'Debt strategy'!$D$12,AND('Debt strategy'!$D$11='Debt strategy'!$D$12,2&lt;3))),1,0),IF(AND(AA191+AB191-AC191&gt;0,OR('Debt strategy'!$D$13&gt;'Debt strategy'!$D$12,AND('Debt strategy'!$D$13='Debt strategy'!$D$12,4&lt;3))),1,0)))</x:f>
        <x:v>99</x:v>
      </x:c>
      <x:c r="Y191" s="6" t="n">
        <x:f>IF('Debt strategy'!$C$16&gt;0,0,MIN(U191+V191-W191,MAX(0,'Debt strategy'!$C$5-SUM(E191,K191,Q191,W191,AC191)-SUM(IF(F191&lt;X191,C191+D191-E191,0),IF(L191&lt;X191,I191+J191-K191,0),IF(R191&lt;X191,O191+P191-Q191,0),IF(AD191&lt;X191,AA191+AB191-AC191,0)))))</x:f>
        <x:v>0</x:v>
      </x:c>
      <x:c r="Z191" s="6" t="n">
        <x:f>ROUND(MAX(0,U191+V191-W191-Y191),2)</x:f>
        <x:v>0</x:v>
      </x:c>
      <x:c r="AA191" s="6" t="n">
        <x:f>AF190</x:f>
        <x:v>0</x:v>
      </x:c>
      <x:c r="AB191" s="6" t="n">
        <x:f>ROUND(AA191*'Debt strategy'!$D$13/12,2)</x:f>
        <x:v>0</x:v>
      </x:c>
      <x:c r="AC191" s="6" t="n">
        <x:f>MIN(AA191+AB191,'Debt strategy'!$E$13)</x:f>
        <x:v>0</x:v>
      </x:c>
      <x:c r="AD191" s="27" t="n">
        <x:f>IF(AA191+AB191-AC191&lt;=0,99,1+SUM(IF(AND(C191+D191-E191&gt;0,OR('Debt strategy'!$D$9&gt;'Debt strategy'!$D$13,AND('Debt strategy'!$D$9='Debt strategy'!$D$13,0&lt;4))),1,0),IF(AND(I191+J191-K191&gt;0,OR('Debt strategy'!$D$10&gt;'Debt strategy'!$D$13,AND('Debt strategy'!$D$10='Debt strategy'!$D$13,1&lt;4))),1,0),IF(AND(O191+P191-Q191&gt;0,OR('Debt strategy'!$D$11&gt;'Debt strategy'!$D$13,AND('Debt strategy'!$D$11='Debt strategy'!$D$13,2&lt;4))),1,0),IF(AND(U191+V191-W191&gt;0,OR('Debt strategy'!$D$12&gt;'Debt strategy'!$D$13,AND('Debt strategy'!$D$12='Debt strategy'!$D$13,3&lt;4))),1,0)))</x:f>
        <x:v>99</x:v>
      </x:c>
      <x:c r="AE191" s="6" t="n">
        <x:f>IF('Debt strategy'!$C$16&gt;0,0,MIN(AA191+AB191-AC191,MAX(0,'Debt strategy'!$C$5-SUM(E191,K191,Q191,W191,AC191)-SUM(IF(F191&lt;AD191,C191+D191-E191,0),IF(L191&lt;AD191,I191+J191-K191,0),IF(R191&lt;AD191,O191+P191-Q191,0),IF(X191&lt;AD191,U191+V191-W191,0)))))</x:f>
        <x:v>0</x:v>
      </x:c>
      <x:c r="AF191" s="6" t="n">
        <x:f>ROUND(MAX(0,AA191+AB191-AC191-AE191),2)</x:f>
        <x:v>0</x:v>
      </x:c>
      <x:c r="AG191" s="6" t="n">
        <x:f>SUM(H191,N191,T191,Z191,AF191)</x:f>
        <x:v>0</x:v>
      </x:c>
      <x:c r="AH191" s="6" t="n">
        <x:f>SUM(D191,J191,P191,V191,AB191)+AH190</x:f>
        <x:v>1220.8400000000001</x:v>
      </x:c>
      <x:c r="AI191" s="2"/>
    </x:row>
    <x:row r="192" ht="23" customHeight="1">
      <x:c r="B192" s="2" t="n">
        <x:f>184</x:f>
        <x:v>184</x:v>
      </x:c>
      <x:c r="C192" s="6" t="n">
        <x:f>H191</x:f>
        <x:v>0</x:v>
      </x:c>
      <x:c r="D192" s="6" t="n">
        <x:f>ROUND(C192*'Debt strategy'!$D$9/12,2)</x:f>
        <x:v>0</x:v>
      </x:c>
      <x:c r="E192" s="6" t="n">
        <x:f>MIN(C192+D192,'Debt strategy'!$E$9)</x:f>
        <x:v>0</x:v>
      </x:c>
      <x:c r="F192" s="27" t="n">
        <x:f>IF(C192+D192-E192&lt;=0,99,1+SUM(IF(AND(I192+J192-K192&gt;0,OR('Debt strategy'!$D$10&gt;'Debt strategy'!$D$9,AND('Debt strategy'!$D$10='Debt strategy'!$D$9,1&lt;0))),1,0),IF(AND(O192+P192-Q192&gt;0,OR('Debt strategy'!$D$11&gt;'Debt strategy'!$D$9,AND('Debt strategy'!$D$11='Debt strategy'!$D$9,2&lt;0))),1,0),IF(AND(U192+V192-W192&gt;0,OR('Debt strategy'!$D$12&gt;'Debt strategy'!$D$9,AND('Debt strategy'!$D$12='Debt strategy'!$D$9,3&lt;0))),1,0),IF(AND(AA192+AB192-AC192&gt;0,OR('Debt strategy'!$D$13&gt;'Debt strategy'!$D$9,AND('Debt strategy'!$D$13='Debt strategy'!$D$9,4&lt;0))),1,0)))</x:f>
        <x:v>99</x:v>
      </x:c>
      <x:c r="G192" s="6" t="n">
        <x:f>IF('Debt strategy'!$C$16&gt;0,0,MIN(C192+D192-E192,MAX(0,'Debt strategy'!$C$5-SUM(E192,K192,Q192,W192,AC192)-SUM(IF(L192&lt;F192,I192+J192-K192,0),IF(R192&lt;F192,O192+P192-Q192,0),IF(X192&lt;F192,U192+V192-W192,0),IF(AD192&lt;F192,AA192+AB192-AC192,0)))))</x:f>
        <x:v>0</x:v>
      </x:c>
      <x:c r="H192" s="6" t="n">
        <x:f>ROUND(MAX(0,C192+D192-E192-G192),2)</x:f>
        <x:v>0</x:v>
      </x:c>
      <x:c r="I192" s="6" t="n">
        <x:f>N191</x:f>
        <x:v>0</x:v>
      </x:c>
      <x:c r="J192" s="6" t="n">
        <x:f>ROUND(I192*'Debt strategy'!$D$10/12,2)</x:f>
        <x:v>0</x:v>
      </x:c>
      <x:c r="K192" s="6" t="n">
        <x:f>MIN(I192+J192,'Debt strategy'!$E$10)</x:f>
        <x:v>0</x:v>
      </x:c>
      <x:c r="L192" s="27" t="n">
        <x:f>IF(I192+J192-K192&lt;=0,99,1+SUM(IF(AND(C192+D192-E192&gt;0,OR('Debt strategy'!$D$9&gt;'Debt strategy'!$D$10,AND('Debt strategy'!$D$9='Debt strategy'!$D$10,0&lt;1))),1,0),IF(AND(O192+P192-Q192&gt;0,OR('Debt strategy'!$D$11&gt;'Debt strategy'!$D$10,AND('Debt strategy'!$D$11='Debt strategy'!$D$10,2&lt;1))),1,0),IF(AND(U192+V192-W192&gt;0,OR('Debt strategy'!$D$12&gt;'Debt strategy'!$D$10,AND('Debt strategy'!$D$12='Debt strategy'!$D$10,3&lt;1))),1,0),IF(AND(AA192+AB192-AC192&gt;0,OR('Debt strategy'!$D$13&gt;'Debt strategy'!$D$10,AND('Debt strategy'!$D$13='Debt strategy'!$D$10,4&lt;1))),1,0)))</x:f>
        <x:v>99</x:v>
      </x:c>
      <x:c r="M192" s="6" t="n">
        <x:f>IF('Debt strategy'!$C$16&gt;0,0,MIN(I192+J192-K192,MAX(0,'Debt strategy'!$C$5-SUM(E192,K192,Q192,W192,AC192)-SUM(IF(F192&lt;L192,C192+D192-E192,0),IF(R192&lt;L192,O192+P192-Q192,0),IF(X192&lt;L192,U192+V192-W192,0),IF(AD192&lt;L192,AA192+AB192-AC192,0)))))</x:f>
        <x:v>0</x:v>
      </x:c>
      <x:c r="N192" s="6" t="n">
        <x:f>ROUND(MAX(0,I192+J192-K192-M192),2)</x:f>
        <x:v>0</x:v>
      </x:c>
      <x:c r="O192" s="6" t="n">
        <x:f>T191</x:f>
        <x:v>0</x:v>
      </x:c>
      <x:c r="P192" s="6" t="n">
        <x:f>ROUND(O192*'Debt strategy'!$D$11/12,2)</x:f>
        <x:v>0</x:v>
      </x:c>
      <x:c r="Q192" s="6" t="n">
        <x:f>MIN(O192+P192,'Debt strategy'!$E$11)</x:f>
        <x:v>0</x:v>
      </x:c>
      <x:c r="R192" s="27" t="n">
        <x:f>IF(O192+P192-Q192&lt;=0,99,1+SUM(IF(AND(C192+D192-E192&gt;0,OR('Debt strategy'!$D$9&gt;'Debt strategy'!$D$11,AND('Debt strategy'!$D$9='Debt strategy'!$D$11,0&lt;2))),1,0),IF(AND(I192+J192-K192&gt;0,OR('Debt strategy'!$D$10&gt;'Debt strategy'!$D$11,AND('Debt strategy'!$D$10='Debt strategy'!$D$11,1&lt;2))),1,0),IF(AND(U192+V192-W192&gt;0,OR('Debt strategy'!$D$12&gt;'Debt strategy'!$D$11,AND('Debt strategy'!$D$12='Debt strategy'!$D$11,3&lt;2))),1,0),IF(AND(AA192+AB192-AC192&gt;0,OR('Debt strategy'!$D$13&gt;'Debt strategy'!$D$11,AND('Debt strategy'!$D$13='Debt strategy'!$D$11,4&lt;2))),1,0)))</x:f>
        <x:v>99</x:v>
      </x:c>
      <x:c r="S192" s="6" t="n">
        <x:f>IF('Debt strategy'!$C$16&gt;0,0,MIN(O192+P192-Q192,MAX(0,'Debt strategy'!$C$5-SUM(E192,K192,Q192,W192,AC192)-SUM(IF(F192&lt;R192,C192+D192-E192,0),IF(L192&lt;R192,I192+J192-K192,0),IF(X192&lt;R192,U192+V192-W192,0),IF(AD192&lt;R192,AA192+AB192-AC192,0)))))</x:f>
        <x:v>0</x:v>
      </x:c>
      <x:c r="T192" s="6" t="n">
        <x:f>ROUND(MAX(0,O192+P192-Q192-S192),2)</x:f>
        <x:v>0</x:v>
      </x:c>
      <x:c r="U192" s="6" t="n">
        <x:f>Z191</x:f>
        <x:v>0</x:v>
      </x:c>
      <x:c r="V192" s="6" t="n">
        <x:f>ROUND(U192*'Debt strategy'!$D$12/12,2)</x:f>
        <x:v>0</x:v>
      </x:c>
      <x:c r="W192" s="6" t="n">
        <x:f>MIN(U192+V192,'Debt strategy'!$E$12)</x:f>
        <x:v>0</x:v>
      </x:c>
      <x:c r="X192" s="27" t="n">
        <x:f>IF(U192+V192-W192&lt;=0,99,1+SUM(IF(AND(C192+D192-E192&gt;0,OR('Debt strategy'!$D$9&gt;'Debt strategy'!$D$12,AND('Debt strategy'!$D$9='Debt strategy'!$D$12,0&lt;3))),1,0),IF(AND(I192+J192-K192&gt;0,OR('Debt strategy'!$D$10&gt;'Debt strategy'!$D$12,AND('Debt strategy'!$D$10='Debt strategy'!$D$12,1&lt;3))),1,0),IF(AND(O192+P192-Q192&gt;0,OR('Debt strategy'!$D$11&gt;'Debt strategy'!$D$12,AND('Debt strategy'!$D$11='Debt strategy'!$D$12,2&lt;3))),1,0),IF(AND(AA192+AB192-AC192&gt;0,OR('Debt strategy'!$D$13&gt;'Debt strategy'!$D$12,AND('Debt strategy'!$D$13='Debt strategy'!$D$12,4&lt;3))),1,0)))</x:f>
        <x:v>99</x:v>
      </x:c>
      <x:c r="Y192" s="6" t="n">
        <x:f>IF('Debt strategy'!$C$16&gt;0,0,MIN(U192+V192-W192,MAX(0,'Debt strategy'!$C$5-SUM(E192,K192,Q192,W192,AC192)-SUM(IF(F192&lt;X192,C192+D192-E192,0),IF(L192&lt;X192,I192+J192-K192,0),IF(R192&lt;X192,O192+P192-Q192,0),IF(AD192&lt;X192,AA192+AB192-AC192,0)))))</x:f>
        <x:v>0</x:v>
      </x:c>
      <x:c r="Z192" s="6" t="n">
        <x:f>ROUND(MAX(0,U192+V192-W192-Y192),2)</x:f>
        <x:v>0</x:v>
      </x:c>
      <x:c r="AA192" s="6" t="n">
        <x:f>AF191</x:f>
        <x:v>0</x:v>
      </x:c>
      <x:c r="AB192" s="6" t="n">
        <x:f>ROUND(AA192*'Debt strategy'!$D$13/12,2)</x:f>
        <x:v>0</x:v>
      </x:c>
      <x:c r="AC192" s="6" t="n">
        <x:f>MIN(AA192+AB192,'Debt strategy'!$E$13)</x:f>
        <x:v>0</x:v>
      </x:c>
      <x:c r="AD192" s="27" t="n">
        <x:f>IF(AA192+AB192-AC192&lt;=0,99,1+SUM(IF(AND(C192+D192-E192&gt;0,OR('Debt strategy'!$D$9&gt;'Debt strategy'!$D$13,AND('Debt strategy'!$D$9='Debt strategy'!$D$13,0&lt;4))),1,0),IF(AND(I192+J192-K192&gt;0,OR('Debt strategy'!$D$10&gt;'Debt strategy'!$D$13,AND('Debt strategy'!$D$10='Debt strategy'!$D$13,1&lt;4))),1,0),IF(AND(O192+P192-Q192&gt;0,OR('Debt strategy'!$D$11&gt;'Debt strategy'!$D$13,AND('Debt strategy'!$D$11='Debt strategy'!$D$13,2&lt;4))),1,0),IF(AND(U192+V192-W192&gt;0,OR('Debt strategy'!$D$12&gt;'Debt strategy'!$D$13,AND('Debt strategy'!$D$12='Debt strategy'!$D$13,3&lt;4))),1,0)))</x:f>
        <x:v>99</x:v>
      </x:c>
      <x:c r="AE192" s="6" t="n">
        <x:f>IF('Debt strategy'!$C$16&gt;0,0,MIN(AA192+AB192-AC192,MAX(0,'Debt strategy'!$C$5-SUM(E192,K192,Q192,W192,AC192)-SUM(IF(F192&lt;AD192,C192+D192-E192,0),IF(L192&lt;AD192,I192+J192-K192,0),IF(R192&lt;AD192,O192+P192-Q192,0),IF(X192&lt;AD192,U192+V192-W192,0)))))</x:f>
        <x:v>0</x:v>
      </x:c>
      <x:c r="AF192" s="6" t="n">
        <x:f>ROUND(MAX(0,AA192+AB192-AC192-AE192),2)</x:f>
        <x:v>0</x:v>
      </x:c>
      <x:c r="AG192" s="6" t="n">
        <x:f>SUM(H192,N192,T192,Z192,AF192)</x:f>
        <x:v>0</x:v>
      </x:c>
      <x:c r="AH192" s="6" t="n">
        <x:f>SUM(D192,J192,P192,V192,AB192)+AH191</x:f>
        <x:v>1220.8400000000001</x:v>
      </x:c>
      <x:c r="AI192" s="2"/>
    </x:row>
    <x:row r="193" ht="23" customHeight="1">
      <x:c r="B193" s="2" t="n">
        <x:f>185</x:f>
        <x:v>185</x:v>
      </x:c>
      <x:c r="C193" s="6" t="n">
        <x:f>H192</x:f>
        <x:v>0</x:v>
      </x:c>
      <x:c r="D193" s="6" t="n">
        <x:f>ROUND(C193*'Debt strategy'!$D$9/12,2)</x:f>
        <x:v>0</x:v>
      </x:c>
      <x:c r="E193" s="6" t="n">
        <x:f>MIN(C193+D193,'Debt strategy'!$E$9)</x:f>
        <x:v>0</x:v>
      </x:c>
      <x:c r="F193" s="27" t="n">
        <x:f>IF(C193+D193-E193&lt;=0,99,1+SUM(IF(AND(I193+J193-K193&gt;0,OR('Debt strategy'!$D$10&gt;'Debt strategy'!$D$9,AND('Debt strategy'!$D$10='Debt strategy'!$D$9,1&lt;0))),1,0),IF(AND(O193+P193-Q193&gt;0,OR('Debt strategy'!$D$11&gt;'Debt strategy'!$D$9,AND('Debt strategy'!$D$11='Debt strategy'!$D$9,2&lt;0))),1,0),IF(AND(U193+V193-W193&gt;0,OR('Debt strategy'!$D$12&gt;'Debt strategy'!$D$9,AND('Debt strategy'!$D$12='Debt strategy'!$D$9,3&lt;0))),1,0),IF(AND(AA193+AB193-AC193&gt;0,OR('Debt strategy'!$D$13&gt;'Debt strategy'!$D$9,AND('Debt strategy'!$D$13='Debt strategy'!$D$9,4&lt;0))),1,0)))</x:f>
        <x:v>99</x:v>
      </x:c>
      <x:c r="G193" s="6" t="n">
        <x:f>IF('Debt strategy'!$C$16&gt;0,0,MIN(C193+D193-E193,MAX(0,'Debt strategy'!$C$5-SUM(E193,K193,Q193,W193,AC193)-SUM(IF(L193&lt;F193,I193+J193-K193,0),IF(R193&lt;F193,O193+P193-Q193,0),IF(X193&lt;F193,U193+V193-W193,0),IF(AD193&lt;F193,AA193+AB193-AC193,0)))))</x:f>
        <x:v>0</x:v>
      </x:c>
      <x:c r="H193" s="6" t="n">
        <x:f>ROUND(MAX(0,C193+D193-E193-G193),2)</x:f>
        <x:v>0</x:v>
      </x:c>
      <x:c r="I193" s="6" t="n">
        <x:f>N192</x:f>
        <x:v>0</x:v>
      </x:c>
      <x:c r="J193" s="6" t="n">
        <x:f>ROUND(I193*'Debt strategy'!$D$10/12,2)</x:f>
        <x:v>0</x:v>
      </x:c>
      <x:c r="K193" s="6" t="n">
        <x:f>MIN(I193+J193,'Debt strategy'!$E$10)</x:f>
        <x:v>0</x:v>
      </x:c>
      <x:c r="L193" s="27" t="n">
        <x:f>IF(I193+J193-K193&lt;=0,99,1+SUM(IF(AND(C193+D193-E193&gt;0,OR('Debt strategy'!$D$9&gt;'Debt strategy'!$D$10,AND('Debt strategy'!$D$9='Debt strategy'!$D$10,0&lt;1))),1,0),IF(AND(O193+P193-Q193&gt;0,OR('Debt strategy'!$D$11&gt;'Debt strategy'!$D$10,AND('Debt strategy'!$D$11='Debt strategy'!$D$10,2&lt;1))),1,0),IF(AND(U193+V193-W193&gt;0,OR('Debt strategy'!$D$12&gt;'Debt strategy'!$D$10,AND('Debt strategy'!$D$12='Debt strategy'!$D$10,3&lt;1))),1,0),IF(AND(AA193+AB193-AC193&gt;0,OR('Debt strategy'!$D$13&gt;'Debt strategy'!$D$10,AND('Debt strategy'!$D$13='Debt strategy'!$D$10,4&lt;1))),1,0)))</x:f>
        <x:v>99</x:v>
      </x:c>
      <x:c r="M193" s="6" t="n">
        <x:f>IF('Debt strategy'!$C$16&gt;0,0,MIN(I193+J193-K193,MAX(0,'Debt strategy'!$C$5-SUM(E193,K193,Q193,W193,AC193)-SUM(IF(F193&lt;L193,C193+D193-E193,0),IF(R193&lt;L193,O193+P193-Q193,0),IF(X193&lt;L193,U193+V193-W193,0),IF(AD193&lt;L193,AA193+AB193-AC193,0)))))</x:f>
        <x:v>0</x:v>
      </x:c>
      <x:c r="N193" s="6" t="n">
        <x:f>ROUND(MAX(0,I193+J193-K193-M193),2)</x:f>
        <x:v>0</x:v>
      </x:c>
      <x:c r="O193" s="6" t="n">
        <x:f>T192</x:f>
        <x:v>0</x:v>
      </x:c>
      <x:c r="P193" s="6" t="n">
        <x:f>ROUND(O193*'Debt strategy'!$D$11/12,2)</x:f>
        <x:v>0</x:v>
      </x:c>
      <x:c r="Q193" s="6" t="n">
        <x:f>MIN(O193+P193,'Debt strategy'!$E$11)</x:f>
        <x:v>0</x:v>
      </x:c>
      <x:c r="R193" s="27" t="n">
        <x:f>IF(O193+P193-Q193&lt;=0,99,1+SUM(IF(AND(C193+D193-E193&gt;0,OR('Debt strategy'!$D$9&gt;'Debt strategy'!$D$11,AND('Debt strategy'!$D$9='Debt strategy'!$D$11,0&lt;2))),1,0),IF(AND(I193+J193-K193&gt;0,OR('Debt strategy'!$D$10&gt;'Debt strategy'!$D$11,AND('Debt strategy'!$D$10='Debt strategy'!$D$11,1&lt;2))),1,0),IF(AND(U193+V193-W193&gt;0,OR('Debt strategy'!$D$12&gt;'Debt strategy'!$D$11,AND('Debt strategy'!$D$12='Debt strategy'!$D$11,3&lt;2))),1,0),IF(AND(AA193+AB193-AC193&gt;0,OR('Debt strategy'!$D$13&gt;'Debt strategy'!$D$11,AND('Debt strategy'!$D$13='Debt strategy'!$D$11,4&lt;2))),1,0)))</x:f>
        <x:v>99</x:v>
      </x:c>
      <x:c r="S193" s="6" t="n">
        <x:f>IF('Debt strategy'!$C$16&gt;0,0,MIN(O193+P193-Q193,MAX(0,'Debt strategy'!$C$5-SUM(E193,K193,Q193,W193,AC193)-SUM(IF(F193&lt;R193,C193+D193-E193,0),IF(L193&lt;R193,I193+J193-K193,0),IF(X193&lt;R193,U193+V193-W193,0),IF(AD193&lt;R193,AA193+AB193-AC193,0)))))</x:f>
        <x:v>0</x:v>
      </x:c>
      <x:c r="T193" s="6" t="n">
        <x:f>ROUND(MAX(0,O193+P193-Q193-S193),2)</x:f>
        <x:v>0</x:v>
      </x:c>
      <x:c r="U193" s="6" t="n">
        <x:f>Z192</x:f>
        <x:v>0</x:v>
      </x:c>
      <x:c r="V193" s="6" t="n">
        <x:f>ROUND(U193*'Debt strategy'!$D$12/12,2)</x:f>
        <x:v>0</x:v>
      </x:c>
      <x:c r="W193" s="6" t="n">
        <x:f>MIN(U193+V193,'Debt strategy'!$E$12)</x:f>
        <x:v>0</x:v>
      </x:c>
      <x:c r="X193" s="27" t="n">
        <x:f>IF(U193+V193-W193&lt;=0,99,1+SUM(IF(AND(C193+D193-E193&gt;0,OR('Debt strategy'!$D$9&gt;'Debt strategy'!$D$12,AND('Debt strategy'!$D$9='Debt strategy'!$D$12,0&lt;3))),1,0),IF(AND(I193+J193-K193&gt;0,OR('Debt strategy'!$D$10&gt;'Debt strategy'!$D$12,AND('Debt strategy'!$D$10='Debt strategy'!$D$12,1&lt;3))),1,0),IF(AND(O193+P193-Q193&gt;0,OR('Debt strategy'!$D$11&gt;'Debt strategy'!$D$12,AND('Debt strategy'!$D$11='Debt strategy'!$D$12,2&lt;3))),1,0),IF(AND(AA193+AB193-AC193&gt;0,OR('Debt strategy'!$D$13&gt;'Debt strategy'!$D$12,AND('Debt strategy'!$D$13='Debt strategy'!$D$12,4&lt;3))),1,0)))</x:f>
        <x:v>99</x:v>
      </x:c>
      <x:c r="Y193" s="6" t="n">
        <x:f>IF('Debt strategy'!$C$16&gt;0,0,MIN(U193+V193-W193,MAX(0,'Debt strategy'!$C$5-SUM(E193,K193,Q193,W193,AC193)-SUM(IF(F193&lt;X193,C193+D193-E193,0),IF(L193&lt;X193,I193+J193-K193,0),IF(R193&lt;X193,O193+P193-Q193,0),IF(AD193&lt;X193,AA193+AB193-AC193,0)))))</x:f>
        <x:v>0</x:v>
      </x:c>
      <x:c r="Z193" s="6" t="n">
        <x:f>ROUND(MAX(0,U193+V193-W193-Y193),2)</x:f>
        <x:v>0</x:v>
      </x:c>
      <x:c r="AA193" s="6" t="n">
        <x:f>AF192</x:f>
        <x:v>0</x:v>
      </x:c>
      <x:c r="AB193" s="6" t="n">
        <x:f>ROUND(AA193*'Debt strategy'!$D$13/12,2)</x:f>
        <x:v>0</x:v>
      </x:c>
      <x:c r="AC193" s="6" t="n">
        <x:f>MIN(AA193+AB193,'Debt strategy'!$E$13)</x:f>
        <x:v>0</x:v>
      </x:c>
      <x:c r="AD193" s="27" t="n">
        <x:f>IF(AA193+AB193-AC193&lt;=0,99,1+SUM(IF(AND(C193+D193-E193&gt;0,OR('Debt strategy'!$D$9&gt;'Debt strategy'!$D$13,AND('Debt strategy'!$D$9='Debt strategy'!$D$13,0&lt;4))),1,0),IF(AND(I193+J193-K193&gt;0,OR('Debt strategy'!$D$10&gt;'Debt strategy'!$D$13,AND('Debt strategy'!$D$10='Debt strategy'!$D$13,1&lt;4))),1,0),IF(AND(O193+P193-Q193&gt;0,OR('Debt strategy'!$D$11&gt;'Debt strategy'!$D$13,AND('Debt strategy'!$D$11='Debt strategy'!$D$13,2&lt;4))),1,0),IF(AND(U193+V193-W193&gt;0,OR('Debt strategy'!$D$12&gt;'Debt strategy'!$D$13,AND('Debt strategy'!$D$12='Debt strategy'!$D$13,3&lt;4))),1,0)))</x:f>
        <x:v>99</x:v>
      </x:c>
      <x:c r="AE193" s="6" t="n">
        <x:f>IF('Debt strategy'!$C$16&gt;0,0,MIN(AA193+AB193-AC193,MAX(0,'Debt strategy'!$C$5-SUM(E193,K193,Q193,W193,AC193)-SUM(IF(F193&lt;AD193,C193+D193-E193,0),IF(L193&lt;AD193,I193+J193-K193,0),IF(R193&lt;AD193,O193+P193-Q193,0),IF(X193&lt;AD193,U193+V193-W193,0)))))</x:f>
        <x:v>0</x:v>
      </x:c>
      <x:c r="AF193" s="6" t="n">
        <x:f>ROUND(MAX(0,AA193+AB193-AC193-AE193),2)</x:f>
        <x:v>0</x:v>
      </x:c>
      <x:c r="AG193" s="6" t="n">
        <x:f>SUM(H193,N193,T193,Z193,AF193)</x:f>
        <x:v>0</x:v>
      </x:c>
      <x:c r="AH193" s="6" t="n">
        <x:f>SUM(D193,J193,P193,V193,AB193)+AH192</x:f>
        <x:v>1220.8400000000001</x:v>
      </x:c>
      <x:c r="AI193" s="2"/>
    </x:row>
    <x:row r="194" ht="23" customHeight="1">
      <x:c r="B194" s="2" t="n">
        <x:f>186</x:f>
        <x:v>186</x:v>
      </x:c>
      <x:c r="C194" s="6" t="n">
        <x:f>H193</x:f>
        <x:v>0</x:v>
      </x:c>
      <x:c r="D194" s="6" t="n">
        <x:f>ROUND(C194*'Debt strategy'!$D$9/12,2)</x:f>
        <x:v>0</x:v>
      </x:c>
      <x:c r="E194" s="6" t="n">
        <x:f>MIN(C194+D194,'Debt strategy'!$E$9)</x:f>
        <x:v>0</x:v>
      </x:c>
      <x:c r="F194" s="27" t="n">
        <x:f>IF(C194+D194-E194&lt;=0,99,1+SUM(IF(AND(I194+J194-K194&gt;0,OR('Debt strategy'!$D$10&gt;'Debt strategy'!$D$9,AND('Debt strategy'!$D$10='Debt strategy'!$D$9,1&lt;0))),1,0),IF(AND(O194+P194-Q194&gt;0,OR('Debt strategy'!$D$11&gt;'Debt strategy'!$D$9,AND('Debt strategy'!$D$11='Debt strategy'!$D$9,2&lt;0))),1,0),IF(AND(U194+V194-W194&gt;0,OR('Debt strategy'!$D$12&gt;'Debt strategy'!$D$9,AND('Debt strategy'!$D$12='Debt strategy'!$D$9,3&lt;0))),1,0),IF(AND(AA194+AB194-AC194&gt;0,OR('Debt strategy'!$D$13&gt;'Debt strategy'!$D$9,AND('Debt strategy'!$D$13='Debt strategy'!$D$9,4&lt;0))),1,0)))</x:f>
        <x:v>99</x:v>
      </x:c>
      <x:c r="G194" s="6" t="n">
        <x:f>IF('Debt strategy'!$C$16&gt;0,0,MIN(C194+D194-E194,MAX(0,'Debt strategy'!$C$5-SUM(E194,K194,Q194,W194,AC194)-SUM(IF(L194&lt;F194,I194+J194-K194,0),IF(R194&lt;F194,O194+P194-Q194,0),IF(X194&lt;F194,U194+V194-W194,0),IF(AD194&lt;F194,AA194+AB194-AC194,0)))))</x:f>
        <x:v>0</x:v>
      </x:c>
      <x:c r="H194" s="6" t="n">
        <x:f>ROUND(MAX(0,C194+D194-E194-G194),2)</x:f>
        <x:v>0</x:v>
      </x:c>
      <x:c r="I194" s="6" t="n">
        <x:f>N193</x:f>
        <x:v>0</x:v>
      </x:c>
      <x:c r="J194" s="6" t="n">
        <x:f>ROUND(I194*'Debt strategy'!$D$10/12,2)</x:f>
        <x:v>0</x:v>
      </x:c>
      <x:c r="K194" s="6" t="n">
        <x:f>MIN(I194+J194,'Debt strategy'!$E$10)</x:f>
        <x:v>0</x:v>
      </x:c>
      <x:c r="L194" s="27" t="n">
        <x:f>IF(I194+J194-K194&lt;=0,99,1+SUM(IF(AND(C194+D194-E194&gt;0,OR('Debt strategy'!$D$9&gt;'Debt strategy'!$D$10,AND('Debt strategy'!$D$9='Debt strategy'!$D$10,0&lt;1))),1,0),IF(AND(O194+P194-Q194&gt;0,OR('Debt strategy'!$D$11&gt;'Debt strategy'!$D$10,AND('Debt strategy'!$D$11='Debt strategy'!$D$10,2&lt;1))),1,0),IF(AND(U194+V194-W194&gt;0,OR('Debt strategy'!$D$12&gt;'Debt strategy'!$D$10,AND('Debt strategy'!$D$12='Debt strategy'!$D$10,3&lt;1))),1,0),IF(AND(AA194+AB194-AC194&gt;0,OR('Debt strategy'!$D$13&gt;'Debt strategy'!$D$10,AND('Debt strategy'!$D$13='Debt strategy'!$D$10,4&lt;1))),1,0)))</x:f>
        <x:v>99</x:v>
      </x:c>
      <x:c r="M194" s="6" t="n">
        <x:f>IF('Debt strategy'!$C$16&gt;0,0,MIN(I194+J194-K194,MAX(0,'Debt strategy'!$C$5-SUM(E194,K194,Q194,W194,AC194)-SUM(IF(F194&lt;L194,C194+D194-E194,0),IF(R194&lt;L194,O194+P194-Q194,0),IF(X194&lt;L194,U194+V194-W194,0),IF(AD194&lt;L194,AA194+AB194-AC194,0)))))</x:f>
        <x:v>0</x:v>
      </x:c>
      <x:c r="N194" s="6" t="n">
        <x:f>ROUND(MAX(0,I194+J194-K194-M194),2)</x:f>
        <x:v>0</x:v>
      </x:c>
      <x:c r="O194" s="6" t="n">
        <x:f>T193</x:f>
        <x:v>0</x:v>
      </x:c>
      <x:c r="P194" s="6" t="n">
        <x:f>ROUND(O194*'Debt strategy'!$D$11/12,2)</x:f>
        <x:v>0</x:v>
      </x:c>
      <x:c r="Q194" s="6" t="n">
        <x:f>MIN(O194+P194,'Debt strategy'!$E$11)</x:f>
        <x:v>0</x:v>
      </x:c>
      <x:c r="R194" s="27" t="n">
        <x:f>IF(O194+P194-Q194&lt;=0,99,1+SUM(IF(AND(C194+D194-E194&gt;0,OR('Debt strategy'!$D$9&gt;'Debt strategy'!$D$11,AND('Debt strategy'!$D$9='Debt strategy'!$D$11,0&lt;2))),1,0),IF(AND(I194+J194-K194&gt;0,OR('Debt strategy'!$D$10&gt;'Debt strategy'!$D$11,AND('Debt strategy'!$D$10='Debt strategy'!$D$11,1&lt;2))),1,0),IF(AND(U194+V194-W194&gt;0,OR('Debt strategy'!$D$12&gt;'Debt strategy'!$D$11,AND('Debt strategy'!$D$12='Debt strategy'!$D$11,3&lt;2))),1,0),IF(AND(AA194+AB194-AC194&gt;0,OR('Debt strategy'!$D$13&gt;'Debt strategy'!$D$11,AND('Debt strategy'!$D$13='Debt strategy'!$D$11,4&lt;2))),1,0)))</x:f>
        <x:v>99</x:v>
      </x:c>
      <x:c r="S194" s="6" t="n">
        <x:f>IF('Debt strategy'!$C$16&gt;0,0,MIN(O194+P194-Q194,MAX(0,'Debt strategy'!$C$5-SUM(E194,K194,Q194,W194,AC194)-SUM(IF(F194&lt;R194,C194+D194-E194,0),IF(L194&lt;R194,I194+J194-K194,0),IF(X194&lt;R194,U194+V194-W194,0),IF(AD194&lt;R194,AA194+AB194-AC194,0)))))</x:f>
        <x:v>0</x:v>
      </x:c>
      <x:c r="T194" s="6" t="n">
        <x:f>ROUND(MAX(0,O194+P194-Q194-S194),2)</x:f>
        <x:v>0</x:v>
      </x:c>
      <x:c r="U194" s="6" t="n">
        <x:f>Z193</x:f>
        <x:v>0</x:v>
      </x:c>
      <x:c r="V194" s="6" t="n">
        <x:f>ROUND(U194*'Debt strategy'!$D$12/12,2)</x:f>
        <x:v>0</x:v>
      </x:c>
      <x:c r="W194" s="6" t="n">
        <x:f>MIN(U194+V194,'Debt strategy'!$E$12)</x:f>
        <x:v>0</x:v>
      </x:c>
      <x:c r="X194" s="27" t="n">
        <x:f>IF(U194+V194-W194&lt;=0,99,1+SUM(IF(AND(C194+D194-E194&gt;0,OR('Debt strategy'!$D$9&gt;'Debt strategy'!$D$12,AND('Debt strategy'!$D$9='Debt strategy'!$D$12,0&lt;3))),1,0),IF(AND(I194+J194-K194&gt;0,OR('Debt strategy'!$D$10&gt;'Debt strategy'!$D$12,AND('Debt strategy'!$D$10='Debt strategy'!$D$12,1&lt;3))),1,0),IF(AND(O194+P194-Q194&gt;0,OR('Debt strategy'!$D$11&gt;'Debt strategy'!$D$12,AND('Debt strategy'!$D$11='Debt strategy'!$D$12,2&lt;3))),1,0),IF(AND(AA194+AB194-AC194&gt;0,OR('Debt strategy'!$D$13&gt;'Debt strategy'!$D$12,AND('Debt strategy'!$D$13='Debt strategy'!$D$12,4&lt;3))),1,0)))</x:f>
        <x:v>99</x:v>
      </x:c>
      <x:c r="Y194" s="6" t="n">
        <x:f>IF('Debt strategy'!$C$16&gt;0,0,MIN(U194+V194-W194,MAX(0,'Debt strategy'!$C$5-SUM(E194,K194,Q194,W194,AC194)-SUM(IF(F194&lt;X194,C194+D194-E194,0),IF(L194&lt;X194,I194+J194-K194,0),IF(R194&lt;X194,O194+P194-Q194,0),IF(AD194&lt;X194,AA194+AB194-AC194,0)))))</x:f>
        <x:v>0</x:v>
      </x:c>
      <x:c r="Z194" s="6" t="n">
        <x:f>ROUND(MAX(0,U194+V194-W194-Y194),2)</x:f>
        <x:v>0</x:v>
      </x:c>
      <x:c r="AA194" s="6" t="n">
        <x:f>AF193</x:f>
        <x:v>0</x:v>
      </x:c>
      <x:c r="AB194" s="6" t="n">
        <x:f>ROUND(AA194*'Debt strategy'!$D$13/12,2)</x:f>
        <x:v>0</x:v>
      </x:c>
      <x:c r="AC194" s="6" t="n">
        <x:f>MIN(AA194+AB194,'Debt strategy'!$E$13)</x:f>
        <x:v>0</x:v>
      </x:c>
      <x:c r="AD194" s="27" t="n">
        <x:f>IF(AA194+AB194-AC194&lt;=0,99,1+SUM(IF(AND(C194+D194-E194&gt;0,OR('Debt strategy'!$D$9&gt;'Debt strategy'!$D$13,AND('Debt strategy'!$D$9='Debt strategy'!$D$13,0&lt;4))),1,0),IF(AND(I194+J194-K194&gt;0,OR('Debt strategy'!$D$10&gt;'Debt strategy'!$D$13,AND('Debt strategy'!$D$10='Debt strategy'!$D$13,1&lt;4))),1,0),IF(AND(O194+P194-Q194&gt;0,OR('Debt strategy'!$D$11&gt;'Debt strategy'!$D$13,AND('Debt strategy'!$D$11='Debt strategy'!$D$13,2&lt;4))),1,0),IF(AND(U194+V194-W194&gt;0,OR('Debt strategy'!$D$12&gt;'Debt strategy'!$D$13,AND('Debt strategy'!$D$12='Debt strategy'!$D$13,3&lt;4))),1,0)))</x:f>
        <x:v>99</x:v>
      </x:c>
      <x:c r="AE194" s="6" t="n">
        <x:f>IF('Debt strategy'!$C$16&gt;0,0,MIN(AA194+AB194-AC194,MAX(0,'Debt strategy'!$C$5-SUM(E194,K194,Q194,W194,AC194)-SUM(IF(F194&lt;AD194,C194+D194-E194,0),IF(L194&lt;AD194,I194+J194-K194,0),IF(R194&lt;AD194,O194+P194-Q194,0),IF(X194&lt;AD194,U194+V194-W194,0)))))</x:f>
        <x:v>0</x:v>
      </x:c>
      <x:c r="AF194" s="6" t="n">
        <x:f>ROUND(MAX(0,AA194+AB194-AC194-AE194),2)</x:f>
        <x:v>0</x:v>
      </x:c>
      <x:c r="AG194" s="6" t="n">
        <x:f>SUM(H194,N194,T194,Z194,AF194)</x:f>
        <x:v>0</x:v>
      </x:c>
      <x:c r="AH194" s="6" t="n">
        <x:f>SUM(D194,J194,P194,V194,AB194)+AH193</x:f>
        <x:v>1220.8400000000001</x:v>
      </x:c>
      <x:c r="AI194" s="2"/>
    </x:row>
    <x:row r="195" ht="23" customHeight="1">
      <x:c r="B195" s="2" t="n">
        <x:f>187</x:f>
        <x:v>187</x:v>
      </x:c>
      <x:c r="C195" s="6" t="n">
        <x:f>H194</x:f>
        <x:v>0</x:v>
      </x:c>
      <x:c r="D195" s="6" t="n">
        <x:f>ROUND(C195*'Debt strategy'!$D$9/12,2)</x:f>
        <x:v>0</x:v>
      </x:c>
      <x:c r="E195" s="6" t="n">
        <x:f>MIN(C195+D195,'Debt strategy'!$E$9)</x:f>
        <x:v>0</x:v>
      </x:c>
      <x:c r="F195" s="27" t="n">
        <x:f>IF(C195+D195-E195&lt;=0,99,1+SUM(IF(AND(I195+J195-K195&gt;0,OR('Debt strategy'!$D$10&gt;'Debt strategy'!$D$9,AND('Debt strategy'!$D$10='Debt strategy'!$D$9,1&lt;0))),1,0),IF(AND(O195+P195-Q195&gt;0,OR('Debt strategy'!$D$11&gt;'Debt strategy'!$D$9,AND('Debt strategy'!$D$11='Debt strategy'!$D$9,2&lt;0))),1,0),IF(AND(U195+V195-W195&gt;0,OR('Debt strategy'!$D$12&gt;'Debt strategy'!$D$9,AND('Debt strategy'!$D$12='Debt strategy'!$D$9,3&lt;0))),1,0),IF(AND(AA195+AB195-AC195&gt;0,OR('Debt strategy'!$D$13&gt;'Debt strategy'!$D$9,AND('Debt strategy'!$D$13='Debt strategy'!$D$9,4&lt;0))),1,0)))</x:f>
        <x:v>99</x:v>
      </x:c>
      <x:c r="G195" s="6" t="n">
        <x:f>IF('Debt strategy'!$C$16&gt;0,0,MIN(C195+D195-E195,MAX(0,'Debt strategy'!$C$5-SUM(E195,K195,Q195,W195,AC195)-SUM(IF(L195&lt;F195,I195+J195-K195,0),IF(R195&lt;F195,O195+P195-Q195,0),IF(X195&lt;F195,U195+V195-W195,0),IF(AD195&lt;F195,AA195+AB195-AC195,0)))))</x:f>
        <x:v>0</x:v>
      </x:c>
      <x:c r="H195" s="6" t="n">
        <x:f>ROUND(MAX(0,C195+D195-E195-G195),2)</x:f>
        <x:v>0</x:v>
      </x:c>
      <x:c r="I195" s="6" t="n">
        <x:f>N194</x:f>
        <x:v>0</x:v>
      </x:c>
      <x:c r="J195" s="6" t="n">
        <x:f>ROUND(I195*'Debt strategy'!$D$10/12,2)</x:f>
        <x:v>0</x:v>
      </x:c>
      <x:c r="K195" s="6" t="n">
        <x:f>MIN(I195+J195,'Debt strategy'!$E$10)</x:f>
        <x:v>0</x:v>
      </x:c>
      <x:c r="L195" s="27" t="n">
        <x:f>IF(I195+J195-K195&lt;=0,99,1+SUM(IF(AND(C195+D195-E195&gt;0,OR('Debt strategy'!$D$9&gt;'Debt strategy'!$D$10,AND('Debt strategy'!$D$9='Debt strategy'!$D$10,0&lt;1))),1,0),IF(AND(O195+P195-Q195&gt;0,OR('Debt strategy'!$D$11&gt;'Debt strategy'!$D$10,AND('Debt strategy'!$D$11='Debt strategy'!$D$10,2&lt;1))),1,0),IF(AND(U195+V195-W195&gt;0,OR('Debt strategy'!$D$12&gt;'Debt strategy'!$D$10,AND('Debt strategy'!$D$12='Debt strategy'!$D$10,3&lt;1))),1,0),IF(AND(AA195+AB195-AC195&gt;0,OR('Debt strategy'!$D$13&gt;'Debt strategy'!$D$10,AND('Debt strategy'!$D$13='Debt strategy'!$D$10,4&lt;1))),1,0)))</x:f>
        <x:v>99</x:v>
      </x:c>
      <x:c r="M195" s="6" t="n">
        <x:f>IF('Debt strategy'!$C$16&gt;0,0,MIN(I195+J195-K195,MAX(0,'Debt strategy'!$C$5-SUM(E195,K195,Q195,W195,AC195)-SUM(IF(F195&lt;L195,C195+D195-E195,0),IF(R195&lt;L195,O195+P195-Q195,0),IF(X195&lt;L195,U195+V195-W195,0),IF(AD195&lt;L195,AA195+AB195-AC195,0)))))</x:f>
        <x:v>0</x:v>
      </x:c>
      <x:c r="N195" s="6" t="n">
        <x:f>ROUND(MAX(0,I195+J195-K195-M195),2)</x:f>
        <x:v>0</x:v>
      </x:c>
      <x:c r="O195" s="6" t="n">
        <x:f>T194</x:f>
        <x:v>0</x:v>
      </x:c>
      <x:c r="P195" s="6" t="n">
        <x:f>ROUND(O195*'Debt strategy'!$D$11/12,2)</x:f>
        <x:v>0</x:v>
      </x:c>
      <x:c r="Q195" s="6" t="n">
        <x:f>MIN(O195+P195,'Debt strategy'!$E$11)</x:f>
        <x:v>0</x:v>
      </x:c>
      <x:c r="R195" s="27" t="n">
        <x:f>IF(O195+P195-Q195&lt;=0,99,1+SUM(IF(AND(C195+D195-E195&gt;0,OR('Debt strategy'!$D$9&gt;'Debt strategy'!$D$11,AND('Debt strategy'!$D$9='Debt strategy'!$D$11,0&lt;2))),1,0),IF(AND(I195+J195-K195&gt;0,OR('Debt strategy'!$D$10&gt;'Debt strategy'!$D$11,AND('Debt strategy'!$D$10='Debt strategy'!$D$11,1&lt;2))),1,0),IF(AND(U195+V195-W195&gt;0,OR('Debt strategy'!$D$12&gt;'Debt strategy'!$D$11,AND('Debt strategy'!$D$12='Debt strategy'!$D$11,3&lt;2))),1,0),IF(AND(AA195+AB195-AC195&gt;0,OR('Debt strategy'!$D$13&gt;'Debt strategy'!$D$11,AND('Debt strategy'!$D$13='Debt strategy'!$D$11,4&lt;2))),1,0)))</x:f>
        <x:v>99</x:v>
      </x:c>
      <x:c r="S195" s="6" t="n">
        <x:f>IF('Debt strategy'!$C$16&gt;0,0,MIN(O195+P195-Q195,MAX(0,'Debt strategy'!$C$5-SUM(E195,K195,Q195,W195,AC195)-SUM(IF(F195&lt;R195,C195+D195-E195,0),IF(L195&lt;R195,I195+J195-K195,0),IF(X195&lt;R195,U195+V195-W195,0),IF(AD195&lt;R195,AA195+AB195-AC195,0)))))</x:f>
        <x:v>0</x:v>
      </x:c>
      <x:c r="T195" s="6" t="n">
        <x:f>ROUND(MAX(0,O195+P195-Q195-S195),2)</x:f>
        <x:v>0</x:v>
      </x:c>
      <x:c r="U195" s="6" t="n">
        <x:f>Z194</x:f>
        <x:v>0</x:v>
      </x:c>
      <x:c r="V195" s="6" t="n">
        <x:f>ROUND(U195*'Debt strategy'!$D$12/12,2)</x:f>
        <x:v>0</x:v>
      </x:c>
      <x:c r="W195" s="6" t="n">
        <x:f>MIN(U195+V195,'Debt strategy'!$E$12)</x:f>
        <x:v>0</x:v>
      </x:c>
      <x:c r="X195" s="27" t="n">
        <x:f>IF(U195+V195-W195&lt;=0,99,1+SUM(IF(AND(C195+D195-E195&gt;0,OR('Debt strategy'!$D$9&gt;'Debt strategy'!$D$12,AND('Debt strategy'!$D$9='Debt strategy'!$D$12,0&lt;3))),1,0),IF(AND(I195+J195-K195&gt;0,OR('Debt strategy'!$D$10&gt;'Debt strategy'!$D$12,AND('Debt strategy'!$D$10='Debt strategy'!$D$12,1&lt;3))),1,0),IF(AND(O195+P195-Q195&gt;0,OR('Debt strategy'!$D$11&gt;'Debt strategy'!$D$12,AND('Debt strategy'!$D$11='Debt strategy'!$D$12,2&lt;3))),1,0),IF(AND(AA195+AB195-AC195&gt;0,OR('Debt strategy'!$D$13&gt;'Debt strategy'!$D$12,AND('Debt strategy'!$D$13='Debt strategy'!$D$12,4&lt;3))),1,0)))</x:f>
        <x:v>99</x:v>
      </x:c>
      <x:c r="Y195" s="6" t="n">
        <x:f>IF('Debt strategy'!$C$16&gt;0,0,MIN(U195+V195-W195,MAX(0,'Debt strategy'!$C$5-SUM(E195,K195,Q195,W195,AC195)-SUM(IF(F195&lt;X195,C195+D195-E195,0),IF(L195&lt;X195,I195+J195-K195,0),IF(R195&lt;X195,O195+P195-Q195,0),IF(AD195&lt;X195,AA195+AB195-AC195,0)))))</x:f>
        <x:v>0</x:v>
      </x:c>
      <x:c r="Z195" s="6" t="n">
        <x:f>ROUND(MAX(0,U195+V195-W195-Y195),2)</x:f>
        <x:v>0</x:v>
      </x:c>
      <x:c r="AA195" s="6" t="n">
        <x:f>AF194</x:f>
        <x:v>0</x:v>
      </x:c>
      <x:c r="AB195" s="6" t="n">
        <x:f>ROUND(AA195*'Debt strategy'!$D$13/12,2)</x:f>
        <x:v>0</x:v>
      </x:c>
      <x:c r="AC195" s="6" t="n">
        <x:f>MIN(AA195+AB195,'Debt strategy'!$E$13)</x:f>
        <x:v>0</x:v>
      </x:c>
      <x:c r="AD195" s="27" t="n">
        <x:f>IF(AA195+AB195-AC195&lt;=0,99,1+SUM(IF(AND(C195+D195-E195&gt;0,OR('Debt strategy'!$D$9&gt;'Debt strategy'!$D$13,AND('Debt strategy'!$D$9='Debt strategy'!$D$13,0&lt;4))),1,0),IF(AND(I195+J195-K195&gt;0,OR('Debt strategy'!$D$10&gt;'Debt strategy'!$D$13,AND('Debt strategy'!$D$10='Debt strategy'!$D$13,1&lt;4))),1,0),IF(AND(O195+P195-Q195&gt;0,OR('Debt strategy'!$D$11&gt;'Debt strategy'!$D$13,AND('Debt strategy'!$D$11='Debt strategy'!$D$13,2&lt;4))),1,0),IF(AND(U195+V195-W195&gt;0,OR('Debt strategy'!$D$12&gt;'Debt strategy'!$D$13,AND('Debt strategy'!$D$12='Debt strategy'!$D$13,3&lt;4))),1,0)))</x:f>
        <x:v>99</x:v>
      </x:c>
      <x:c r="AE195" s="6" t="n">
        <x:f>IF('Debt strategy'!$C$16&gt;0,0,MIN(AA195+AB195-AC195,MAX(0,'Debt strategy'!$C$5-SUM(E195,K195,Q195,W195,AC195)-SUM(IF(F195&lt;AD195,C195+D195-E195,0),IF(L195&lt;AD195,I195+J195-K195,0),IF(R195&lt;AD195,O195+P195-Q195,0),IF(X195&lt;AD195,U195+V195-W195,0)))))</x:f>
        <x:v>0</x:v>
      </x:c>
      <x:c r="AF195" s="6" t="n">
        <x:f>ROUND(MAX(0,AA195+AB195-AC195-AE195),2)</x:f>
        <x:v>0</x:v>
      </x:c>
      <x:c r="AG195" s="6" t="n">
        <x:f>SUM(H195,N195,T195,Z195,AF195)</x:f>
        <x:v>0</x:v>
      </x:c>
      <x:c r="AH195" s="6" t="n">
        <x:f>SUM(D195,J195,P195,V195,AB195)+AH194</x:f>
        <x:v>1220.8400000000001</x:v>
      </x:c>
      <x:c r="AI195" s="2"/>
    </x:row>
    <x:row r="196" ht="23" customHeight="1">
      <x:c r="B196" s="2" t="n">
        <x:f>188</x:f>
        <x:v>188</x:v>
      </x:c>
      <x:c r="C196" s="6" t="n">
        <x:f>H195</x:f>
        <x:v>0</x:v>
      </x:c>
      <x:c r="D196" s="6" t="n">
        <x:f>ROUND(C196*'Debt strategy'!$D$9/12,2)</x:f>
        <x:v>0</x:v>
      </x:c>
      <x:c r="E196" s="6" t="n">
        <x:f>MIN(C196+D196,'Debt strategy'!$E$9)</x:f>
        <x:v>0</x:v>
      </x:c>
      <x:c r="F196" s="27" t="n">
        <x:f>IF(C196+D196-E196&lt;=0,99,1+SUM(IF(AND(I196+J196-K196&gt;0,OR('Debt strategy'!$D$10&gt;'Debt strategy'!$D$9,AND('Debt strategy'!$D$10='Debt strategy'!$D$9,1&lt;0))),1,0),IF(AND(O196+P196-Q196&gt;0,OR('Debt strategy'!$D$11&gt;'Debt strategy'!$D$9,AND('Debt strategy'!$D$11='Debt strategy'!$D$9,2&lt;0))),1,0),IF(AND(U196+V196-W196&gt;0,OR('Debt strategy'!$D$12&gt;'Debt strategy'!$D$9,AND('Debt strategy'!$D$12='Debt strategy'!$D$9,3&lt;0))),1,0),IF(AND(AA196+AB196-AC196&gt;0,OR('Debt strategy'!$D$13&gt;'Debt strategy'!$D$9,AND('Debt strategy'!$D$13='Debt strategy'!$D$9,4&lt;0))),1,0)))</x:f>
        <x:v>99</x:v>
      </x:c>
      <x:c r="G196" s="6" t="n">
        <x:f>IF('Debt strategy'!$C$16&gt;0,0,MIN(C196+D196-E196,MAX(0,'Debt strategy'!$C$5-SUM(E196,K196,Q196,W196,AC196)-SUM(IF(L196&lt;F196,I196+J196-K196,0),IF(R196&lt;F196,O196+P196-Q196,0),IF(X196&lt;F196,U196+V196-W196,0),IF(AD196&lt;F196,AA196+AB196-AC196,0)))))</x:f>
        <x:v>0</x:v>
      </x:c>
      <x:c r="H196" s="6" t="n">
        <x:f>ROUND(MAX(0,C196+D196-E196-G196),2)</x:f>
        <x:v>0</x:v>
      </x:c>
      <x:c r="I196" s="6" t="n">
        <x:f>N195</x:f>
        <x:v>0</x:v>
      </x:c>
      <x:c r="J196" s="6" t="n">
        <x:f>ROUND(I196*'Debt strategy'!$D$10/12,2)</x:f>
        <x:v>0</x:v>
      </x:c>
      <x:c r="K196" s="6" t="n">
        <x:f>MIN(I196+J196,'Debt strategy'!$E$10)</x:f>
        <x:v>0</x:v>
      </x:c>
      <x:c r="L196" s="27" t="n">
        <x:f>IF(I196+J196-K196&lt;=0,99,1+SUM(IF(AND(C196+D196-E196&gt;0,OR('Debt strategy'!$D$9&gt;'Debt strategy'!$D$10,AND('Debt strategy'!$D$9='Debt strategy'!$D$10,0&lt;1))),1,0),IF(AND(O196+P196-Q196&gt;0,OR('Debt strategy'!$D$11&gt;'Debt strategy'!$D$10,AND('Debt strategy'!$D$11='Debt strategy'!$D$10,2&lt;1))),1,0),IF(AND(U196+V196-W196&gt;0,OR('Debt strategy'!$D$12&gt;'Debt strategy'!$D$10,AND('Debt strategy'!$D$12='Debt strategy'!$D$10,3&lt;1))),1,0),IF(AND(AA196+AB196-AC196&gt;0,OR('Debt strategy'!$D$13&gt;'Debt strategy'!$D$10,AND('Debt strategy'!$D$13='Debt strategy'!$D$10,4&lt;1))),1,0)))</x:f>
        <x:v>99</x:v>
      </x:c>
      <x:c r="M196" s="6" t="n">
        <x:f>IF('Debt strategy'!$C$16&gt;0,0,MIN(I196+J196-K196,MAX(0,'Debt strategy'!$C$5-SUM(E196,K196,Q196,W196,AC196)-SUM(IF(F196&lt;L196,C196+D196-E196,0),IF(R196&lt;L196,O196+P196-Q196,0),IF(X196&lt;L196,U196+V196-W196,0),IF(AD196&lt;L196,AA196+AB196-AC196,0)))))</x:f>
        <x:v>0</x:v>
      </x:c>
      <x:c r="N196" s="6" t="n">
        <x:f>ROUND(MAX(0,I196+J196-K196-M196),2)</x:f>
        <x:v>0</x:v>
      </x:c>
      <x:c r="O196" s="6" t="n">
        <x:f>T195</x:f>
        <x:v>0</x:v>
      </x:c>
      <x:c r="P196" s="6" t="n">
        <x:f>ROUND(O196*'Debt strategy'!$D$11/12,2)</x:f>
        <x:v>0</x:v>
      </x:c>
      <x:c r="Q196" s="6" t="n">
        <x:f>MIN(O196+P196,'Debt strategy'!$E$11)</x:f>
        <x:v>0</x:v>
      </x:c>
      <x:c r="R196" s="27" t="n">
        <x:f>IF(O196+P196-Q196&lt;=0,99,1+SUM(IF(AND(C196+D196-E196&gt;0,OR('Debt strategy'!$D$9&gt;'Debt strategy'!$D$11,AND('Debt strategy'!$D$9='Debt strategy'!$D$11,0&lt;2))),1,0),IF(AND(I196+J196-K196&gt;0,OR('Debt strategy'!$D$10&gt;'Debt strategy'!$D$11,AND('Debt strategy'!$D$10='Debt strategy'!$D$11,1&lt;2))),1,0),IF(AND(U196+V196-W196&gt;0,OR('Debt strategy'!$D$12&gt;'Debt strategy'!$D$11,AND('Debt strategy'!$D$12='Debt strategy'!$D$11,3&lt;2))),1,0),IF(AND(AA196+AB196-AC196&gt;0,OR('Debt strategy'!$D$13&gt;'Debt strategy'!$D$11,AND('Debt strategy'!$D$13='Debt strategy'!$D$11,4&lt;2))),1,0)))</x:f>
        <x:v>99</x:v>
      </x:c>
      <x:c r="S196" s="6" t="n">
        <x:f>IF('Debt strategy'!$C$16&gt;0,0,MIN(O196+P196-Q196,MAX(0,'Debt strategy'!$C$5-SUM(E196,K196,Q196,W196,AC196)-SUM(IF(F196&lt;R196,C196+D196-E196,0),IF(L196&lt;R196,I196+J196-K196,0),IF(X196&lt;R196,U196+V196-W196,0),IF(AD196&lt;R196,AA196+AB196-AC196,0)))))</x:f>
        <x:v>0</x:v>
      </x:c>
      <x:c r="T196" s="6" t="n">
        <x:f>ROUND(MAX(0,O196+P196-Q196-S196),2)</x:f>
        <x:v>0</x:v>
      </x:c>
      <x:c r="U196" s="6" t="n">
        <x:f>Z195</x:f>
        <x:v>0</x:v>
      </x:c>
      <x:c r="V196" s="6" t="n">
        <x:f>ROUND(U196*'Debt strategy'!$D$12/12,2)</x:f>
        <x:v>0</x:v>
      </x:c>
      <x:c r="W196" s="6" t="n">
        <x:f>MIN(U196+V196,'Debt strategy'!$E$12)</x:f>
        <x:v>0</x:v>
      </x:c>
      <x:c r="X196" s="27" t="n">
        <x:f>IF(U196+V196-W196&lt;=0,99,1+SUM(IF(AND(C196+D196-E196&gt;0,OR('Debt strategy'!$D$9&gt;'Debt strategy'!$D$12,AND('Debt strategy'!$D$9='Debt strategy'!$D$12,0&lt;3))),1,0),IF(AND(I196+J196-K196&gt;0,OR('Debt strategy'!$D$10&gt;'Debt strategy'!$D$12,AND('Debt strategy'!$D$10='Debt strategy'!$D$12,1&lt;3))),1,0),IF(AND(O196+P196-Q196&gt;0,OR('Debt strategy'!$D$11&gt;'Debt strategy'!$D$12,AND('Debt strategy'!$D$11='Debt strategy'!$D$12,2&lt;3))),1,0),IF(AND(AA196+AB196-AC196&gt;0,OR('Debt strategy'!$D$13&gt;'Debt strategy'!$D$12,AND('Debt strategy'!$D$13='Debt strategy'!$D$12,4&lt;3))),1,0)))</x:f>
        <x:v>99</x:v>
      </x:c>
      <x:c r="Y196" s="6" t="n">
        <x:f>IF('Debt strategy'!$C$16&gt;0,0,MIN(U196+V196-W196,MAX(0,'Debt strategy'!$C$5-SUM(E196,K196,Q196,W196,AC196)-SUM(IF(F196&lt;X196,C196+D196-E196,0),IF(L196&lt;X196,I196+J196-K196,0),IF(R196&lt;X196,O196+P196-Q196,0),IF(AD196&lt;X196,AA196+AB196-AC196,0)))))</x:f>
        <x:v>0</x:v>
      </x:c>
      <x:c r="Z196" s="6" t="n">
        <x:f>ROUND(MAX(0,U196+V196-W196-Y196),2)</x:f>
        <x:v>0</x:v>
      </x:c>
      <x:c r="AA196" s="6" t="n">
        <x:f>AF195</x:f>
        <x:v>0</x:v>
      </x:c>
      <x:c r="AB196" s="6" t="n">
        <x:f>ROUND(AA196*'Debt strategy'!$D$13/12,2)</x:f>
        <x:v>0</x:v>
      </x:c>
      <x:c r="AC196" s="6" t="n">
        <x:f>MIN(AA196+AB196,'Debt strategy'!$E$13)</x:f>
        <x:v>0</x:v>
      </x:c>
      <x:c r="AD196" s="27" t="n">
        <x:f>IF(AA196+AB196-AC196&lt;=0,99,1+SUM(IF(AND(C196+D196-E196&gt;0,OR('Debt strategy'!$D$9&gt;'Debt strategy'!$D$13,AND('Debt strategy'!$D$9='Debt strategy'!$D$13,0&lt;4))),1,0),IF(AND(I196+J196-K196&gt;0,OR('Debt strategy'!$D$10&gt;'Debt strategy'!$D$13,AND('Debt strategy'!$D$10='Debt strategy'!$D$13,1&lt;4))),1,0),IF(AND(O196+P196-Q196&gt;0,OR('Debt strategy'!$D$11&gt;'Debt strategy'!$D$13,AND('Debt strategy'!$D$11='Debt strategy'!$D$13,2&lt;4))),1,0),IF(AND(U196+V196-W196&gt;0,OR('Debt strategy'!$D$12&gt;'Debt strategy'!$D$13,AND('Debt strategy'!$D$12='Debt strategy'!$D$13,3&lt;4))),1,0)))</x:f>
        <x:v>99</x:v>
      </x:c>
      <x:c r="AE196" s="6" t="n">
        <x:f>IF('Debt strategy'!$C$16&gt;0,0,MIN(AA196+AB196-AC196,MAX(0,'Debt strategy'!$C$5-SUM(E196,K196,Q196,W196,AC196)-SUM(IF(F196&lt;AD196,C196+D196-E196,0),IF(L196&lt;AD196,I196+J196-K196,0),IF(R196&lt;AD196,O196+P196-Q196,0),IF(X196&lt;AD196,U196+V196-W196,0)))))</x:f>
        <x:v>0</x:v>
      </x:c>
      <x:c r="AF196" s="6" t="n">
        <x:f>ROUND(MAX(0,AA196+AB196-AC196-AE196),2)</x:f>
        <x:v>0</x:v>
      </x:c>
      <x:c r="AG196" s="6" t="n">
        <x:f>SUM(H196,N196,T196,Z196,AF196)</x:f>
        <x:v>0</x:v>
      </x:c>
      <x:c r="AH196" s="6" t="n">
        <x:f>SUM(D196,J196,P196,V196,AB196)+AH195</x:f>
        <x:v>1220.8400000000001</x:v>
      </x:c>
      <x:c r="AI196" s="2"/>
    </x:row>
    <x:row r="197" ht="23" customHeight="1">
      <x:c r="B197" s="2" t="n">
        <x:f>189</x:f>
        <x:v>189</x:v>
      </x:c>
      <x:c r="C197" s="6" t="n">
        <x:f>H196</x:f>
        <x:v>0</x:v>
      </x:c>
      <x:c r="D197" s="6" t="n">
        <x:f>ROUND(C197*'Debt strategy'!$D$9/12,2)</x:f>
        <x:v>0</x:v>
      </x:c>
      <x:c r="E197" s="6" t="n">
        <x:f>MIN(C197+D197,'Debt strategy'!$E$9)</x:f>
        <x:v>0</x:v>
      </x:c>
      <x:c r="F197" s="27" t="n">
        <x:f>IF(C197+D197-E197&lt;=0,99,1+SUM(IF(AND(I197+J197-K197&gt;0,OR('Debt strategy'!$D$10&gt;'Debt strategy'!$D$9,AND('Debt strategy'!$D$10='Debt strategy'!$D$9,1&lt;0))),1,0),IF(AND(O197+P197-Q197&gt;0,OR('Debt strategy'!$D$11&gt;'Debt strategy'!$D$9,AND('Debt strategy'!$D$11='Debt strategy'!$D$9,2&lt;0))),1,0),IF(AND(U197+V197-W197&gt;0,OR('Debt strategy'!$D$12&gt;'Debt strategy'!$D$9,AND('Debt strategy'!$D$12='Debt strategy'!$D$9,3&lt;0))),1,0),IF(AND(AA197+AB197-AC197&gt;0,OR('Debt strategy'!$D$13&gt;'Debt strategy'!$D$9,AND('Debt strategy'!$D$13='Debt strategy'!$D$9,4&lt;0))),1,0)))</x:f>
        <x:v>99</x:v>
      </x:c>
      <x:c r="G197" s="6" t="n">
        <x:f>IF('Debt strategy'!$C$16&gt;0,0,MIN(C197+D197-E197,MAX(0,'Debt strategy'!$C$5-SUM(E197,K197,Q197,W197,AC197)-SUM(IF(L197&lt;F197,I197+J197-K197,0),IF(R197&lt;F197,O197+P197-Q197,0),IF(X197&lt;F197,U197+V197-W197,0),IF(AD197&lt;F197,AA197+AB197-AC197,0)))))</x:f>
        <x:v>0</x:v>
      </x:c>
      <x:c r="H197" s="6" t="n">
        <x:f>ROUND(MAX(0,C197+D197-E197-G197),2)</x:f>
        <x:v>0</x:v>
      </x:c>
      <x:c r="I197" s="6" t="n">
        <x:f>N196</x:f>
        <x:v>0</x:v>
      </x:c>
      <x:c r="J197" s="6" t="n">
        <x:f>ROUND(I197*'Debt strategy'!$D$10/12,2)</x:f>
        <x:v>0</x:v>
      </x:c>
      <x:c r="K197" s="6" t="n">
        <x:f>MIN(I197+J197,'Debt strategy'!$E$10)</x:f>
        <x:v>0</x:v>
      </x:c>
      <x:c r="L197" s="27" t="n">
        <x:f>IF(I197+J197-K197&lt;=0,99,1+SUM(IF(AND(C197+D197-E197&gt;0,OR('Debt strategy'!$D$9&gt;'Debt strategy'!$D$10,AND('Debt strategy'!$D$9='Debt strategy'!$D$10,0&lt;1))),1,0),IF(AND(O197+P197-Q197&gt;0,OR('Debt strategy'!$D$11&gt;'Debt strategy'!$D$10,AND('Debt strategy'!$D$11='Debt strategy'!$D$10,2&lt;1))),1,0),IF(AND(U197+V197-W197&gt;0,OR('Debt strategy'!$D$12&gt;'Debt strategy'!$D$10,AND('Debt strategy'!$D$12='Debt strategy'!$D$10,3&lt;1))),1,0),IF(AND(AA197+AB197-AC197&gt;0,OR('Debt strategy'!$D$13&gt;'Debt strategy'!$D$10,AND('Debt strategy'!$D$13='Debt strategy'!$D$10,4&lt;1))),1,0)))</x:f>
        <x:v>99</x:v>
      </x:c>
      <x:c r="M197" s="6" t="n">
        <x:f>IF('Debt strategy'!$C$16&gt;0,0,MIN(I197+J197-K197,MAX(0,'Debt strategy'!$C$5-SUM(E197,K197,Q197,W197,AC197)-SUM(IF(F197&lt;L197,C197+D197-E197,0),IF(R197&lt;L197,O197+P197-Q197,0),IF(X197&lt;L197,U197+V197-W197,0),IF(AD197&lt;L197,AA197+AB197-AC197,0)))))</x:f>
        <x:v>0</x:v>
      </x:c>
      <x:c r="N197" s="6" t="n">
        <x:f>ROUND(MAX(0,I197+J197-K197-M197),2)</x:f>
        <x:v>0</x:v>
      </x:c>
      <x:c r="O197" s="6" t="n">
        <x:f>T196</x:f>
        <x:v>0</x:v>
      </x:c>
      <x:c r="P197" s="6" t="n">
        <x:f>ROUND(O197*'Debt strategy'!$D$11/12,2)</x:f>
        <x:v>0</x:v>
      </x:c>
      <x:c r="Q197" s="6" t="n">
        <x:f>MIN(O197+P197,'Debt strategy'!$E$11)</x:f>
        <x:v>0</x:v>
      </x:c>
      <x:c r="R197" s="27" t="n">
        <x:f>IF(O197+P197-Q197&lt;=0,99,1+SUM(IF(AND(C197+D197-E197&gt;0,OR('Debt strategy'!$D$9&gt;'Debt strategy'!$D$11,AND('Debt strategy'!$D$9='Debt strategy'!$D$11,0&lt;2))),1,0),IF(AND(I197+J197-K197&gt;0,OR('Debt strategy'!$D$10&gt;'Debt strategy'!$D$11,AND('Debt strategy'!$D$10='Debt strategy'!$D$11,1&lt;2))),1,0),IF(AND(U197+V197-W197&gt;0,OR('Debt strategy'!$D$12&gt;'Debt strategy'!$D$11,AND('Debt strategy'!$D$12='Debt strategy'!$D$11,3&lt;2))),1,0),IF(AND(AA197+AB197-AC197&gt;0,OR('Debt strategy'!$D$13&gt;'Debt strategy'!$D$11,AND('Debt strategy'!$D$13='Debt strategy'!$D$11,4&lt;2))),1,0)))</x:f>
        <x:v>99</x:v>
      </x:c>
      <x:c r="S197" s="6" t="n">
        <x:f>IF('Debt strategy'!$C$16&gt;0,0,MIN(O197+P197-Q197,MAX(0,'Debt strategy'!$C$5-SUM(E197,K197,Q197,W197,AC197)-SUM(IF(F197&lt;R197,C197+D197-E197,0),IF(L197&lt;R197,I197+J197-K197,0),IF(X197&lt;R197,U197+V197-W197,0),IF(AD197&lt;R197,AA197+AB197-AC197,0)))))</x:f>
        <x:v>0</x:v>
      </x:c>
      <x:c r="T197" s="6" t="n">
        <x:f>ROUND(MAX(0,O197+P197-Q197-S197),2)</x:f>
        <x:v>0</x:v>
      </x:c>
      <x:c r="U197" s="6" t="n">
        <x:f>Z196</x:f>
        <x:v>0</x:v>
      </x:c>
      <x:c r="V197" s="6" t="n">
        <x:f>ROUND(U197*'Debt strategy'!$D$12/12,2)</x:f>
        <x:v>0</x:v>
      </x:c>
      <x:c r="W197" s="6" t="n">
        <x:f>MIN(U197+V197,'Debt strategy'!$E$12)</x:f>
        <x:v>0</x:v>
      </x:c>
      <x:c r="X197" s="27" t="n">
        <x:f>IF(U197+V197-W197&lt;=0,99,1+SUM(IF(AND(C197+D197-E197&gt;0,OR('Debt strategy'!$D$9&gt;'Debt strategy'!$D$12,AND('Debt strategy'!$D$9='Debt strategy'!$D$12,0&lt;3))),1,0),IF(AND(I197+J197-K197&gt;0,OR('Debt strategy'!$D$10&gt;'Debt strategy'!$D$12,AND('Debt strategy'!$D$10='Debt strategy'!$D$12,1&lt;3))),1,0),IF(AND(O197+P197-Q197&gt;0,OR('Debt strategy'!$D$11&gt;'Debt strategy'!$D$12,AND('Debt strategy'!$D$11='Debt strategy'!$D$12,2&lt;3))),1,0),IF(AND(AA197+AB197-AC197&gt;0,OR('Debt strategy'!$D$13&gt;'Debt strategy'!$D$12,AND('Debt strategy'!$D$13='Debt strategy'!$D$12,4&lt;3))),1,0)))</x:f>
        <x:v>99</x:v>
      </x:c>
      <x:c r="Y197" s="6" t="n">
        <x:f>IF('Debt strategy'!$C$16&gt;0,0,MIN(U197+V197-W197,MAX(0,'Debt strategy'!$C$5-SUM(E197,K197,Q197,W197,AC197)-SUM(IF(F197&lt;X197,C197+D197-E197,0),IF(L197&lt;X197,I197+J197-K197,0),IF(R197&lt;X197,O197+P197-Q197,0),IF(AD197&lt;X197,AA197+AB197-AC197,0)))))</x:f>
        <x:v>0</x:v>
      </x:c>
      <x:c r="Z197" s="6" t="n">
        <x:f>ROUND(MAX(0,U197+V197-W197-Y197),2)</x:f>
        <x:v>0</x:v>
      </x:c>
      <x:c r="AA197" s="6" t="n">
        <x:f>AF196</x:f>
        <x:v>0</x:v>
      </x:c>
      <x:c r="AB197" s="6" t="n">
        <x:f>ROUND(AA197*'Debt strategy'!$D$13/12,2)</x:f>
        <x:v>0</x:v>
      </x:c>
      <x:c r="AC197" s="6" t="n">
        <x:f>MIN(AA197+AB197,'Debt strategy'!$E$13)</x:f>
        <x:v>0</x:v>
      </x:c>
      <x:c r="AD197" s="27" t="n">
        <x:f>IF(AA197+AB197-AC197&lt;=0,99,1+SUM(IF(AND(C197+D197-E197&gt;0,OR('Debt strategy'!$D$9&gt;'Debt strategy'!$D$13,AND('Debt strategy'!$D$9='Debt strategy'!$D$13,0&lt;4))),1,0),IF(AND(I197+J197-K197&gt;0,OR('Debt strategy'!$D$10&gt;'Debt strategy'!$D$13,AND('Debt strategy'!$D$10='Debt strategy'!$D$13,1&lt;4))),1,0),IF(AND(O197+P197-Q197&gt;0,OR('Debt strategy'!$D$11&gt;'Debt strategy'!$D$13,AND('Debt strategy'!$D$11='Debt strategy'!$D$13,2&lt;4))),1,0),IF(AND(U197+V197-W197&gt;0,OR('Debt strategy'!$D$12&gt;'Debt strategy'!$D$13,AND('Debt strategy'!$D$12='Debt strategy'!$D$13,3&lt;4))),1,0)))</x:f>
        <x:v>99</x:v>
      </x:c>
      <x:c r="AE197" s="6" t="n">
        <x:f>IF('Debt strategy'!$C$16&gt;0,0,MIN(AA197+AB197-AC197,MAX(0,'Debt strategy'!$C$5-SUM(E197,K197,Q197,W197,AC197)-SUM(IF(F197&lt;AD197,C197+D197-E197,0),IF(L197&lt;AD197,I197+J197-K197,0),IF(R197&lt;AD197,O197+P197-Q197,0),IF(X197&lt;AD197,U197+V197-W197,0)))))</x:f>
        <x:v>0</x:v>
      </x:c>
      <x:c r="AF197" s="6" t="n">
        <x:f>ROUND(MAX(0,AA197+AB197-AC197-AE197),2)</x:f>
        <x:v>0</x:v>
      </x:c>
      <x:c r="AG197" s="6" t="n">
        <x:f>SUM(H197,N197,T197,Z197,AF197)</x:f>
        <x:v>0</x:v>
      </x:c>
      <x:c r="AH197" s="6" t="n">
        <x:f>SUM(D197,J197,P197,V197,AB197)+AH196</x:f>
        <x:v>1220.8400000000001</x:v>
      </x:c>
      <x:c r="AI197" s="2"/>
    </x:row>
    <x:row r="198" ht="23" customHeight="1">
      <x:c r="B198" s="2" t="n">
        <x:f>190</x:f>
        <x:v>190</x:v>
      </x:c>
      <x:c r="C198" s="6" t="n">
        <x:f>H197</x:f>
        <x:v>0</x:v>
      </x:c>
      <x:c r="D198" s="6" t="n">
        <x:f>ROUND(C198*'Debt strategy'!$D$9/12,2)</x:f>
        <x:v>0</x:v>
      </x:c>
      <x:c r="E198" s="6" t="n">
        <x:f>MIN(C198+D198,'Debt strategy'!$E$9)</x:f>
        <x:v>0</x:v>
      </x:c>
      <x:c r="F198" s="27" t="n">
        <x:f>IF(C198+D198-E198&lt;=0,99,1+SUM(IF(AND(I198+J198-K198&gt;0,OR('Debt strategy'!$D$10&gt;'Debt strategy'!$D$9,AND('Debt strategy'!$D$10='Debt strategy'!$D$9,1&lt;0))),1,0),IF(AND(O198+P198-Q198&gt;0,OR('Debt strategy'!$D$11&gt;'Debt strategy'!$D$9,AND('Debt strategy'!$D$11='Debt strategy'!$D$9,2&lt;0))),1,0),IF(AND(U198+V198-W198&gt;0,OR('Debt strategy'!$D$12&gt;'Debt strategy'!$D$9,AND('Debt strategy'!$D$12='Debt strategy'!$D$9,3&lt;0))),1,0),IF(AND(AA198+AB198-AC198&gt;0,OR('Debt strategy'!$D$13&gt;'Debt strategy'!$D$9,AND('Debt strategy'!$D$13='Debt strategy'!$D$9,4&lt;0))),1,0)))</x:f>
        <x:v>99</x:v>
      </x:c>
      <x:c r="G198" s="6" t="n">
        <x:f>IF('Debt strategy'!$C$16&gt;0,0,MIN(C198+D198-E198,MAX(0,'Debt strategy'!$C$5-SUM(E198,K198,Q198,W198,AC198)-SUM(IF(L198&lt;F198,I198+J198-K198,0),IF(R198&lt;F198,O198+P198-Q198,0),IF(X198&lt;F198,U198+V198-W198,0),IF(AD198&lt;F198,AA198+AB198-AC198,0)))))</x:f>
        <x:v>0</x:v>
      </x:c>
      <x:c r="H198" s="6" t="n">
        <x:f>ROUND(MAX(0,C198+D198-E198-G198),2)</x:f>
        <x:v>0</x:v>
      </x:c>
      <x:c r="I198" s="6" t="n">
        <x:f>N197</x:f>
        <x:v>0</x:v>
      </x:c>
      <x:c r="J198" s="6" t="n">
        <x:f>ROUND(I198*'Debt strategy'!$D$10/12,2)</x:f>
        <x:v>0</x:v>
      </x:c>
      <x:c r="K198" s="6" t="n">
        <x:f>MIN(I198+J198,'Debt strategy'!$E$10)</x:f>
        <x:v>0</x:v>
      </x:c>
      <x:c r="L198" s="27" t="n">
        <x:f>IF(I198+J198-K198&lt;=0,99,1+SUM(IF(AND(C198+D198-E198&gt;0,OR('Debt strategy'!$D$9&gt;'Debt strategy'!$D$10,AND('Debt strategy'!$D$9='Debt strategy'!$D$10,0&lt;1))),1,0),IF(AND(O198+P198-Q198&gt;0,OR('Debt strategy'!$D$11&gt;'Debt strategy'!$D$10,AND('Debt strategy'!$D$11='Debt strategy'!$D$10,2&lt;1))),1,0),IF(AND(U198+V198-W198&gt;0,OR('Debt strategy'!$D$12&gt;'Debt strategy'!$D$10,AND('Debt strategy'!$D$12='Debt strategy'!$D$10,3&lt;1))),1,0),IF(AND(AA198+AB198-AC198&gt;0,OR('Debt strategy'!$D$13&gt;'Debt strategy'!$D$10,AND('Debt strategy'!$D$13='Debt strategy'!$D$10,4&lt;1))),1,0)))</x:f>
        <x:v>99</x:v>
      </x:c>
      <x:c r="M198" s="6" t="n">
        <x:f>IF('Debt strategy'!$C$16&gt;0,0,MIN(I198+J198-K198,MAX(0,'Debt strategy'!$C$5-SUM(E198,K198,Q198,W198,AC198)-SUM(IF(F198&lt;L198,C198+D198-E198,0),IF(R198&lt;L198,O198+P198-Q198,0),IF(X198&lt;L198,U198+V198-W198,0),IF(AD198&lt;L198,AA198+AB198-AC198,0)))))</x:f>
        <x:v>0</x:v>
      </x:c>
      <x:c r="N198" s="6" t="n">
        <x:f>ROUND(MAX(0,I198+J198-K198-M198),2)</x:f>
        <x:v>0</x:v>
      </x:c>
      <x:c r="O198" s="6" t="n">
        <x:f>T197</x:f>
        <x:v>0</x:v>
      </x:c>
      <x:c r="P198" s="6" t="n">
        <x:f>ROUND(O198*'Debt strategy'!$D$11/12,2)</x:f>
        <x:v>0</x:v>
      </x:c>
      <x:c r="Q198" s="6" t="n">
        <x:f>MIN(O198+P198,'Debt strategy'!$E$11)</x:f>
        <x:v>0</x:v>
      </x:c>
      <x:c r="R198" s="27" t="n">
        <x:f>IF(O198+P198-Q198&lt;=0,99,1+SUM(IF(AND(C198+D198-E198&gt;0,OR('Debt strategy'!$D$9&gt;'Debt strategy'!$D$11,AND('Debt strategy'!$D$9='Debt strategy'!$D$11,0&lt;2))),1,0),IF(AND(I198+J198-K198&gt;0,OR('Debt strategy'!$D$10&gt;'Debt strategy'!$D$11,AND('Debt strategy'!$D$10='Debt strategy'!$D$11,1&lt;2))),1,0),IF(AND(U198+V198-W198&gt;0,OR('Debt strategy'!$D$12&gt;'Debt strategy'!$D$11,AND('Debt strategy'!$D$12='Debt strategy'!$D$11,3&lt;2))),1,0),IF(AND(AA198+AB198-AC198&gt;0,OR('Debt strategy'!$D$13&gt;'Debt strategy'!$D$11,AND('Debt strategy'!$D$13='Debt strategy'!$D$11,4&lt;2))),1,0)))</x:f>
        <x:v>99</x:v>
      </x:c>
      <x:c r="S198" s="6" t="n">
        <x:f>IF('Debt strategy'!$C$16&gt;0,0,MIN(O198+P198-Q198,MAX(0,'Debt strategy'!$C$5-SUM(E198,K198,Q198,W198,AC198)-SUM(IF(F198&lt;R198,C198+D198-E198,0),IF(L198&lt;R198,I198+J198-K198,0),IF(X198&lt;R198,U198+V198-W198,0),IF(AD198&lt;R198,AA198+AB198-AC198,0)))))</x:f>
        <x:v>0</x:v>
      </x:c>
      <x:c r="T198" s="6" t="n">
        <x:f>ROUND(MAX(0,O198+P198-Q198-S198),2)</x:f>
        <x:v>0</x:v>
      </x:c>
      <x:c r="U198" s="6" t="n">
        <x:f>Z197</x:f>
        <x:v>0</x:v>
      </x:c>
      <x:c r="V198" s="6" t="n">
        <x:f>ROUND(U198*'Debt strategy'!$D$12/12,2)</x:f>
        <x:v>0</x:v>
      </x:c>
      <x:c r="W198" s="6" t="n">
        <x:f>MIN(U198+V198,'Debt strategy'!$E$12)</x:f>
        <x:v>0</x:v>
      </x:c>
      <x:c r="X198" s="27" t="n">
        <x:f>IF(U198+V198-W198&lt;=0,99,1+SUM(IF(AND(C198+D198-E198&gt;0,OR('Debt strategy'!$D$9&gt;'Debt strategy'!$D$12,AND('Debt strategy'!$D$9='Debt strategy'!$D$12,0&lt;3))),1,0),IF(AND(I198+J198-K198&gt;0,OR('Debt strategy'!$D$10&gt;'Debt strategy'!$D$12,AND('Debt strategy'!$D$10='Debt strategy'!$D$12,1&lt;3))),1,0),IF(AND(O198+P198-Q198&gt;0,OR('Debt strategy'!$D$11&gt;'Debt strategy'!$D$12,AND('Debt strategy'!$D$11='Debt strategy'!$D$12,2&lt;3))),1,0),IF(AND(AA198+AB198-AC198&gt;0,OR('Debt strategy'!$D$13&gt;'Debt strategy'!$D$12,AND('Debt strategy'!$D$13='Debt strategy'!$D$12,4&lt;3))),1,0)))</x:f>
        <x:v>99</x:v>
      </x:c>
      <x:c r="Y198" s="6" t="n">
        <x:f>IF('Debt strategy'!$C$16&gt;0,0,MIN(U198+V198-W198,MAX(0,'Debt strategy'!$C$5-SUM(E198,K198,Q198,W198,AC198)-SUM(IF(F198&lt;X198,C198+D198-E198,0),IF(L198&lt;X198,I198+J198-K198,0),IF(R198&lt;X198,O198+P198-Q198,0),IF(AD198&lt;X198,AA198+AB198-AC198,0)))))</x:f>
        <x:v>0</x:v>
      </x:c>
      <x:c r="Z198" s="6" t="n">
        <x:f>ROUND(MAX(0,U198+V198-W198-Y198),2)</x:f>
        <x:v>0</x:v>
      </x:c>
      <x:c r="AA198" s="6" t="n">
        <x:f>AF197</x:f>
        <x:v>0</x:v>
      </x:c>
      <x:c r="AB198" s="6" t="n">
        <x:f>ROUND(AA198*'Debt strategy'!$D$13/12,2)</x:f>
        <x:v>0</x:v>
      </x:c>
      <x:c r="AC198" s="6" t="n">
        <x:f>MIN(AA198+AB198,'Debt strategy'!$E$13)</x:f>
        <x:v>0</x:v>
      </x:c>
      <x:c r="AD198" s="27" t="n">
        <x:f>IF(AA198+AB198-AC198&lt;=0,99,1+SUM(IF(AND(C198+D198-E198&gt;0,OR('Debt strategy'!$D$9&gt;'Debt strategy'!$D$13,AND('Debt strategy'!$D$9='Debt strategy'!$D$13,0&lt;4))),1,0),IF(AND(I198+J198-K198&gt;0,OR('Debt strategy'!$D$10&gt;'Debt strategy'!$D$13,AND('Debt strategy'!$D$10='Debt strategy'!$D$13,1&lt;4))),1,0),IF(AND(O198+P198-Q198&gt;0,OR('Debt strategy'!$D$11&gt;'Debt strategy'!$D$13,AND('Debt strategy'!$D$11='Debt strategy'!$D$13,2&lt;4))),1,0),IF(AND(U198+V198-W198&gt;0,OR('Debt strategy'!$D$12&gt;'Debt strategy'!$D$13,AND('Debt strategy'!$D$12='Debt strategy'!$D$13,3&lt;4))),1,0)))</x:f>
        <x:v>99</x:v>
      </x:c>
      <x:c r="AE198" s="6" t="n">
        <x:f>IF('Debt strategy'!$C$16&gt;0,0,MIN(AA198+AB198-AC198,MAX(0,'Debt strategy'!$C$5-SUM(E198,K198,Q198,W198,AC198)-SUM(IF(F198&lt;AD198,C198+D198-E198,0),IF(L198&lt;AD198,I198+J198-K198,0),IF(R198&lt;AD198,O198+P198-Q198,0),IF(X198&lt;AD198,U198+V198-W198,0)))))</x:f>
        <x:v>0</x:v>
      </x:c>
      <x:c r="AF198" s="6" t="n">
        <x:f>ROUND(MAX(0,AA198+AB198-AC198-AE198),2)</x:f>
        <x:v>0</x:v>
      </x:c>
      <x:c r="AG198" s="6" t="n">
        <x:f>SUM(H198,N198,T198,Z198,AF198)</x:f>
        <x:v>0</x:v>
      </x:c>
      <x:c r="AH198" s="6" t="n">
        <x:f>SUM(D198,J198,P198,V198,AB198)+AH197</x:f>
        <x:v>1220.8400000000001</x:v>
      </x:c>
      <x:c r="AI198" s="2"/>
    </x:row>
    <x:row r="199" ht="23" customHeight="1">
      <x:c r="B199" s="2" t="n">
        <x:f>191</x:f>
        <x:v>191</x:v>
      </x:c>
      <x:c r="C199" s="6" t="n">
        <x:f>H198</x:f>
        <x:v>0</x:v>
      </x:c>
      <x:c r="D199" s="6" t="n">
        <x:f>ROUND(C199*'Debt strategy'!$D$9/12,2)</x:f>
        <x:v>0</x:v>
      </x:c>
      <x:c r="E199" s="6" t="n">
        <x:f>MIN(C199+D199,'Debt strategy'!$E$9)</x:f>
        <x:v>0</x:v>
      </x:c>
      <x:c r="F199" s="27" t="n">
        <x:f>IF(C199+D199-E199&lt;=0,99,1+SUM(IF(AND(I199+J199-K199&gt;0,OR('Debt strategy'!$D$10&gt;'Debt strategy'!$D$9,AND('Debt strategy'!$D$10='Debt strategy'!$D$9,1&lt;0))),1,0),IF(AND(O199+P199-Q199&gt;0,OR('Debt strategy'!$D$11&gt;'Debt strategy'!$D$9,AND('Debt strategy'!$D$11='Debt strategy'!$D$9,2&lt;0))),1,0),IF(AND(U199+V199-W199&gt;0,OR('Debt strategy'!$D$12&gt;'Debt strategy'!$D$9,AND('Debt strategy'!$D$12='Debt strategy'!$D$9,3&lt;0))),1,0),IF(AND(AA199+AB199-AC199&gt;0,OR('Debt strategy'!$D$13&gt;'Debt strategy'!$D$9,AND('Debt strategy'!$D$13='Debt strategy'!$D$9,4&lt;0))),1,0)))</x:f>
        <x:v>99</x:v>
      </x:c>
      <x:c r="G199" s="6" t="n">
        <x:f>IF('Debt strategy'!$C$16&gt;0,0,MIN(C199+D199-E199,MAX(0,'Debt strategy'!$C$5-SUM(E199,K199,Q199,W199,AC199)-SUM(IF(L199&lt;F199,I199+J199-K199,0),IF(R199&lt;F199,O199+P199-Q199,0),IF(X199&lt;F199,U199+V199-W199,0),IF(AD199&lt;F199,AA199+AB199-AC199,0)))))</x:f>
        <x:v>0</x:v>
      </x:c>
      <x:c r="H199" s="6" t="n">
        <x:f>ROUND(MAX(0,C199+D199-E199-G199),2)</x:f>
        <x:v>0</x:v>
      </x:c>
      <x:c r="I199" s="6" t="n">
        <x:f>N198</x:f>
        <x:v>0</x:v>
      </x:c>
      <x:c r="J199" s="6" t="n">
        <x:f>ROUND(I199*'Debt strategy'!$D$10/12,2)</x:f>
        <x:v>0</x:v>
      </x:c>
      <x:c r="K199" s="6" t="n">
        <x:f>MIN(I199+J199,'Debt strategy'!$E$10)</x:f>
        <x:v>0</x:v>
      </x:c>
      <x:c r="L199" s="27" t="n">
        <x:f>IF(I199+J199-K199&lt;=0,99,1+SUM(IF(AND(C199+D199-E199&gt;0,OR('Debt strategy'!$D$9&gt;'Debt strategy'!$D$10,AND('Debt strategy'!$D$9='Debt strategy'!$D$10,0&lt;1))),1,0),IF(AND(O199+P199-Q199&gt;0,OR('Debt strategy'!$D$11&gt;'Debt strategy'!$D$10,AND('Debt strategy'!$D$11='Debt strategy'!$D$10,2&lt;1))),1,0),IF(AND(U199+V199-W199&gt;0,OR('Debt strategy'!$D$12&gt;'Debt strategy'!$D$10,AND('Debt strategy'!$D$12='Debt strategy'!$D$10,3&lt;1))),1,0),IF(AND(AA199+AB199-AC199&gt;0,OR('Debt strategy'!$D$13&gt;'Debt strategy'!$D$10,AND('Debt strategy'!$D$13='Debt strategy'!$D$10,4&lt;1))),1,0)))</x:f>
        <x:v>99</x:v>
      </x:c>
      <x:c r="M199" s="6" t="n">
        <x:f>IF('Debt strategy'!$C$16&gt;0,0,MIN(I199+J199-K199,MAX(0,'Debt strategy'!$C$5-SUM(E199,K199,Q199,W199,AC199)-SUM(IF(F199&lt;L199,C199+D199-E199,0),IF(R199&lt;L199,O199+P199-Q199,0),IF(X199&lt;L199,U199+V199-W199,0),IF(AD199&lt;L199,AA199+AB199-AC199,0)))))</x:f>
        <x:v>0</x:v>
      </x:c>
      <x:c r="N199" s="6" t="n">
        <x:f>ROUND(MAX(0,I199+J199-K199-M199),2)</x:f>
        <x:v>0</x:v>
      </x:c>
      <x:c r="O199" s="6" t="n">
        <x:f>T198</x:f>
        <x:v>0</x:v>
      </x:c>
      <x:c r="P199" s="6" t="n">
        <x:f>ROUND(O199*'Debt strategy'!$D$11/12,2)</x:f>
        <x:v>0</x:v>
      </x:c>
      <x:c r="Q199" s="6" t="n">
        <x:f>MIN(O199+P199,'Debt strategy'!$E$11)</x:f>
        <x:v>0</x:v>
      </x:c>
      <x:c r="R199" s="27" t="n">
        <x:f>IF(O199+P199-Q199&lt;=0,99,1+SUM(IF(AND(C199+D199-E199&gt;0,OR('Debt strategy'!$D$9&gt;'Debt strategy'!$D$11,AND('Debt strategy'!$D$9='Debt strategy'!$D$11,0&lt;2))),1,0),IF(AND(I199+J199-K199&gt;0,OR('Debt strategy'!$D$10&gt;'Debt strategy'!$D$11,AND('Debt strategy'!$D$10='Debt strategy'!$D$11,1&lt;2))),1,0),IF(AND(U199+V199-W199&gt;0,OR('Debt strategy'!$D$12&gt;'Debt strategy'!$D$11,AND('Debt strategy'!$D$12='Debt strategy'!$D$11,3&lt;2))),1,0),IF(AND(AA199+AB199-AC199&gt;0,OR('Debt strategy'!$D$13&gt;'Debt strategy'!$D$11,AND('Debt strategy'!$D$13='Debt strategy'!$D$11,4&lt;2))),1,0)))</x:f>
        <x:v>99</x:v>
      </x:c>
      <x:c r="S199" s="6" t="n">
        <x:f>IF('Debt strategy'!$C$16&gt;0,0,MIN(O199+P199-Q199,MAX(0,'Debt strategy'!$C$5-SUM(E199,K199,Q199,W199,AC199)-SUM(IF(F199&lt;R199,C199+D199-E199,0),IF(L199&lt;R199,I199+J199-K199,0),IF(X199&lt;R199,U199+V199-W199,0),IF(AD199&lt;R199,AA199+AB199-AC199,0)))))</x:f>
        <x:v>0</x:v>
      </x:c>
      <x:c r="T199" s="6" t="n">
        <x:f>ROUND(MAX(0,O199+P199-Q199-S199),2)</x:f>
        <x:v>0</x:v>
      </x:c>
      <x:c r="U199" s="6" t="n">
        <x:f>Z198</x:f>
        <x:v>0</x:v>
      </x:c>
      <x:c r="V199" s="6" t="n">
        <x:f>ROUND(U199*'Debt strategy'!$D$12/12,2)</x:f>
        <x:v>0</x:v>
      </x:c>
      <x:c r="W199" s="6" t="n">
        <x:f>MIN(U199+V199,'Debt strategy'!$E$12)</x:f>
        <x:v>0</x:v>
      </x:c>
      <x:c r="X199" s="27" t="n">
        <x:f>IF(U199+V199-W199&lt;=0,99,1+SUM(IF(AND(C199+D199-E199&gt;0,OR('Debt strategy'!$D$9&gt;'Debt strategy'!$D$12,AND('Debt strategy'!$D$9='Debt strategy'!$D$12,0&lt;3))),1,0),IF(AND(I199+J199-K199&gt;0,OR('Debt strategy'!$D$10&gt;'Debt strategy'!$D$12,AND('Debt strategy'!$D$10='Debt strategy'!$D$12,1&lt;3))),1,0),IF(AND(O199+P199-Q199&gt;0,OR('Debt strategy'!$D$11&gt;'Debt strategy'!$D$12,AND('Debt strategy'!$D$11='Debt strategy'!$D$12,2&lt;3))),1,0),IF(AND(AA199+AB199-AC199&gt;0,OR('Debt strategy'!$D$13&gt;'Debt strategy'!$D$12,AND('Debt strategy'!$D$13='Debt strategy'!$D$12,4&lt;3))),1,0)))</x:f>
        <x:v>99</x:v>
      </x:c>
      <x:c r="Y199" s="6" t="n">
        <x:f>IF('Debt strategy'!$C$16&gt;0,0,MIN(U199+V199-W199,MAX(0,'Debt strategy'!$C$5-SUM(E199,K199,Q199,W199,AC199)-SUM(IF(F199&lt;X199,C199+D199-E199,0),IF(L199&lt;X199,I199+J199-K199,0),IF(R199&lt;X199,O199+P199-Q199,0),IF(AD199&lt;X199,AA199+AB199-AC199,0)))))</x:f>
        <x:v>0</x:v>
      </x:c>
      <x:c r="Z199" s="6" t="n">
        <x:f>ROUND(MAX(0,U199+V199-W199-Y199),2)</x:f>
        <x:v>0</x:v>
      </x:c>
      <x:c r="AA199" s="6" t="n">
        <x:f>AF198</x:f>
        <x:v>0</x:v>
      </x:c>
      <x:c r="AB199" s="6" t="n">
        <x:f>ROUND(AA199*'Debt strategy'!$D$13/12,2)</x:f>
        <x:v>0</x:v>
      </x:c>
      <x:c r="AC199" s="6" t="n">
        <x:f>MIN(AA199+AB199,'Debt strategy'!$E$13)</x:f>
        <x:v>0</x:v>
      </x:c>
      <x:c r="AD199" s="27" t="n">
        <x:f>IF(AA199+AB199-AC199&lt;=0,99,1+SUM(IF(AND(C199+D199-E199&gt;0,OR('Debt strategy'!$D$9&gt;'Debt strategy'!$D$13,AND('Debt strategy'!$D$9='Debt strategy'!$D$13,0&lt;4))),1,0),IF(AND(I199+J199-K199&gt;0,OR('Debt strategy'!$D$10&gt;'Debt strategy'!$D$13,AND('Debt strategy'!$D$10='Debt strategy'!$D$13,1&lt;4))),1,0),IF(AND(O199+P199-Q199&gt;0,OR('Debt strategy'!$D$11&gt;'Debt strategy'!$D$13,AND('Debt strategy'!$D$11='Debt strategy'!$D$13,2&lt;4))),1,0),IF(AND(U199+V199-W199&gt;0,OR('Debt strategy'!$D$12&gt;'Debt strategy'!$D$13,AND('Debt strategy'!$D$12='Debt strategy'!$D$13,3&lt;4))),1,0)))</x:f>
        <x:v>99</x:v>
      </x:c>
      <x:c r="AE199" s="6" t="n">
        <x:f>IF('Debt strategy'!$C$16&gt;0,0,MIN(AA199+AB199-AC199,MAX(0,'Debt strategy'!$C$5-SUM(E199,K199,Q199,W199,AC199)-SUM(IF(F199&lt;AD199,C199+D199-E199,0),IF(L199&lt;AD199,I199+J199-K199,0),IF(R199&lt;AD199,O199+P199-Q199,0),IF(X199&lt;AD199,U199+V199-W199,0)))))</x:f>
        <x:v>0</x:v>
      </x:c>
      <x:c r="AF199" s="6" t="n">
        <x:f>ROUND(MAX(0,AA199+AB199-AC199-AE199),2)</x:f>
        <x:v>0</x:v>
      </x:c>
      <x:c r="AG199" s="6" t="n">
        <x:f>SUM(H199,N199,T199,Z199,AF199)</x:f>
        <x:v>0</x:v>
      </x:c>
      <x:c r="AH199" s="6" t="n">
        <x:f>SUM(D199,J199,P199,V199,AB199)+AH198</x:f>
        <x:v>1220.8400000000001</x:v>
      </x:c>
      <x:c r="AI199" s="2"/>
    </x:row>
    <x:row r="200" ht="23" customHeight="1">
      <x:c r="B200" s="2" t="n">
        <x:f>192</x:f>
        <x:v>192</x:v>
      </x:c>
      <x:c r="C200" s="6" t="n">
        <x:f>H199</x:f>
        <x:v>0</x:v>
      </x:c>
      <x:c r="D200" s="6" t="n">
        <x:f>ROUND(C200*'Debt strategy'!$D$9/12,2)</x:f>
        <x:v>0</x:v>
      </x:c>
      <x:c r="E200" s="6" t="n">
        <x:f>MIN(C200+D200,'Debt strategy'!$E$9)</x:f>
        <x:v>0</x:v>
      </x:c>
      <x:c r="F200" s="27" t="n">
        <x:f>IF(C200+D200-E200&lt;=0,99,1+SUM(IF(AND(I200+J200-K200&gt;0,OR('Debt strategy'!$D$10&gt;'Debt strategy'!$D$9,AND('Debt strategy'!$D$10='Debt strategy'!$D$9,1&lt;0))),1,0),IF(AND(O200+P200-Q200&gt;0,OR('Debt strategy'!$D$11&gt;'Debt strategy'!$D$9,AND('Debt strategy'!$D$11='Debt strategy'!$D$9,2&lt;0))),1,0),IF(AND(U200+V200-W200&gt;0,OR('Debt strategy'!$D$12&gt;'Debt strategy'!$D$9,AND('Debt strategy'!$D$12='Debt strategy'!$D$9,3&lt;0))),1,0),IF(AND(AA200+AB200-AC200&gt;0,OR('Debt strategy'!$D$13&gt;'Debt strategy'!$D$9,AND('Debt strategy'!$D$13='Debt strategy'!$D$9,4&lt;0))),1,0)))</x:f>
        <x:v>99</x:v>
      </x:c>
      <x:c r="G200" s="6" t="n">
        <x:f>IF('Debt strategy'!$C$16&gt;0,0,MIN(C200+D200-E200,MAX(0,'Debt strategy'!$C$5-SUM(E200,K200,Q200,W200,AC200)-SUM(IF(L200&lt;F200,I200+J200-K200,0),IF(R200&lt;F200,O200+P200-Q200,0),IF(X200&lt;F200,U200+V200-W200,0),IF(AD200&lt;F200,AA200+AB200-AC200,0)))))</x:f>
        <x:v>0</x:v>
      </x:c>
      <x:c r="H200" s="6" t="n">
        <x:f>ROUND(MAX(0,C200+D200-E200-G200),2)</x:f>
        <x:v>0</x:v>
      </x:c>
      <x:c r="I200" s="6" t="n">
        <x:f>N199</x:f>
        <x:v>0</x:v>
      </x:c>
      <x:c r="J200" s="6" t="n">
        <x:f>ROUND(I200*'Debt strategy'!$D$10/12,2)</x:f>
        <x:v>0</x:v>
      </x:c>
      <x:c r="K200" s="6" t="n">
        <x:f>MIN(I200+J200,'Debt strategy'!$E$10)</x:f>
        <x:v>0</x:v>
      </x:c>
      <x:c r="L200" s="27" t="n">
        <x:f>IF(I200+J200-K200&lt;=0,99,1+SUM(IF(AND(C200+D200-E200&gt;0,OR('Debt strategy'!$D$9&gt;'Debt strategy'!$D$10,AND('Debt strategy'!$D$9='Debt strategy'!$D$10,0&lt;1))),1,0),IF(AND(O200+P200-Q200&gt;0,OR('Debt strategy'!$D$11&gt;'Debt strategy'!$D$10,AND('Debt strategy'!$D$11='Debt strategy'!$D$10,2&lt;1))),1,0),IF(AND(U200+V200-W200&gt;0,OR('Debt strategy'!$D$12&gt;'Debt strategy'!$D$10,AND('Debt strategy'!$D$12='Debt strategy'!$D$10,3&lt;1))),1,0),IF(AND(AA200+AB200-AC200&gt;0,OR('Debt strategy'!$D$13&gt;'Debt strategy'!$D$10,AND('Debt strategy'!$D$13='Debt strategy'!$D$10,4&lt;1))),1,0)))</x:f>
        <x:v>99</x:v>
      </x:c>
      <x:c r="M200" s="6" t="n">
        <x:f>IF('Debt strategy'!$C$16&gt;0,0,MIN(I200+J200-K200,MAX(0,'Debt strategy'!$C$5-SUM(E200,K200,Q200,W200,AC200)-SUM(IF(F200&lt;L200,C200+D200-E200,0),IF(R200&lt;L200,O200+P200-Q200,0),IF(X200&lt;L200,U200+V200-W200,0),IF(AD200&lt;L200,AA200+AB200-AC200,0)))))</x:f>
        <x:v>0</x:v>
      </x:c>
      <x:c r="N200" s="6" t="n">
        <x:f>ROUND(MAX(0,I200+J200-K200-M200),2)</x:f>
        <x:v>0</x:v>
      </x:c>
      <x:c r="O200" s="6" t="n">
        <x:f>T199</x:f>
        <x:v>0</x:v>
      </x:c>
      <x:c r="P200" s="6" t="n">
        <x:f>ROUND(O200*'Debt strategy'!$D$11/12,2)</x:f>
        <x:v>0</x:v>
      </x:c>
      <x:c r="Q200" s="6" t="n">
        <x:f>MIN(O200+P200,'Debt strategy'!$E$11)</x:f>
        <x:v>0</x:v>
      </x:c>
      <x:c r="R200" s="27" t="n">
        <x:f>IF(O200+P200-Q200&lt;=0,99,1+SUM(IF(AND(C200+D200-E200&gt;0,OR('Debt strategy'!$D$9&gt;'Debt strategy'!$D$11,AND('Debt strategy'!$D$9='Debt strategy'!$D$11,0&lt;2))),1,0),IF(AND(I200+J200-K200&gt;0,OR('Debt strategy'!$D$10&gt;'Debt strategy'!$D$11,AND('Debt strategy'!$D$10='Debt strategy'!$D$11,1&lt;2))),1,0),IF(AND(U200+V200-W200&gt;0,OR('Debt strategy'!$D$12&gt;'Debt strategy'!$D$11,AND('Debt strategy'!$D$12='Debt strategy'!$D$11,3&lt;2))),1,0),IF(AND(AA200+AB200-AC200&gt;0,OR('Debt strategy'!$D$13&gt;'Debt strategy'!$D$11,AND('Debt strategy'!$D$13='Debt strategy'!$D$11,4&lt;2))),1,0)))</x:f>
        <x:v>99</x:v>
      </x:c>
      <x:c r="S200" s="6" t="n">
        <x:f>IF('Debt strategy'!$C$16&gt;0,0,MIN(O200+P200-Q200,MAX(0,'Debt strategy'!$C$5-SUM(E200,K200,Q200,W200,AC200)-SUM(IF(F200&lt;R200,C200+D200-E200,0),IF(L200&lt;R200,I200+J200-K200,0),IF(X200&lt;R200,U200+V200-W200,0),IF(AD200&lt;R200,AA200+AB200-AC200,0)))))</x:f>
        <x:v>0</x:v>
      </x:c>
      <x:c r="T200" s="6" t="n">
        <x:f>ROUND(MAX(0,O200+P200-Q200-S200),2)</x:f>
        <x:v>0</x:v>
      </x:c>
      <x:c r="U200" s="6" t="n">
        <x:f>Z199</x:f>
        <x:v>0</x:v>
      </x:c>
      <x:c r="V200" s="6" t="n">
        <x:f>ROUND(U200*'Debt strategy'!$D$12/12,2)</x:f>
        <x:v>0</x:v>
      </x:c>
      <x:c r="W200" s="6" t="n">
        <x:f>MIN(U200+V200,'Debt strategy'!$E$12)</x:f>
        <x:v>0</x:v>
      </x:c>
      <x:c r="X200" s="27" t="n">
        <x:f>IF(U200+V200-W200&lt;=0,99,1+SUM(IF(AND(C200+D200-E200&gt;0,OR('Debt strategy'!$D$9&gt;'Debt strategy'!$D$12,AND('Debt strategy'!$D$9='Debt strategy'!$D$12,0&lt;3))),1,0),IF(AND(I200+J200-K200&gt;0,OR('Debt strategy'!$D$10&gt;'Debt strategy'!$D$12,AND('Debt strategy'!$D$10='Debt strategy'!$D$12,1&lt;3))),1,0),IF(AND(O200+P200-Q200&gt;0,OR('Debt strategy'!$D$11&gt;'Debt strategy'!$D$12,AND('Debt strategy'!$D$11='Debt strategy'!$D$12,2&lt;3))),1,0),IF(AND(AA200+AB200-AC200&gt;0,OR('Debt strategy'!$D$13&gt;'Debt strategy'!$D$12,AND('Debt strategy'!$D$13='Debt strategy'!$D$12,4&lt;3))),1,0)))</x:f>
        <x:v>99</x:v>
      </x:c>
      <x:c r="Y200" s="6" t="n">
        <x:f>IF('Debt strategy'!$C$16&gt;0,0,MIN(U200+V200-W200,MAX(0,'Debt strategy'!$C$5-SUM(E200,K200,Q200,W200,AC200)-SUM(IF(F200&lt;X200,C200+D200-E200,0),IF(L200&lt;X200,I200+J200-K200,0),IF(R200&lt;X200,O200+P200-Q200,0),IF(AD200&lt;X200,AA200+AB200-AC200,0)))))</x:f>
        <x:v>0</x:v>
      </x:c>
      <x:c r="Z200" s="6" t="n">
        <x:f>ROUND(MAX(0,U200+V200-W200-Y200),2)</x:f>
        <x:v>0</x:v>
      </x:c>
      <x:c r="AA200" s="6" t="n">
        <x:f>AF199</x:f>
        <x:v>0</x:v>
      </x:c>
      <x:c r="AB200" s="6" t="n">
        <x:f>ROUND(AA200*'Debt strategy'!$D$13/12,2)</x:f>
        <x:v>0</x:v>
      </x:c>
      <x:c r="AC200" s="6" t="n">
        <x:f>MIN(AA200+AB200,'Debt strategy'!$E$13)</x:f>
        <x:v>0</x:v>
      </x:c>
      <x:c r="AD200" s="27" t="n">
        <x:f>IF(AA200+AB200-AC200&lt;=0,99,1+SUM(IF(AND(C200+D200-E200&gt;0,OR('Debt strategy'!$D$9&gt;'Debt strategy'!$D$13,AND('Debt strategy'!$D$9='Debt strategy'!$D$13,0&lt;4))),1,0),IF(AND(I200+J200-K200&gt;0,OR('Debt strategy'!$D$10&gt;'Debt strategy'!$D$13,AND('Debt strategy'!$D$10='Debt strategy'!$D$13,1&lt;4))),1,0),IF(AND(O200+P200-Q200&gt;0,OR('Debt strategy'!$D$11&gt;'Debt strategy'!$D$13,AND('Debt strategy'!$D$11='Debt strategy'!$D$13,2&lt;4))),1,0),IF(AND(U200+V200-W200&gt;0,OR('Debt strategy'!$D$12&gt;'Debt strategy'!$D$13,AND('Debt strategy'!$D$12='Debt strategy'!$D$13,3&lt;4))),1,0)))</x:f>
        <x:v>99</x:v>
      </x:c>
      <x:c r="AE200" s="6" t="n">
        <x:f>IF('Debt strategy'!$C$16&gt;0,0,MIN(AA200+AB200-AC200,MAX(0,'Debt strategy'!$C$5-SUM(E200,K200,Q200,W200,AC200)-SUM(IF(F200&lt;AD200,C200+D200-E200,0),IF(L200&lt;AD200,I200+J200-K200,0),IF(R200&lt;AD200,O200+P200-Q200,0),IF(X200&lt;AD200,U200+V200-W200,0)))))</x:f>
        <x:v>0</x:v>
      </x:c>
      <x:c r="AF200" s="6" t="n">
        <x:f>ROUND(MAX(0,AA200+AB200-AC200-AE200),2)</x:f>
        <x:v>0</x:v>
      </x:c>
      <x:c r="AG200" s="6" t="n">
        <x:f>SUM(H200,N200,T200,Z200,AF200)</x:f>
        <x:v>0</x:v>
      </x:c>
      <x:c r="AH200" s="6" t="n">
        <x:f>SUM(D200,J200,P200,V200,AB200)+AH199</x:f>
        <x:v>1220.8400000000001</x:v>
      </x:c>
      <x:c r="AI200" s="2"/>
    </x:row>
    <x:row r="201" ht="23" customHeight="1">
      <x:c r="B201" s="2" t="n">
        <x:f>193</x:f>
        <x:v>193</x:v>
      </x:c>
      <x:c r="C201" s="6" t="n">
        <x:f>H200</x:f>
        <x:v>0</x:v>
      </x:c>
      <x:c r="D201" s="6" t="n">
        <x:f>ROUND(C201*'Debt strategy'!$D$9/12,2)</x:f>
        <x:v>0</x:v>
      </x:c>
      <x:c r="E201" s="6" t="n">
        <x:f>MIN(C201+D201,'Debt strategy'!$E$9)</x:f>
        <x:v>0</x:v>
      </x:c>
      <x:c r="F201" s="27" t="n">
        <x:f>IF(C201+D201-E201&lt;=0,99,1+SUM(IF(AND(I201+J201-K201&gt;0,OR('Debt strategy'!$D$10&gt;'Debt strategy'!$D$9,AND('Debt strategy'!$D$10='Debt strategy'!$D$9,1&lt;0))),1,0),IF(AND(O201+P201-Q201&gt;0,OR('Debt strategy'!$D$11&gt;'Debt strategy'!$D$9,AND('Debt strategy'!$D$11='Debt strategy'!$D$9,2&lt;0))),1,0),IF(AND(U201+V201-W201&gt;0,OR('Debt strategy'!$D$12&gt;'Debt strategy'!$D$9,AND('Debt strategy'!$D$12='Debt strategy'!$D$9,3&lt;0))),1,0),IF(AND(AA201+AB201-AC201&gt;0,OR('Debt strategy'!$D$13&gt;'Debt strategy'!$D$9,AND('Debt strategy'!$D$13='Debt strategy'!$D$9,4&lt;0))),1,0)))</x:f>
        <x:v>99</x:v>
      </x:c>
      <x:c r="G201" s="6" t="n">
        <x:f>IF('Debt strategy'!$C$16&gt;0,0,MIN(C201+D201-E201,MAX(0,'Debt strategy'!$C$5-SUM(E201,K201,Q201,W201,AC201)-SUM(IF(L201&lt;F201,I201+J201-K201,0),IF(R201&lt;F201,O201+P201-Q201,0),IF(X201&lt;F201,U201+V201-W201,0),IF(AD201&lt;F201,AA201+AB201-AC201,0)))))</x:f>
        <x:v>0</x:v>
      </x:c>
      <x:c r="H201" s="6" t="n">
        <x:f>ROUND(MAX(0,C201+D201-E201-G201),2)</x:f>
        <x:v>0</x:v>
      </x:c>
      <x:c r="I201" s="6" t="n">
        <x:f>N200</x:f>
        <x:v>0</x:v>
      </x:c>
      <x:c r="J201" s="6" t="n">
        <x:f>ROUND(I201*'Debt strategy'!$D$10/12,2)</x:f>
        <x:v>0</x:v>
      </x:c>
      <x:c r="K201" s="6" t="n">
        <x:f>MIN(I201+J201,'Debt strategy'!$E$10)</x:f>
        <x:v>0</x:v>
      </x:c>
      <x:c r="L201" s="27" t="n">
        <x:f>IF(I201+J201-K201&lt;=0,99,1+SUM(IF(AND(C201+D201-E201&gt;0,OR('Debt strategy'!$D$9&gt;'Debt strategy'!$D$10,AND('Debt strategy'!$D$9='Debt strategy'!$D$10,0&lt;1))),1,0),IF(AND(O201+P201-Q201&gt;0,OR('Debt strategy'!$D$11&gt;'Debt strategy'!$D$10,AND('Debt strategy'!$D$11='Debt strategy'!$D$10,2&lt;1))),1,0),IF(AND(U201+V201-W201&gt;0,OR('Debt strategy'!$D$12&gt;'Debt strategy'!$D$10,AND('Debt strategy'!$D$12='Debt strategy'!$D$10,3&lt;1))),1,0),IF(AND(AA201+AB201-AC201&gt;0,OR('Debt strategy'!$D$13&gt;'Debt strategy'!$D$10,AND('Debt strategy'!$D$13='Debt strategy'!$D$10,4&lt;1))),1,0)))</x:f>
        <x:v>99</x:v>
      </x:c>
      <x:c r="M201" s="6" t="n">
        <x:f>IF('Debt strategy'!$C$16&gt;0,0,MIN(I201+J201-K201,MAX(0,'Debt strategy'!$C$5-SUM(E201,K201,Q201,W201,AC201)-SUM(IF(F201&lt;L201,C201+D201-E201,0),IF(R201&lt;L201,O201+P201-Q201,0),IF(X201&lt;L201,U201+V201-W201,0),IF(AD201&lt;L201,AA201+AB201-AC201,0)))))</x:f>
        <x:v>0</x:v>
      </x:c>
      <x:c r="N201" s="6" t="n">
        <x:f>ROUND(MAX(0,I201+J201-K201-M201),2)</x:f>
        <x:v>0</x:v>
      </x:c>
      <x:c r="O201" s="6" t="n">
        <x:f>T200</x:f>
        <x:v>0</x:v>
      </x:c>
      <x:c r="P201" s="6" t="n">
        <x:f>ROUND(O201*'Debt strategy'!$D$11/12,2)</x:f>
        <x:v>0</x:v>
      </x:c>
      <x:c r="Q201" s="6" t="n">
        <x:f>MIN(O201+P201,'Debt strategy'!$E$11)</x:f>
        <x:v>0</x:v>
      </x:c>
      <x:c r="R201" s="27" t="n">
        <x:f>IF(O201+P201-Q201&lt;=0,99,1+SUM(IF(AND(C201+D201-E201&gt;0,OR('Debt strategy'!$D$9&gt;'Debt strategy'!$D$11,AND('Debt strategy'!$D$9='Debt strategy'!$D$11,0&lt;2))),1,0),IF(AND(I201+J201-K201&gt;0,OR('Debt strategy'!$D$10&gt;'Debt strategy'!$D$11,AND('Debt strategy'!$D$10='Debt strategy'!$D$11,1&lt;2))),1,0),IF(AND(U201+V201-W201&gt;0,OR('Debt strategy'!$D$12&gt;'Debt strategy'!$D$11,AND('Debt strategy'!$D$12='Debt strategy'!$D$11,3&lt;2))),1,0),IF(AND(AA201+AB201-AC201&gt;0,OR('Debt strategy'!$D$13&gt;'Debt strategy'!$D$11,AND('Debt strategy'!$D$13='Debt strategy'!$D$11,4&lt;2))),1,0)))</x:f>
        <x:v>99</x:v>
      </x:c>
      <x:c r="S201" s="6" t="n">
        <x:f>IF('Debt strategy'!$C$16&gt;0,0,MIN(O201+P201-Q201,MAX(0,'Debt strategy'!$C$5-SUM(E201,K201,Q201,W201,AC201)-SUM(IF(F201&lt;R201,C201+D201-E201,0),IF(L201&lt;R201,I201+J201-K201,0),IF(X201&lt;R201,U201+V201-W201,0),IF(AD201&lt;R201,AA201+AB201-AC201,0)))))</x:f>
        <x:v>0</x:v>
      </x:c>
      <x:c r="T201" s="6" t="n">
        <x:f>ROUND(MAX(0,O201+P201-Q201-S201),2)</x:f>
        <x:v>0</x:v>
      </x:c>
      <x:c r="U201" s="6" t="n">
        <x:f>Z200</x:f>
        <x:v>0</x:v>
      </x:c>
      <x:c r="V201" s="6" t="n">
        <x:f>ROUND(U201*'Debt strategy'!$D$12/12,2)</x:f>
        <x:v>0</x:v>
      </x:c>
      <x:c r="W201" s="6" t="n">
        <x:f>MIN(U201+V201,'Debt strategy'!$E$12)</x:f>
        <x:v>0</x:v>
      </x:c>
      <x:c r="X201" s="27" t="n">
        <x:f>IF(U201+V201-W201&lt;=0,99,1+SUM(IF(AND(C201+D201-E201&gt;0,OR('Debt strategy'!$D$9&gt;'Debt strategy'!$D$12,AND('Debt strategy'!$D$9='Debt strategy'!$D$12,0&lt;3))),1,0),IF(AND(I201+J201-K201&gt;0,OR('Debt strategy'!$D$10&gt;'Debt strategy'!$D$12,AND('Debt strategy'!$D$10='Debt strategy'!$D$12,1&lt;3))),1,0),IF(AND(O201+P201-Q201&gt;0,OR('Debt strategy'!$D$11&gt;'Debt strategy'!$D$12,AND('Debt strategy'!$D$11='Debt strategy'!$D$12,2&lt;3))),1,0),IF(AND(AA201+AB201-AC201&gt;0,OR('Debt strategy'!$D$13&gt;'Debt strategy'!$D$12,AND('Debt strategy'!$D$13='Debt strategy'!$D$12,4&lt;3))),1,0)))</x:f>
        <x:v>99</x:v>
      </x:c>
      <x:c r="Y201" s="6" t="n">
        <x:f>IF('Debt strategy'!$C$16&gt;0,0,MIN(U201+V201-W201,MAX(0,'Debt strategy'!$C$5-SUM(E201,K201,Q201,W201,AC201)-SUM(IF(F201&lt;X201,C201+D201-E201,0),IF(L201&lt;X201,I201+J201-K201,0),IF(R201&lt;X201,O201+P201-Q201,0),IF(AD201&lt;X201,AA201+AB201-AC201,0)))))</x:f>
        <x:v>0</x:v>
      </x:c>
      <x:c r="Z201" s="6" t="n">
        <x:f>ROUND(MAX(0,U201+V201-W201-Y201),2)</x:f>
        <x:v>0</x:v>
      </x:c>
      <x:c r="AA201" s="6" t="n">
        <x:f>AF200</x:f>
        <x:v>0</x:v>
      </x:c>
      <x:c r="AB201" s="6" t="n">
        <x:f>ROUND(AA201*'Debt strategy'!$D$13/12,2)</x:f>
        <x:v>0</x:v>
      </x:c>
      <x:c r="AC201" s="6" t="n">
        <x:f>MIN(AA201+AB201,'Debt strategy'!$E$13)</x:f>
        <x:v>0</x:v>
      </x:c>
      <x:c r="AD201" s="27" t="n">
        <x:f>IF(AA201+AB201-AC201&lt;=0,99,1+SUM(IF(AND(C201+D201-E201&gt;0,OR('Debt strategy'!$D$9&gt;'Debt strategy'!$D$13,AND('Debt strategy'!$D$9='Debt strategy'!$D$13,0&lt;4))),1,0),IF(AND(I201+J201-K201&gt;0,OR('Debt strategy'!$D$10&gt;'Debt strategy'!$D$13,AND('Debt strategy'!$D$10='Debt strategy'!$D$13,1&lt;4))),1,0),IF(AND(O201+P201-Q201&gt;0,OR('Debt strategy'!$D$11&gt;'Debt strategy'!$D$13,AND('Debt strategy'!$D$11='Debt strategy'!$D$13,2&lt;4))),1,0),IF(AND(U201+V201-W201&gt;0,OR('Debt strategy'!$D$12&gt;'Debt strategy'!$D$13,AND('Debt strategy'!$D$12='Debt strategy'!$D$13,3&lt;4))),1,0)))</x:f>
        <x:v>99</x:v>
      </x:c>
      <x:c r="AE201" s="6" t="n">
        <x:f>IF('Debt strategy'!$C$16&gt;0,0,MIN(AA201+AB201-AC201,MAX(0,'Debt strategy'!$C$5-SUM(E201,K201,Q201,W201,AC201)-SUM(IF(F201&lt;AD201,C201+D201-E201,0),IF(L201&lt;AD201,I201+J201-K201,0),IF(R201&lt;AD201,O201+P201-Q201,0),IF(X201&lt;AD201,U201+V201-W201,0)))))</x:f>
        <x:v>0</x:v>
      </x:c>
      <x:c r="AF201" s="6" t="n">
        <x:f>ROUND(MAX(0,AA201+AB201-AC201-AE201),2)</x:f>
        <x:v>0</x:v>
      </x:c>
      <x:c r="AG201" s="6" t="n">
        <x:f>SUM(H201,N201,T201,Z201,AF201)</x:f>
        <x:v>0</x:v>
      </x:c>
      <x:c r="AH201" s="6" t="n">
        <x:f>SUM(D201,J201,P201,V201,AB201)+AH200</x:f>
        <x:v>1220.8400000000001</x:v>
      </x:c>
      <x:c r="AI201" s="2"/>
    </x:row>
    <x:row r="202" ht="23" customHeight="1">
      <x:c r="B202" s="2" t="n">
        <x:f>194</x:f>
        <x:v>194</x:v>
      </x:c>
      <x:c r="C202" s="6" t="n">
        <x:f>H201</x:f>
        <x:v>0</x:v>
      </x:c>
      <x:c r="D202" s="6" t="n">
        <x:f>ROUND(C202*'Debt strategy'!$D$9/12,2)</x:f>
        <x:v>0</x:v>
      </x:c>
      <x:c r="E202" s="6" t="n">
        <x:f>MIN(C202+D202,'Debt strategy'!$E$9)</x:f>
        <x:v>0</x:v>
      </x:c>
      <x:c r="F202" s="27" t="n">
        <x:f>IF(C202+D202-E202&lt;=0,99,1+SUM(IF(AND(I202+J202-K202&gt;0,OR('Debt strategy'!$D$10&gt;'Debt strategy'!$D$9,AND('Debt strategy'!$D$10='Debt strategy'!$D$9,1&lt;0))),1,0),IF(AND(O202+P202-Q202&gt;0,OR('Debt strategy'!$D$11&gt;'Debt strategy'!$D$9,AND('Debt strategy'!$D$11='Debt strategy'!$D$9,2&lt;0))),1,0),IF(AND(U202+V202-W202&gt;0,OR('Debt strategy'!$D$12&gt;'Debt strategy'!$D$9,AND('Debt strategy'!$D$12='Debt strategy'!$D$9,3&lt;0))),1,0),IF(AND(AA202+AB202-AC202&gt;0,OR('Debt strategy'!$D$13&gt;'Debt strategy'!$D$9,AND('Debt strategy'!$D$13='Debt strategy'!$D$9,4&lt;0))),1,0)))</x:f>
        <x:v>99</x:v>
      </x:c>
      <x:c r="G202" s="6" t="n">
        <x:f>IF('Debt strategy'!$C$16&gt;0,0,MIN(C202+D202-E202,MAX(0,'Debt strategy'!$C$5-SUM(E202,K202,Q202,W202,AC202)-SUM(IF(L202&lt;F202,I202+J202-K202,0),IF(R202&lt;F202,O202+P202-Q202,0),IF(X202&lt;F202,U202+V202-W202,0),IF(AD202&lt;F202,AA202+AB202-AC202,0)))))</x:f>
        <x:v>0</x:v>
      </x:c>
      <x:c r="H202" s="6" t="n">
        <x:f>ROUND(MAX(0,C202+D202-E202-G202),2)</x:f>
        <x:v>0</x:v>
      </x:c>
      <x:c r="I202" s="6" t="n">
        <x:f>N201</x:f>
        <x:v>0</x:v>
      </x:c>
      <x:c r="J202" s="6" t="n">
        <x:f>ROUND(I202*'Debt strategy'!$D$10/12,2)</x:f>
        <x:v>0</x:v>
      </x:c>
      <x:c r="K202" s="6" t="n">
        <x:f>MIN(I202+J202,'Debt strategy'!$E$10)</x:f>
        <x:v>0</x:v>
      </x:c>
      <x:c r="L202" s="27" t="n">
        <x:f>IF(I202+J202-K202&lt;=0,99,1+SUM(IF(AND(C202+D202-E202&gt;0,OR('Debt strategy'!$D$9&gt;'Debt strategy'!$D$10,AND('Debt strategy'!$D$9='Debt strategy'!$D$10,0&lt;1))),1,0),IF(AND(O202+P202-Q202&gt;0,OR('Debt strategy'!$D$11&gt;'Debt strategy'!$D$10,AND('Debt strategy'!$D$11='Debt strategy'!$D$10,2&lt;1))),1,0),IF(AND(U202+V202-W202&gt;0,OR('Debt strategy'!$D$12&gt;'Debt strategy'!$D$10,AND('Debt strategy'!$D$12='Debt strategy'!$D$10,3&lt;1))),1,0),IF(AND(AA202+AB202-AC202&gt;0,OR('Debt strategy'!$D$13&gt;'Debt strategy'!$D$10,AND('Debt strategy'!$D$13='Debt strategy'!$D$10,4&lt;1))),1,0)))</x:f>
        <x:v>99</x:v>
      </x:c>
      <x:c r="M202" s="6" t="n">
        <x:f>IF('Debt strategy'!$C$16&gt;0,0,MIN(I202+J202-K202,MAX(0,'Debt strategy'!$C$5-SUM(E202,K202,Q202,W202,AC202)-SUM(IF(F202&lt;L202,C202+D202-E202,0),IF(R202&lt;L202,O202+P202-Q202,0),IF(X202&lt;L202,U202+V202-W202,0),IF(AD202&lt;L202,AA202+AB202-AC202,0)))))</x:f>
        <x:v>0</x:v>
      </x:c>
      <x:c r="N202" s="6" t="n">
        <x:f>ROUND(MAX(0,I202+J202-K202-M202),2)</x:f>
        <x:v>0</x:v>
      </x:c>
      <x:c r="O202" s="6" t="n">
        <x:f>T201</x:f>
        <x:v>0</x:v>
      </x:c>
      <x:c r="P202" s="6" t="n">
        <x:f>ROUND(O202*'Debt strategy'!$D$11/12,2)</x:f>
        <x:v>0</x:v>
      </x:c>
      <x:c r="Q202" s="6" t="n">
        <x:f>MIN(O202+P202,'Debt strategy'!$E$11)</x:f>
        <x:v>0</x:v>
      </x:c>
      <x:c r="R202" s="27" t="n">
        <x:f>IF(O202+P202-Q202&lt;=0,99,1+SUM(IF(AND(C202+D202-E202&gt;0,OR('Debt strategy'!$D$9&gt;'Debt strategy'!$D$11,AND('Debt strategy'!$D$9='Debt strategy'!$D$11,0&lt;2))),1,0),IF(AND(I202+J202-K202&gt;0,OR('Debt strategy'!$D$10&gt;'Debt strategy'!$D$11,AND('Debt strategy'!$D$10='Debt strategy'!$D$11,1&lt;2))),1,0),IF(AND(U202+V202-W202&gt;0,OR('Debt strategy'!$D$12&gt;'Debt strategy'!$D$11,AND('Debt strategy'!$D$12='Debt strategy'!$D$11,3&lt;2))),1,0),IF(AND(AA202+AB202-AC202&gt;0,OR('Debt strategy'!$D$13&gt;'Debt strategy'!$D$11,AND('Debt strategy'!$D$13='Debt strategy'!$D$11,4&lt;2))),1,0)))</x:f>
        <x:v>99</x:v>
      </x:c>
      <x:c r="S202" s="6" t="n">
        <x:f>IF('Debt strategy'!$C$16&gt;0,0,MIN(O202+P202-Q202,MAX(0,'Debt strategy'!$C$5-SUM(E202,K202,Q202,W202,AC202)-SUM(IF(F202&lt;R202,C202+D202-E202,0),IF(L202&lt;R202,I202+J202-K202,0),IF(X202&lt;R202,U202+V202-W202,0),IF(AD202&lt;R202,AA202+AB202-AC202,0)))))</x:f>
        <x:v>0</x:v>
      </x:c>
      <x:c r="T202" s="6" t="n">
        <x:f>ROUND(MAX(0,O202+P202-Q202-S202),2)</x:f>
        <x:v>0</x:v>
      </x:c>
      <x:c r="U202" s="6" t="n">
        <x:f>Z201</x:f>
        <x:v>0</x:v>
      </x:c>
      <x:c r="V202" s="6" t="n">
        <x:f>ROUND(U202*'Debt strategy'!$D$12/12,2)</x:f>
        <x:v>0</x:v>
      </x:c>
      <x:c r="W202" s="6" t="n">
        <x:f>MIN(U202+V202,'Debt strategy'!$E$12)</x:f>
        <x:v>0</x:v>
      </x:c>
      <x:c r="X202" s="27" t="n">
        <x:f>IF(U202+V202-W202&lt;=0,99,1+SUM(IF(AND(C202+D202-E202&gt;0,OR('Debt strategy'!$D$9&gt;'Debt strategy'!$D$12,AND('Debt strategy'!$D$9='Debt strategy'!$D$12,0&lt;3))),1,0),IF(AND(I202+J202-K202&gt;0,OR('Debt strategy'!$D$10&gt;'Debt strategy'!$D$12,AND('Debt strategy'!$D$10='Debt strategy'!$D$12,1&lt;3))),1,0),IF(AND(O202+P202-Q202&gt;0,OR('Debt strategy'!$D$11&gt;'Debt strategy'!$D$12,AND('Debt strategy'!$D$11='Debt strategy'!$D$12,2&lt;3))),1,0),IF(AND(AA202+AB202-AC202&gt;0,OR('Debt strategy'!$D$13&gt;'Debt strategy'!$D$12,AND('Debt strategy'!$D$13='Debt strategy'!$D$12,4&lt;3))),1,0)))</x:f>
        <x:v>99</x:v>
      </x:c>
      <x:c r="Y202" s="6" t="n">
        <x:f>IF('Debt strategy'!$C$16&gt;0,0,MIN(U202+V202-W202,MAX(0,'Debt strategy'!$C$5-SUM(E202,K202,Q202,W202,AC202)-SUM(IF(F202&lt;X202,C202+D202-E202,0),IF(L202&lt;X202,I202+J202-K202,0),IF(R202&lt;X202,O202+P202-Q202,0),IF(AD202&lt;X202,AA202+AB202-AC202,0)))))</x:f>
        <x:v>0</x:v>
      </x:c>
      <x:c r="Z202" s="6" t="n">
        <x:f>ROUND(MAX(0,U202+V202-W202-Y202),2)</x:f>
        <x:v>0</x:v>
      </x:c>
      <x:c r="AA202" s="6" t="n">
        <x:f>AF201</x:f>
        <x:v>0</x:v>
      </x:c>
      <x:c r="AB202" s="6" t="n">
        <x:f>ROUND(AA202*'Debt strategy'!$D$13/12,2)</x:f>
        <x:v>0</x:v>
      </x:c>
      <x:c r="AC202" s="6" t="n">
        <x:f>MIN(AA202+AB202,'Debt strategy'!$E$13)</x:f>
        <x:v>0</x:v>
      </x:c>
      <x:c r="AD202" s="27" t="n">
        <x:f>IF(AA202+AB202-AC202&lt;=0,99,1+SUM(IF(AND(C202+D202-E202&gt;0,OR('Debt strategy'!$D$9&gt;'Debt strategy'!$D$13,AND('Debt strategy'!$D$9='Debt strategy'!$D$13,0&lt;4))),1,0),IF(AND(I202+J202-K202&gt;0,OR('Debt strategy'!$D$10&gt;'Debt strategy'!$D$13,AND('Debt strategy'!$D$10='Debt strategy'!$D$13,1&lt;4))),1,0),IF(AND(O202+P202-Q202&gt;0,OR('Debt strategy'!$D$11&gt;'Debt strategy'!$D$13,AND('Debt strategy'!$D$11='Debt strategy'!$D$13,2&lt;4))),1,0),IF(AND(U202+V202-W202&gt;0,OR('Debt strategy'!$D$12&gt;'Debt strategy'!$D$13,AND('Debt strategy'!$D$12='Debt strategy'!$D$13,3&lt;4))),1,0)))</x:f>
        <x:v>99</x:v>
      </x:c>
      <x:c r="AE202" s="6" t="n">
        <x:f>IF('Debt strategy'!$C$16&gt;0,0,MIN(AA202+AB202-AC202,MAX(0,'Debt strategy'!$C$5-SUM(E202,K202,Q202,W202,AC202)-SUM(IF(F202&lt;AD202,C202+D202-E202,0),IF(L202&lt;AD202,I202+J202-K202,0),IF(R202&lt;AD202,O202+P202-Q202,0),IF(X202&lt;AD202,U202+V202-W202,0)))))</x:f>
        <x:v>0</x:v>
      </x:c>
      <x:c r="AF202" s="6" t="n">
        <x:f>ROUND(MAX(0,AA202+AB202-AC202-AE202),2)</x:f>
        <x:v>0</x:v>
      </x:c>
      <x:c r="AG202" s="6" t="n">
        <x:f>SUM(H202,N202,T202,Z202,AF202)</x:f>
        <x:v>0</x:v>
      </x:c>
      <x:c r="AH202" s="6" t="n">
        <x:f>SUM(D202,J202,P202,V202,AB202)+AH201</x:f>
        <x:v>1220.8400000000001</x:v>
      </x:c>
      <x:c r="AI202" s="2"/>
    </x:row>
    <x:row r="203" ht="23" customHeight="1">
      <x:c r="B203" s="2" t="n">
        <x:f>195</x:f>
        <x:v>195</x:v>
      </x:c>
      <x:c r="C203" s="6" t="n">
        <x:f>H202</x:f>
        <x:v>0</x:v>
      </x:c>
      <x:c r="D203" s="6" t="n">
        <x:f>ROUND(C203*'Debt strategy'!$D$9/12,2)</x:f>
        <x:v>0</x:v>
      </x:c>
      <x:c r="E203" s="6" t="n">
        <x:f>MIN(C203+D203,'Debt strategy'!$E$9)</x:f>
        <x:v>0</x:v>
      </x:c>
      <x:c r="F203" s="27" t="n">
        <x:f>IF(C203+D203-E203&lt;=0,99,1+SUM(IF(AND(I203+J203-K203&gt;0,OR('Debt strategy'!$D$10&gt;'Debt strategy'!$D$9,AND('Debt strategy'!$D$10='Debt strategy'!$D$9,1&lt;0))),1,0),IF(AND(O203+P203-Q203&gt;0,OR('Debt strategy'!$D$11&gt;'Debt strategy'!$D$9,AND('Debt strategy'!$D$11='Debt strategy'!$D$9,2&lt;0))),1,0),IF(AND(U203+V203-W203&gt;0,OR('Debt strategy'!$D$12&gt;'Debt strategy'!$D$9,AND('Debt strategy'!$D$12='Debt strategy'!$D$9,3&lt;0))),1,0),IF(AND(AA203+AB203-AC203&gt;0,OR('Debt strategy'!$D$13&gt;'Debt strategy'!$D$9,AND('Debt strategy'!$D$13='Debt strategy'!$D$9,4&lt;0))),1,0)))</x:f>
        <x:v>99</x:v>
      </x:c>
      <x:c r="G203" s="6" t="n">
        <x:f>IF('Debt strategy'!$C$16&gt;0,0,MIN(C203+D203-E203,MAX(0,'Debt strategy'!$C$5-SUM(E203,K203,Q203,W203,AC203)-SUM(IF(L203&lt;F203,I203+J203-K203,0),IF(R203&lt;F203,O203+P203-Q203,0),IF(X203&lt;F203,U203+V203-W203,0),IF(AD203&lt;F203,AA203+AB203-AC203,0)))))</x:f>
        <x:v>0</x:v>
      </x:c>
      <x:c r="H203" s="6" t="n">
        <x:f>ROUND(MAX(0,C203+D203-E203-G203),2)</x:f>
        <x:v>0</x:v>
      </x:c>
      <x:c r="I203" s="6" t="n">
        <x:f>N202</x:f>
        <x:v>0</x:v>
      </x:c>
      <x:c r="J203" s="6" t="n">
        <x:f>ROUND(I203*'Debt strategy'!$D$10/12,2)</x:f>
        <x:v>0</x:v>
      </x:c>
      <x:c r="K203" s="6" t="n">
        <x:f>MIN(I203+J203,'Debt strategy'!$E$10)</x:f>
        <x:v>0</x:v>
      </x:c>
      <x:c r="L203" s="27" t="n">
        <x:f>IF(I203+J203-K203&lt;=0,99,1+SUM(IF(AND(C203+D203-E203&gt;0,OR('Debt strategy'!$D$9&gt;'Debt strategy'!$D$10,AND('Debt strategy'!$D$9='Debt strategy'!$D$10,0&lt;1))),1,0),IF(AND(O203+P203-Q203&gt;0,OR('Debt strategy'!$D$11&gt;'Debt strategy'!$D$10,AND('Debt strategy'!$D$11='Debt strategy'!$D$10,2&lt;1))),1,0),IF(AND(U203+V203-W203&gt;0,OR('Debt strategy'!$D$12&gt;'Debt strategy'!$D$10,AND('Debt strategy'!$D$12='Debt strategy'!$D$10,3&lt;1))),1,0),IF(AND(AA203+AB203-AC203&gt;0,OR('Debt strategy'!$D$13&gt;'Debt strategy'!$D$10,AND('Debt strategy'!$D$13='Debt strategy'!$D$10,4&lt;1))),1,0)))</x:f>
        <x:v>99</x:v>
      </x:c>
      <x:c r="M203" s="6" t="n">
        <x:f>IF('Debt strategy'!$C$16&gt;0,0,MIN(I203+J203-K203,MAX(0,'Debt strategy'!$C$5-SUM(E203,K203,Q203,W203,AC203)-SUM(IF(F203&lt;L203,C203+D203-E203,0),IF(R203&lt;L203,O203+P203-Q203,0),IF(X203&lt;L203,U203+V203-W203,0),IF(AD203&lt;L203,AA203+AB203-AC203,0)))))</x:f>
        <x:v>0</x:v>
      </x:c>
      <x:c r="N203" s="6" t="n">
        <x:f>ROUND(MAX(0,I203+J203-K203-M203),2)</x:f>
        <x:v>0</x:v>
      </x:c>
      <x:c r="O203" s="6" t="n">
        <x:f>T202</x:f>
        <x:v>0</x:v>
      </x:c>
      <x:c r="P203" s="6" t="n">
        <x:f>ROUND(O203*'Debt strategy'!$D$11/12,2)</x:f>
        <x:v>0</x:v>
      </x:c>
      <x:c r="Q203" s="6" t="n">
        <x:f>MIN(O203+P203,'Debt strategy'!$E$11)</x:f>
        <x:v>0</x:v>
      </x:c>
      <x:c r="R203" s="27" t="n">
        <x:f>IF(O203+P203-Q203&lt;=0,99,1+SUM(IF(AND(C203+D203-E203&gt;0,OR('Debt strategy'!$D$9&gt;'Debt strategy'!$D$11,AND('Debt strategy'!$D$9='Debt strategy'!$D$11,0&lt;2))),1,0),IF(AND(I203+J203-K203&gt;0,OR('Debt strategy'!$D$10&gt;'Debt strategy'!$D$11,AND('Debt strategy'!$D$10='Debt strategy'!$D$11,1&lt;2))),1,0),IF(AND(U203+V203-W203&gt;0,OR('Debt strategy'!$D$12&gt;'Debt strategy'!$D$11,AND('Debt strategy'!$D$12='Debt strategy'!$D$11,3&lt;2))),1,0),IF(AND(AA203+AB203-AC203&gt;0,OR('Debt strategy'!$D$13&gt;'Debt strategy'!$D$11,AND('Debt strategy'!$D$13='Debt strategy'!$D$11,4&lt;2))),1,0)))</x:f>
        <x:v>99</x:v>
      </x:c>
      <x:c r="S203" s="6" t="n">
        <x:f>IF('Debt strategy'!$C$16&gt;0,0,MIN(O203+P203-Q203,MAX(0,'Debt strategy'!$C$5-SUM(E203,K203,Q203,W203,AC203)-SUM(IF(F203&lt;R203,C203+D203-E203,0),IF(L203&lt;R203,I203+J203-K203,0),IF(X203&lt;R203,U203+V203-W203,0),IF(AD203&lt;R203,AA203+AB203-AC203,0)))))</x:f>
        <x:v>0</x:v>
      </x:c>
      <x:c r="T203" s="6" t="n">
        <x:f>ROUND(MAX(0,O203+P203-Q203-S203),2)</x:f>
        <x:v>0</x:v>
      </x:c>
      <x:c r="U203" s="6" t="n">
        <x:f>Z202</x:f>
        <x:v>0</x:v>
      </x:c>
      <x:c r="V203" s="6" t="n">
        <x:f>ROUND(U203*'Debt strategy'!$D$12/12,2)</x:f>
        <x:v>0</x:v>
      </x:c>
      <x:c r="W203" s="6" t="n">
        <x:f>MIN(U203+V203,'Debt strategy'!$E$12)</x:f>
        <x:v>0</x:v>
      </x:c>
      <x:c r="X203" s="27" t="n">
        <x:f>IF(U203+V203-W203&lt;=0,99,1+SUM(IF(AND(C203+D203-E203&gt;0,OR('Debt strategy'!$D$9&gt;'Debt strategy'!$D$12,AND('Debt strategy'!$D$9='Debt strategy'!$D$12,0&lt;3))),1,0),IF(AND(I203+J203-K203&gt;0,OR('Debt strategy'!$D$10&gt;'Debt strategy'!$D$12,AND('Debt strategy'!$D$10='Debt strategy'!$D$12,1&lt;3))),1,0),IF(AND(O203+P203-Q203&gt;0,OR('Debt strategy'!$D$11&gt;'Debt strategy'!$D$12,AND('Debt strategy'!$D$11='Debt strategy'!$D$12,2&lt;3))),1,0),IF(AND(AA203+AB203-AC203&gt;0,OR('Debt strategy'!$D$13&gt;'Debt strategy'!$D$12,AND('Debt strategy'!$D$13='Debt strategy'!$D$12,4&lt;3))),1,0)))</x:f>
        <x:v>99</x:v>
      </x:c>
      <x:c r="Y203" s="6" t="n">
        <x:f>IF('Debt strategy'!$C$16&gt;0,0,MIN(U203+V203-W203,MAX(0,'Debt strategy'!$C$5-SUM(E203,K203,Q203,W203,AC203)-SUM(IF(F203&lt;X203,C203+D203-E203,0),IF(L203&lt;X203,I203+J203-K203,0),IF(R203&lt;X203,O203+P203-Q203,0),IF(AD203&lt;X203,AA203+AB203-AC203,0)))))</x:f>
        <x:v>0</x:v>
      </x:c>
      <x:c r="Z203" s="6" t="n">
        <x:f>ROUND(MAX(0,U203+V203-W203-Y203),2)</x:f>
        <x:v>0</x:v>
      </x:c>
      <x:c r="AA203" s="6" t="n">
        <x:f>AF202</x:f>
        <x:v>0</x:v>
      </x:c>
      <x:c r="AB203" s="6" t="n">
        <x:f>ROUND(AA203*'Debt strategy'!$D$13/12,2)</x:f>
        <x:v>0</x:v>
      </x:c>
      <x:c r="AC203" s="6" t="n">
        <x:f>MIN(AA203+AB203,'Debt strategy'!$E$13)</x:f>
        <x:v>0</x:v>
      </x:c>
      <x:c r="AD203" s="27" t="n">
        <x:f>IF(AA203+AB203-AC203&lt;=0,99,1+SUM(IF(AND(C203+D203-E203&gt;0,OR('Debt strategy'!$D$9&gt;'Debt strategy'!$D$13,AND('Debt strategy'!$D$9='Debt strategy'!$D$13,0&lt;4))),1,0),IF(AND(I203+J203-K203&gt;0,OR('Debt strategy'!$D$10&gt;'Debt strategy'!$D$13,AND('Debt strategy'!$D$10='Debt strategy'!$D$13,1&lt;4))),1,0),IF(AND(O203+P203-Q203&gt;0,OR('Debt strategy'!$D$11&gt;'Debt strategy'!$D$13,AND('Debt strategy'!$D$11='Debt strategy'!$D$13,2&lt;4))),1,0),IF(AND(U203+V203-W203&gt;0,OR('Debt strategy'!$D$12&gt;'Debt strategy'!$D$13,AND('Debt strategy'!$D$12='Debt strategy'!$D$13,3&lt;4))),1,0)))</x:f>
        <x:v>99</x:v>
      </x:c>
      <x:c r="AE203" s="6" t="n">
        <x:f>IF('Debt strategy'!$C$16&gt;0,0,MIN(AA203+AB203-AC203,MAX(0,'Debt strategy'!$C$5-SUM(E203,K203,Q203,W203,AC203)-SUM(IF(F203&lt;AD203,C203+D203-E203,0),IF(L203&lt;AD203,I203+J203-K203,0),IF(R203&lt;AD203,O203+P203-Q203,0),IF(X203&lt;AD203,U203+V203-W203,0)))))</x:f>
        <x:v>0</x:v>
      </x:c>
      <x:c r="AF203" s="6" t="n">
        <x:f>ROUND(MAX(0,AA203+AB203-AC203-AE203),2)</x:f>
        <x:v>0</x:v>
      </x:c>
      <x:c r="AG203" s="6" t="n">
        <x:f>SUM(H203,N203,T203,Z203,AF203)</x:f>
        <x:v>0</x:v>
      </x:c>
      <x:c r="AH203" s="6" t="n">
        <x:f>SUM(D203,J203,P203,V203,AB203)+AH202</x:f>
        <x:v>1220.8400000000001</x:v>
      </x:c>
      <x:c r="AI203" s="2"/>
    </x:row>
    <x:row r="204" ht="23" customHeight="1">
      <x:c r="B204" s="2" t="n">
        <x:f>196</x:f>
        <x:v>196</x:v>
      </x:c>
      <x:c r="C204" s="6" t="n">
        <x:f>H203</x:f>
        <x:v>0</x:v>
      </x:c>
      <x:c r="D204" s="6" t="n">
        <x:f>ROUND(C204*'Debt strategy'!$D$9/12,2)</x:f>
        <x:v>0</x:v>
      </x:c>
      <x:c r="E204" s="6" t="n">
        <x:f>MIN(C204+D204,'Debt strategy'!$E$9)</x:f>
        <x:v>0</x:v>
      </x:c>
      <x:c r="F204" s="27" t="n">
        <x:f>IF(C204+D204-E204&lt;=0,99,1+SUM(IF(AND(I204+J204-K204&gt;0,OR('Debt strategy'!$D$10&gt;'Debt strategy'!$D$9,AND('Debt strategy'!$D$10='Debt strategy'!$D$9,1&lt;0))),1,0),IF(AND(O204+P204-Q204&gt;0,OR('Debt strategy'!$D$11&gt;'Debt strategy'!$D$9,AND('Debt strategy'!$D$11='Debt strategy'!$D$9,2&lt;0))),1,0),IF(AND(U204+V204-W204&gt;0,OR('Debt strategy'!$D$12&gt;'Debt strategy'!$D$9,AND('Debt strategy'!$D$12='Debt strategy'!$D$9,3&lt;0))),1,0),IF(AND(AA204+AB204-AC204&gt;0,OR('Debt strategy'!$D$13&gt;'Debt strategy'!$D$9,AND('Debt strategy'!$D$13='Debt strategy'!$D$9,4&lt;0))),1,0)))</x:f>
        <x:v>99</x:v>
      </x:c>
      <x:c r="G204" s="6" t="n">
        <x:f>IF('Debt strategy'!$C$16&gt;0,0,MIN(C204+D204-E204,MAX(0,'Debt strategy'!$C$5-SUM(E204,K204,Q204,W204,AC204)-SUM(IF(L204&lt;F204,I204+J204-K204,0),IF(R204&lt;F204,O204+P204-Q204,0),IF(X204&lt;F204,U204+V204-W204,0),IF(AD204&lt;F204,AA204+AB204-AC204,0)))))</x:f>
        <x:v>0</x:v>
      </x:c>
      <x:c r="H204" s="6" t="n">
        <x:f>ROUND(MAX(0,C204+D204-E204-G204),2)</x:f>
        <x:v>0</x:v>
      </x:c>
      <x:c r="I204" s="6" t="n">
        <x:f>N203</x:f>
        <x:v>0</x:v>
      </x:c>
      <x:c r="J204" s="6" t="n">
        <x:f>ROUND(I204*'Debt strategy'!$D$10/12,2)</x:f>
        <x:v>0</x:v>
      </x:c>
      <x:c r="K204" s="6" t="n">
        <x:f>MIN(I204+J204,'Debt strategy'!$E$10)</x:f>
        <x:v>0</x:v>
      </x:c>
      <x:c r="L204" s="27" t="n">
        <x:f>IF(I204+J204-K204&lt;=0,99,1+SUM(IF(AND(C204+D204-E204&gt;0,OR('Debt strategy'!$D$9&gt;'Debt strategy'!$D$10,AND('Debt strategy'!$D$9='Debt strategy'!$D$10,0&lt;1))),1,0),IF(AND(O204+P204-Q204&gt;0,OR('Debt strategy'!$D$11&gt;'Debt strategy'!$D$10,AND('Debt strategy'!$D$11='Debt strategy'!$D$10,2&lt;1))),1,0),IF(AND(U204+V204-W204&gt;0,OR('Debt strategy'!$D$12&gt;'Debt strategy'!$D$10,AND('Debt strategy'!$D$12='Debt strategy'!$D$10,3&lt;1))),1,0),IF(AND(AA204+AB204-AC204&gt;0,OR('Debt strategy'!$D$13&gt;'Debt strategy'!$D$10,AND('Debt strategy'!$D$13='Debt strategy'!$D$10,4&lt;1))),1,0)))</x:f>
        <x:v>99</x:v>
      </x:c>
      <x:c r="M204" s="6" t="n">
        <x:f>IF('Debt strategy'!$C$16&gt;0,0,MIN(I204+J204-K204,MAX(0,'Debt strategy'!$C$5-SUM(E204,K204,Q204,W204,AC204)-SUM(IF(F204&lt;L204,C204+D204-E204,0),IF(R204&lt;L204,O204+P204-Q204,0),IF(X204&lt;L204,U204+V204-W204,0),IF(AD204&lt;L204,AA204+AB204-AC204,0)))))</x:f>
        <x:v>0</x:v>
      </x:c>
      <x:c r="N204" s="6" t="n">
        <x:f>ROUND(MAX(0,I204+J204-K204-M204),2)</x:f>
        <x:v>0</x:v>
      </x:c>
      <x:c r="O204" s="6" t="n">
        <x:f>T203</x:f>
        <x:v>0</x:v>
      </x:c>
      <x:c r="P204" s="6" t="n">
        <x:f>ROUND(O204*'Debt strategy'!$D$11/12,2)</x:f>
        <x:v>0</x:v>
      </x:c>
      <x:c r="Q204" s="6" t="n">
        <x:f>MIN(O204+P204,'Debt strategy'!$E$11)</x:f>
        <x:v>0</x:v>
      </x:c>
      <x:c r="R204" s="27" t="n">
        <x:f>IF(O204+P204-Q204&lt;=0,99,1+SUM(IF(AND(C204+D204-E204&gt;0,OR('Debt strategy'!$D$9&gt;'Debt strategy'!$D$11,AND('Debt strategy'!$D$9='Debt strategy'!$D$11,0&lt;2))),1,0),IF(AND(I204+J204-K204&gt;0,OR('Debt strategy'!$D$10&gt;'Debt strategy'!$D$11,AND('Debt strategy'!$D$10='Debt strategy'!$D$11,1&lt;2))),1,0),IF(AND(U204+V204-W204&gt;0,OR('Debt strategy'!$D$12&gt;'Debt strategy'!$D$11,AND('Debt strategy'!$D$12='Debt strategy'!$D$11,3&lt;2))),1,0),IF(AND(AA204+AB204-AC204&gt;0,OR('Debt strategy'!$D$13&gt;'Debt strategy'!$D$11,AND('Debt strategy'!$D$13='Debt strategy'!$D$11,4&lt;2))),1,0)))</x:f>
        <x:v>99</x:v>
      </x:c>
      <x:c r="S204" s="6" t="n">
        <x:f>IF('Debt strategy'!$C$16&gt;0,0,MIN(O204+P204-Q204,MAX(0,'Debt strategy'!$C$5-SUM(E204,K204,Q204,W204,AC204)-SUM(IF(F204&lt;R204,C204+D204-E204,0),IF(L204&lt;R204,I204+J204-K204,0),IF(X204&lt;R204,U204+V204-W204,0),IF(AD204&lt;R204,AA204+AB204-AC204,0)))))</x:f>
        <x:v>0</x:v>
      </x:c>
      <x:c r="T204" s="6" t="n">
        <x:f>ROUND(MAX(0,O204+P204-Q204-S204),2)</x:f>
        <x:v>0</x:v>
      </x:c>
      <x:c r="U204" s="6" t="n">
        <x:f>Z203</x:f>
        <x:v>0</x:v>
      </x:c>
      <x:c r="V204" s="6" t="n">
        <x:f>ROUND(U204*'Debt strategy'!$D$12/12,2)</x:f>
        <x:v>0</x:v>
      </x:c>
      <x:c r="W204" s="6" t="n">
        <x:f>MIN(U204+V204,'Debt strategy'!$E$12)</x:f>
        <x:v>0</x:v>
      </x:c>
      <x:c r="X204" s="27" t="n">
        <x:f>IF(U204+V204-W204&lt;=0,99,1+SUM(IF(AND(C204+D204-E204&gt;0,OR('Debt strategy'!$D$9&gt;'Debt strategy'!$D$12,AND('Debt strategy'!$D$9='Debt strategy'!$D$12,0&lt;3))),1,0),IF(AND(I204+J204-K204&gt;0,OR('Debt strategy'!$D$10&gt;'Debt strategy'!$D$12,AND('Debt strategy'!$D$10='Debt strategy'!$D$12,1&lt;3))),1,0),IF(AND(O204+P204-Q204&gt;0,OR('Debt strategy'!$D$11&gt;'Debt strategy'!$D$12,AND('Debt strategy'!$D$11='Debt strategy'!$D$12,2&lt;3))),1,0),IF(AND(AA204+AB204-AC204&gt;0,OR('Debt strategy'!$D$13&gt;'Debt strategy'!$D$12,AND('Debt strategy'!$D$13='Debt strategy'!$D$12,4&lt;3))),1,0)))</x:f>
        <x:v>99</x:v>
      </x:c>
      <x:c r="Y204" s="6" t="n">
        <x:f>IF('Debt strategy'!$C$16&gt;0,0,MIN(U204+V204-W204,MAX(0,'Debt strategy'!$C$5-SUM(E204,K204,Q204,W204,AC204)-SUM(IF(F204&lt;X204,C204+D204-E204,0),IF(L204&lt;X204,I204+J204-K204,0),IF(R204&lt;X204,O204+P204-Q204,0),IF(AD204&lt;X204,AA204+AB204-AC204,0)))))</x:f>
        <x:v>0</x:v>
      </x:c>
      <x:c r="Z204" s="6" t="n">
        <x:f>ROUND(MAX(0,U204+V204-W204-Y204),2)</x:f>
        <x:v>0</x:v>
      </x:c>
      <x:c r="AA204" s="6" t="n">
        <x:f>AF203</x:f>
        <x:v>0</x:v>
      </x:c>
      <x:c r="AB204" s="6" t="n">
        <x:f>ROUND(AA204*'Debt strategy'!$D$13/12,2)</x:f>
        <x:v>0</x:v>
      </x:c>
      <x:c r="AC204" s="6" t="n">
        <x:f>MIN(AA204+AB204,'Debt strategy'!$E$13)</x:f>
        <x:v>0</x:v>
      </x:c>
      <x:c r="AD204" s="27" t="n">
        <x:f>IF(AA204+AB204-AC204&lt;=0,99,1+SUM(IF(AND(C204+D204-E204&gt;0,OR('Debt strategy'!$D$9&gt;'Debt strategy'!$D$13,AND('Debt strategy'!$D$9='Debt strategy'!$D$13,0&lt;4))),1,0),IF(AND(I204+J204-K204&gt;0,OR('Debt strategy'!$D$10&gt;'Debt strategy'!$D$13,AND('Debt strategy'!$D$10='Debt strategy'!$D$13,1&lt;4))),1,0),IF(AND(O204+P204-Q204&gt;0,OR('Debt strategy'!$D$11&gt;'Debt strategy'!$D$13,AND('Debt strategy'!$D$11='Debt strategy'!$D$13,2&lt;4))),1,0),IF(AND(U204+V204-W204&gt;0,OR('Debt strategy'!$D$12&gt;'Debt strategy'!$D$13,AND('Debt strategy'!$D$12='Debt strategy'!$D$13,3&lt;4))),1,0)))</x:f>
        <x:v>99</x:v>
      </x:c>
      <x:c r="AE204" s="6" t="n">
        <x:f>IF('Debt strategy'!$C$16&gt;0,0,MIN(AA204+AB204-AC204,MAX(0,'Debt strategy'!$C$5-SUM(E204,K204,Q204,W204,AC204)-SUM(IF(F204&lt;AD204,C204+D204-E204,0),IF(L204&lt;AD204,I204+J204-K204,0),IF(R204&lt;AD204,O204+P204-Q204,0),IF(X204&lt;AD204,U204+V204-W204,0)))))</x:f>
        <x:v>0</x:v>
      </x:c>
      <x:c r="AF204" s="6" t="n">
        <x:f>ROUND(MAX(0,AA204+AB204-AC204-AE204),2)</x:f>
        <x:v>0</x:v>
      </x:c>
      <x:c r="AG204" s="6" t="n">
        <x:f>SUM(H204,N204,T204,Z204,AF204)</x:f>
        <x:v>0</x:v>
      </x:c>
      <x:c r="AH204" s="6" t="n">
        <x:f>SUM(D204,J204,P204,V204,AB204)+AH203</x:f>
        <x:v>1220.8400000000001</x:v>
      </x:c>
      <x:c r="AI204" s="2"/>
    </x:row>
    <x:row r="205" ht="23" customHeight="1">
      <x:c r="B205" s="2" t="n">
        <x:f>197</x:f>
        <x:v>197</x:v>
      </x:c>
      <x:c r="C205" s="6" t="n">
        <x:f>H204</x:f>
        <x:v>0</x:v>
      </x:c>
      <x:c r="D205" s="6" t="n">
        <x:f>ROUND(C205*'Debt strategy'!$D$9/12,2)</x:f>
        <x:v>0</x:v>
      </x:c>
      <x:c r="E205" s="6" t="n">
        <x:f>MIN(C205+D205,'Debt strategy'!$E$9)</x:f>
        <x:v>0</x:v>
      </x:c>
      <x:c r="F205" s="27" t="n">
        <x:f>IF(C205+D205-E205&lt;=0,99,1+SUM(IF(AND(I205+J205-K205&gt;0,OR('Debt strategy'!$D$10&gt;'Debt strategy'!$D$9,AND('Debt strategy'!$D$10='Debt strategy'!$D$9,1&lt;0))),1,0),IF(AND(O205+P205-Q205&gt;0,OR('Debt strategy'!$D$11&gt;'Debt strategy'!$D$9,AND('Debt strategy'!$D$11='Debt strategy'!$D$9,2&lt;0))),1,0),IF(AND(U205+V205-W205&gt;0,OR('Debt strategy'!$D$12&gt;'Debt strategy'!$D$9,AND('Debt strategy'!$D$12='Debt strategy'!$D$9,3&lt;0))),1,0),IF(AND(AA205+AB205-AC205&gt;0,OR('Debt strategy'!$D$13&gt;'Debt strategy'!$D$9,AND('Debt strategy'!$D$13='Debt strategy'!$D$9,4&lt;0))),1,0)))</x:f>
        <x:v>99</x:v>
      </x:c>
      <x:c r="G205" s="6" t="n">
        <x:f>IF('Debt strategy'!$C$16&gt;0,0,MIN(C205+D205-E205,MAX(0,'Debt strategy'!$C$5-SUM(E205,K205,Q205,W205,AC205)-SUM(IF(L205&lt;F205,I205+J205-K205,0),IF(R205&lt;F205,O205+P205-Q205,0),IF(X205&lt;F205,U205+V205-W205,0),IF(AD205&lt;F205,AA205+AB205-AC205,0)))))</x:f>
        <x:v>0</x:v>
      </x:c>
      <x:c r="H205" s="6" t="n">
        <x:f>ROUND(MAX(0,C205+D205-E205-G205),2)</x:f>
        <x:v>0</x:v>
      </x:c>
      <x:c r="I205" s="6" t="n">
        <x:f>N204</x:f>
        <x:v>0</x:v>
      </x:c>
      <x:c r="J205" s="6" t="n">
        <x:f>ROUND(I205*'Debt strategy'!$D$10/12,2)</x:f>
        <x:v>0</x:v>
      </x:c>
      <x:c r="K205" s="6" t="n">
        <x:f>MIN(I205+J205,'Debt strategy'!$E$10)</x:f>
        <x:v>0</x:v>
      </x:c>
      <x:c r="L205" s="27" t="n">
        <x:f>IF(I205+J205-K205&lt;=0,99,1+SUM(IF(AND(C205+D205-E205&gt;0,OR('Debt strategy'!$D$9&gt;'Debt strategy'!$D$10,AND('Debt strategy'!$D$9='Debt strategy'!$D$10,0&lt;1))),1,0),IF(AND(O205+P205-Q205&gt;0,OR('Debt strategy'!$D$11&gt;'Debt strategy'!$D$10,AND('Debt strategy'!$D$11='Debt strategy'!$D$10,2&lt;1))),1,0),IF(AND(U205+V205-W205&gt;0,OR('Debt strategy'!$D$12&gt;'Debt strategy'!$D$10,AND('Debt strategy'!$D$12='Debt strategy'!$D$10,3&lt;1))),1,0),IF(AND(AA205+AB205-AC205&gt;0,OR('Debt strategy'!$D$13&gt;'Debt strategy'!$D$10,AND('Debt strategy'!$D$13='Debt strategy'!$D$10,4&lt;1))),1,0)))</x:f>
        <x:v>99</x:v>
      </x:c>
      <x:c r="M205" s="6" t="n">
        <x:f>IF('Debt strategy'!$C$16&gt;0,0,MIN(I205+J205-K205,MAX(0,'Debt strategy'!$C$5-SUM(E205,K205,Q205,W205,AC205)-SUM(IF(F205&lt;L205,C205+D205-E205,0),IF(R205&lt;L205,O205+P205-Q205,0),IF(X205&lt;L205,U205+V205-W205,0),IF(AD205&lt;L205,AA205+AB205-AC205,0)))))</x:f>
        <x:v>0</x:v>
      </x:c>
      <x:c r="N205" s="6" t="n">
        <x:f>ROUND(MAX(0,I205+J205-K205-M205),2)</x:f>
        <x:v>0</x:v>
      </x:c>
      <x:c r="O205" s="6" t="n">
        <x:f>T204</x:f>
        <x:v>0</x:v>
      </x:c>
      <x:c r="P205" s="6" t="n">
        <x:f>ROUND(O205*'Debt strategy'!$D$11/12,2)</x:f>
        <x:v>0</x:v>
      </x:c>
      <x:c r="Q205" s="6" t="n">
        <x:f>MIN(O205+P205,'Debt strategy'!$E$11)</x:f>
        <x:v>0</x:v>
      </x:c>
      <x:c r="R205" s="27" t="n">
        <x:f>IF(O205+P205-Q205&lt;=0,99,1+SUM(IF(AND(C205+D205-E205&gt;0,OR('Debt strategy'!$D$9&gt;'Debt strategy'!$D$11,AND('Debt strategy'!$D$9='Debt strategy'!$D$11,0&lt;2))),1,0),IF(AND(I205+J205-K205&gt;0,OR('Debt strategy'!$D$10&gt;'Debt strategy'!$D$11,AND('Debt strategy'!$D$10='Debt strategy'!$D$11,1&lt;2))),1,0),IF(AND(U205+V205-W205&gt;0,OR('Debt strategy'!$D$12&gt;'Debt strategy'!$D$11,AND('Debt strategy'!$D$12='Debt strategy'!$D$11,3&lt;2))),1,0),IF(AND(AA205+AB205-AC205&gt;0,OR('Debt strategy'!$D$13&gt;'Debt strategy'!$D$11,AND('Debt strategy'!$D$13='Debt strategy'!$D$11,4&lt;2))),1,0)))</x:f>
        <x:v>99</x:v>
      </x:c>
      <x:c r="S205" s="6" t="n">
        <x:f>IF('Debt strategy'!$C$16&gt;0,0,MIN(O205+P205-Q205,MAX(0,'Debt strategy'!$C$5-SUM(E205,K205,Q205,W205,AC205)-SUM(IF(F205&lt;R205,C205+D205-E205,0),IF(L205&lt;R205,I205+J205-K205,0),IF(X205&lt;R205,U205+V205-W205,0),IF(AD205&lt;R205,AA205+AB205-AC205,0)))))</x:f>
        <x:v>0</x:v>
      </x:c>
      <x:c r="T205" s="6" t="n">
        <x:f>ROUND(MAX(0,O205+P205-Q205-S205),2)</x:f>
        <x:v>0</x:v>
      </x:c>
      <x:c r="U205" s="6" t="n">
        <x:f>Z204</x:f>
        <x:v>0</x:v>
      </x:c>
      <x:c r="V205" s="6" t="n">
        <x:f>ROUND(U205*'Debt strategy'!$D$12/12,2)</x:f>
        <x:v>0</x:v>
      </x:c>
      <x:c r="W205" s="6" t="n">
        <x:f>MIN(U205+V205,'Debt strategy'!$E$12)</x:f>
        <x:v>0</x:v>
      </x:c>
      <x:c r="X205" s="27" t="n">
        <x:f>IF(U205+V205-W205&lt;=0,99,1+SUM(IF(AND(C205+D205-E205&gt;0,OR('Debt strategy'!$D$9&gt;'Debt strategy'!$D$12,AND('Debt strategy'!$D$9='Debt strategy'!$D$12,0&lt;3))),1,0),IF(AND(I205+J205-K205&gt;0,OR('Debt strategy'!$D$10&gt;'Debt strategy'!$D$12,AND('Debt strategy'!$D$10='Debt strategy'!$D$12,1&lt;3))),1,0),IF(AND(O205+P205-Q205&gt;0,OR('Debt strategy'!$D$11&gt;'Debt strategy'!$D$12,AND('Debt strategy'!$D$11='Debt strategy'!$D$12,2&lt;3))),1,0),IF(AND(AA205+AB205-AC205&gt;0,OR('Debt strategy'!$D$13&gt;'Debt strategy'!$D$12,AND('Debt strategy'!$D$13='Debt strategy'!$D$12,4&lt;3))),1,0)))</x:f>
        <x:v>99</x:v>
      </x:c>
      <x:c r="Y205" s="6" t="n">
        <x:f>IF('Debt strategy'!$C$16&gt;0,0,MIN(U205+V205-W205,MAX(0,'Debt strategy'!$C$5-SUM(E205,K205,Q205,W205,AC205)-SUM(IF(F205&lt;X205,C205+D205-E205,0),IF(L205&lt;X205,I205+J205-K205,0),IF(R205&lt;X205,O205+P205-Q205,0),IF(AD205&lt;X205,AA205+AB205-AC205,0)))))</x:f>
        <x:v>0</x:v>
      </x:c>
      <x:c r="Z205" s="6" t="n">
        <x:f>ROUND(MAX(0,U205+V205-W205-Y205),2)</x:f>
        <x:v>0</x:v>
      </x:c>
      <x:c r="AA205" s="6" t="n">
        <x:f>AF204</x:f>
        <x:v>0</x:v>
      </x:c>
      <x:c r="AB205" s="6" t="n">
        <x:f>ROUND(AA205*'Debt strategy'!$D$13/12,2)</x:f>
        <x:v>0</x:v>
      </x:c>
      <x:c r="AC205" s="6" t="n">
        <x:f>MIN(AA205+AB205,'Debt strategy'!$E$13)</x:f>
        <x:v>0</x:v>
      </x:c>
      <x:c r="AD205" s="27" t="n">
        <x:f>IF(AA205+AB205-AC205&lt;=0,99,1+SUM(IF(AND(C205+D205-E205&gt;0,OR('Debt strategy'!$D$9&gt;'Debt strategy'!$D$13,AND('Debt strategy'!$D$9='Debt strategy'!$D$13,0&lt;4))),1,0),IF(AND(I205+J205-K205&gt;0,OR('Debt strategy'!$D$10&gt;'Debt strategy'!$D$13,AND('Debt strategy'!$D$10='Debt strategy'!$D$13,1&lt;4))),1,0),IF(AND(O205+P205-Q205&gt;0,OR('Debt strategy'!$D$11&gt;'Debt strategy'!$D$13,AND('Debt strategy'!$D$11='Debt strategy'!$D$13,2&lt;4))),1,0),IF(AND(U205+V205-W205&gt;0,OR('Debt strategy'!$D$12&gt;'Debt strategy'!$D$13,AND('Debt strategy'!$D$12='Debt strategy'!$D$13,3&lt;4))),1,0)))</x:f>
        <x:v>99</x:v>
      </x:c>
      <x:c r="AE205" s="6" t="n">
        <x:f>IF('Debt strategy'!$C$16&gt;0,0,MIN(AA205+AB205-AC205,MAX(0,'Debt strategy'!$C$5-SUM(E205,K205,Q205,W205,AC205)-SUM(IF(F205&lt;AD205,C205+D205-E205,0),IF(L205&lt;AD205,I205+J205-K205,0),IF(R205&lt;AD205,O205+P205-Q205,0),IF(X205&lt;AD205,U205+V205-W205,0)))))</x:f>
        <x:v>0</x:v>
      </x:c>
      <x:c r="AF205" s="6" t="n">
        <x:f>ROUND(MAX(0,AA205+AB205-AC205-AE205),2)</x:f>
        <x:v>0</x:v>
      </x:c>
      <x:c r="AG205" s="6" t="n">
        <x:f>SUM(H205,N205,T205,Z205,AF205)</x:f>
        <x:v>0</x:v>
      </x:c>
      <x:c r="AH205" s="6" t="n">
        <x:f>SUM(D205,J205,P205,V205,AB205)+AH204</x:f>
        <x:v>1220.8400000000001</x:v>
      </x:c>
      <x:c r="AI205" s="2"/>
    </x:row>
    <x:row r="206" ht="23" customHeight="1">
      <x:c r="B206" s="2" t="n">
        <x:f>198</x:f>
        <x:v>198</x:v>
      </x:c>
      <x:c r="C206" s="6" t="n">
        <x:f>H205</x:f>
        <x:v>0</x:v>
      </x:c>
      <x:c r="D206" s="6" t="n">
        <x:f>ROUND(C206*'Debt strategy'!$D$9/12,2)</x:f>
        <x:v>0</x:v>
      </x:c>
      <x:c r="E206" s="6" t="n">
        <x:f>MIN(C206+D206,'Debt strategy'!$E$9)</x:f>
        <x:v>0</x:v>
      </x:c>
      <x:c r="F206" s="27" t="n">
        <x:f>IF(C206+D206-E206&lt;=0,99,1+SUM(IF(AND(I206+J206-K206&gt;0,OR('Debt strategy'!$D$10&gt;'Debt strategy'!$D$9,AND('Debt strategy'!$D$10='Debt strategy'!$D$9,1&lt;0))),1,0),IF(AND(O206+P206-Q206&gt;0,OR('Debt strategy'!$D$11&gt;'Debt strategy'!$D$9,AND('Debt strategy'!$D$11='Debt strategy'!$D$9,2&lt;0))),1,0),IF(AND(U206+V206-W206&gt;0,OR('Debt strategy'!$D$12&gt;'Debt strategy'!$D$9,AND('Debt strategy'!$D$12='Debt strategy'!$D$9,3&lt;0))),1,0),IF(AND(AA206+AB206-AC206&gt;0,OR('Debt strategy'!$D$13&gt;'Debt strategy'!$D$9,AND('Debt strategy'!$D$13='Debt strategy'!$D$9,4&lt;0))),1,0)))</x:f>
        <x:v>99</x:v>
      </x:c>
      <x:c r="G206" s="6" t="n">
        <x:f>IF('Debt strategy'!$C$16&gt;0,0,MIN(C206+D206-E206,MAX(0,'Debt strategy'!$C$5-SUM(E206,K206,Q206,W206,AC206)-SUM(IF(L206&lt;F206,I206+J206-K206,0),IF(R206&lt;F206,O206+P206-Q206,0),IF(X206&lt;F206,U206+V206-W206,0),IF(AD206&lt;F206,AA206+AB206-AC206,0)))))</x:f>
        <x:v>0</x:v>
      </x:c>
      <x:c r="H206" s="6" t="n">
        <x:f>ROUND(MAX(0,C206+D206-E206-G206),2)</x:f>
        <x:v>0</x:v>
      </x:c>
      <x:c r="I206" s="6" t="n">
        <x:f>N205</x:f>
        <x:v>0</x:v>
      </x:c>
      <x:c r="J206" s="6" t="n">
        <x:f>ROUND(I206*'Debt strategy'!$D$10/12,2)</x:f>
        <x:v>0</x:v>
      </x:c>
      <x:c r="K206" s="6" t="n">
        <x:f>MIN(I206+J206,'Debt strategy'!$E$10)</x:f>
        <x:v>0</x:v>
      </x:c>
      <x:c r="L206" s="27" t="n">
        <x:f>IF(I206+J206-K206&lt;=0,99,1+SUM(IF(AND(C206+D206-E206&gt;0,OR('Debt strategy'!$D$9&gt;'Debt strategy'!$D$10,AND('Debt strategy'!$D$9='Debt strategy'!$D$10,0&lt;1))),1,0),IF(AND(O206+P206-Q206&gt;0,OR('Debt strategy'!$D$11&gt;'Debt strategy'!$D$10,AND('Debt strategy'!$D$11='Debt strategy'!$D$10,2&lt;1))),1,0),IF(AND(U206+V206-W206&gt;0,OR('Debt strategy'!$D$12&gt;'Debt strategy'!$D$10,AND('Debt strategy'!$D$12='Debt strategy'!$D$10,3&lt;1))),1,0),IF(AND(AA206+AB206-AC206&gt;0,OR('Debt strategy'!$D$13&gt;'Debt strategy'!$D$10,AND('Debt strategy'!$D$13='Debt strategy'!$D$10,4&lt;1))),1,0)))</x:f>
        <x:v>99</x:v>
      </x:c>
      <x:c r="M206" s="6" t="n">
        <x:f>IF('Debt strategy'!$C$16&gt;0,0,MIN(I206+J206-K206,MAX(0,'Debt strategy'!$C$5-SUM(E206,K206,Q206,W206,AC206)-SUM(IF(F206&lt;L206,C206+D206-E206,0),IF(R206&lt;L206,O206+P206-Q206,0),IF(X206&lt;L206,U206+V206-W206,0),IF(AD206&lt;L206,AA206+AB206-AC206,0)))))</x:f>
        <x:v>0</x:v>
      </x:c>
      <x:c r="N206" s="6" t="n">
        <x:f>ROUND(MAX(0,I206+J206-K206-M206),2)</x:f>
        <x:v>0</x:v>
      </x:c>
      <x:c r="O206" s="6" t="n">
        <x:f>T205</x:f>
        <x:v>0</x:v>
      </x:c>
      <x:c r="P206" s="6" t="n">
        <x:f>ROUND(O206*'Debt strategy'!$D$11/12,2)</x:f>
        <x:v>0</x:v>
      </x:c>
      <x:c r="Q206" s="6" t="n">
        <x:f>MIN(O206+P206,'Debt strategy'!$E$11)</x:f>
        <x:v>0</x:v>
      </x:c>
      <x:c r="R206" s="27" t="n">
        <x:f>IF(O206+P206-Q206&lt;=0,99,1+SUM(IF(AND(C206+D206-E206&gt;0,OR('Debt strategy'!$D$9&gt;'Debt strategy'!$D$11,AND('Debt strategy'!$D$9='Debt strategy'!$D$11,0&lt;2))),1,0),IF(AND(I206+J206-K206&gt;0,OR('Debt strategy'!$D$10&gt;'Debt strategy'!$D$11,AND('Debt strategy'!$D$10='Debt strategy'!$D$11,1&lt;2))),1,0),IF(AND(U206+V206-W206&gt;0,OR('Debt strategy'!$D$12&gt;'Debt strategy'!$D$11,AND('Debt strategy'!$D$12='Debt strategy'!$D$11,3&lt;2))),1,0),IF(AND(AA206+AB206-AC206&gt;0,OR('Debt strategy'!$D$13&gt;'Debt strategy'!$D$11,AND('Debt strategy'!$D$13='Debt strategy'!$D$11,4&lt;2))),1,0)))</x:f>
        <x:v>99</x:v>
      </x:c>
      <x:c r="S206" s="6" t="n">
        <x:f>IF('Debt strategy'!$C$16&gt;0,0,MIN(O206+P206-Q206,MAX(0,'Debt strategy'!$C$5-SUM(E206,K206,Q206,W206,AC206)-SUM(IF(F206&lt;R206,C206+D206-E206,0),IF(L206&lt;R206,I206+J206-K206,0),IF(X206&lt;R206,U206+V206-W206,0),IF(AD206&lt;R206,AA206+AB206-AC206,0)))))</x:f>
        <x:v>0</x:v>
      </x:c>
      <x:c r="T206" s="6" t="n">
        <x:f>ROUND(MAX(0,O206+P206-Q206-S206),2)</x:f>
        <x:v>0</x:v>
      </x:c>
      <x:c r="U206" s="6" t="n">
        <x:f>Z205</x:f>
        <x:v>0</x:v>
      </x:c>
      <x:c r="V206" s="6" t="n">
        <x:f>ROUND(U206*'Debt strategy'!$D$12/12,2)</x:f>
        <x:v>0</x:v>
      </x:c>
      <x:c r="W206" s="6" t="n">
        <x:f>MIN(U206+V206,'Debt strategy'!$E$12)</x:f>
        <x:v>0</x:v>
      </x:c>
      <x:c r="X206" s="27" t="n">
        <x:f>IF(U206+V206-W206&lt;=0,99,1+SUM(IF(AND(C206+D206-E206&gt;0,OR('Debt strategy'!$D$9&gt;'Debt strategy'!$D$12,AND('Debt strategy'!$D$9='Debt strategy'!$D$12,0&lt;3))),1,0),IF(AND(I206+J206-K206&gt;0,OR('Debt strategy'!$D$10&gt;'Debt strategy'!$D$12,AND('Debt strategy'!$D$10='Debt strategy'!$D$12,1&lt;3))),1,0),IF(AND(O206+P206-Q206&gt;0,OR('Debt strategy'!$D$11&gt;'Debt strategy'!$D$12,AND('Debt strategy'!$D$11='Debt strategy'!$D$12,2&lt;3))),1,0),IF(AND(AA206+AB206-AC206&gt;0,OR('Debt strategy'!$D$13&gt;'Debt strategy'!$D$12,AND('Debt strategy'!$D$13='Debt strategy'!$D$12,4&lt;3))),1,0)))</x:f>
        <x:v>99</x:v>
      </x:c>
      <x:c r="Y206" s="6" t="n">
        <x:f>IF('Debt strategy'!$C$16&gt;0,0,MIN(U206+V206-W206,MAX(0,'Debt strategy'!$C$5-SUM(E206,K206,Q206,W206,AC206)-SUM(IF(F206&lt;X206,C206+D206-E206,0),IF(L206&lt;X206,I206+J206-K206,0),IF(R206&lt;X206,O206+P206-Q206,0),IF(AD206&lt;X206,AA206+AB206-AC206,0)))))</x:f>
        <x:v>0</x:v>
      </x:c>
      <x:c r="Z206" s="6" t="n">
        <x:f>ROUND(MAX(0,U206+V206-W206-Y206),2)</x:f>
        <x:v>0</x:v>
      </x:c>
      <x:c r="AA206" s="6" t="n">
        <x:f>AF205</x:f>
        <x:v>0</x:v>
      </x:c>
      <x:c r="AB206" s="6" t="n">
        <x:f>ROUND(AA206*'Debt strategy'!$D$13/12,2)</x:f>
        <x:v>0</x:v>
      </x:c>
      <x:c r="AC206" s="6" t="n">
        <x:f>MIN(AA206+AB206,'Debt strategy'!$E$13)</x:f>
        <x:v>0</x:v>
      </x:c>
      <x:c r="AD206" s="27" t="n">
        <x:f>IF(AA206+AB206-AC206&lt;=0,99,1+SUM(IF(AND(C206+D206-E206&gt;0,OR('Debt strategy'!$D$9&gt;'Debt strategy'!$D$13,AND('Debt strategy'!$D$9='Debt strategy'!$D$13,0&lt;4))),1,0),IF(AND(I206+J206-K206&gt;0,OR('Debt strategy'!$D$10&gt;'Debt strategy'!$D$13,AND('Debt strategy'!$D$10='Debt strategy'!$D$13,1&lt;4))),1,0),IF(AND(O206+P206-Q206&gt;0,OR('Debt strategy'!$D$11&gt;'Debt strategy'!$D$13,AND('Debt strategy'!$D$11='Debt strategy'!$D$13,2&lt;4))),1,0),IF(AND(U206+V206-W206&gt;0,OR('Debt strategy'!$D$12&gt;'Debt strategy'!$D$13,AND('Debt strategy'!$D$12='Debt strategy'!$D$13,3&lt;4))),1,0)))</x:f>
        <x:v>99</x:v>
      </x:c>
      <x:c r="AE206" s="6" t="n">
        <x:f>IF('Debt strategy'!$C$16&gt;0,0,MIN(AA206+AB206-AC206,MAX(0,'Debt strategy'!$C$5-SUM(E206,K206,Q206,W206,AC206)-SUM(IF(F206&lt;AD206,C206+D206-E206,0),IF(L206&lt;AD206,I206+J206-K206,0),IF(R206&lt;AD206,O206+P206-Q206,0),IF(X206&lt;AD206,U206+V206-W206,0)))))</x:f>
        <x:v>0</x:v>
      </x:c>
      <x:c r="AF206" s="6" t="n">
        <x:f>ROUND(MAX(0,AA206+AB206-AC206-AE206),2)</x:f>
        <x:v>0</x:v>
      </x:c>
      <x:c r="AG206" s="6" t="n">
        <x:f>SUM(H206,N206,T206,Z206,AF206)</x:f>
        <x:v>0</x:v>
      </x:c>
      <x:c r="AH206" s="6" t="n">
        <x:f>SUM(D206,J206,P206,V206,AB206)+AH205</x:f>
        <x:v>1220.8400000000001</x:v>
      </x:c>
      <x:c r="AI206" s="2"/>
    </x:row>
    <x:row r="207" ht="23" customHeight="1">
      <x:c r="B207" s="2" t="n">
        <x:f>199</x:f>
        <x:v>199</x:v>
      </x:c>
      <x:c r="C207" s="6" t="n">
        <x:f>H206</x:f>
        <x:v>0</x:v>
      </x:c>
      <x:c r="D207" s="6" t="n">
        <x:f>ROUND(C207*'Debt strategy'!$D$9/12,2)</x:f>
        <x:v>0</x:v>
      </x:c>
      <x:c r="E207" s="6" t="n">
        <x:f>MIN(C207+D207,'Debt strategy'!$E$9)</x:f>
        <x:v>0</x:v>
      </x:c>
      <x:c r="F207" s="27" t="n">
        <x:f>IF(C207+D207-E207&lt;=0,99,1+SUM(IF(AND(I207+J207-K207&gt;0,OR('Debt strategy'!$D$10&gt;'Debt strategy'!$D$9,AND('Debt strategy'!$D$10='Debt strategy'!$D$9,1&lt;0))),1,0),IF(AND(O207+P207-Q207&gt;0,OR('Debt strategy'!$D$11&gt;'Debt strategy'!$D$9,AND('Debt strategy'!$D$11='Debt strategy'!$D$9,2&lt;0))),1,0),IF(AND(U207+V207-W207&gt;0,OR('Debt strategy'!$D$12&gt;'Debt strategy'!$D$9,AND('Debt strategy'!$D$12='Debt strategy'!$D$9,3&lt;0))),1,0),IF(AND(AA207+AB207-AC207&gt;0,OR('Debt strategy'!$D$13&gt;'Debt strategy'!$D$9,AND('Debt strategy'!$D$13='Debt strategy'!$D$9,4&lt;0))),1,0)))</x:f>
        <x:v>99</x:v>
      </x:c>
      <x:c r="G207" s="6" t="n">
        <x:f>IF('Debt strategy'!$C$16&gt;0,0,MIN(C207+D207-E207,MAX(0,'Debt strategy'!$C$5-SUM(E207,K207,Q207,W207,AC207)-SUM(IF(L207&lt;F207,I207+J207-K207,0),IF(R207&lt;F207,O207+P207-Q207,0),IF(X207&lt;F207,U207+V207-W207,0),IF(AD207&lt;F207,AA207+AB207-AC207,0)))))</x:f>
        <x:v>0</x:v>
      </x:c>
      <x:c r="H207" s="6" t="n">
        <x:f>ROUND(MAX(0,C207+D207-E207-G207),2)</x:f>
        <x:v>0</x:v>
      </x:c>
      <x:c r="I207" s="6" t="n">
        <x:f>N206</x:f>
        <x:v>0</x:v>
      </x:c>
      <x:c r="J207" s="6" t="n">
        <x:f>ROUND(I207*'Debt strategy'!$D$10/12,2)</x:f>
        <x:v>0</x:v>
      </x:c>
      <x:c r="K207" s="6" t="n">
        <x:f>MIN(I207+J207,'Debt strategy'!$E$10)</x:f>
        <x:v>0</x:v>
      </x:c>
      <x:c r="L207" s="27" t="n">
        <x:f>IF(I207+J207-K207&lt;=0,99,1+SUM(IF(AND(C207+D207-E207&gt;0,OR('Debt strategy'!$D$9&gt;'Debt strategy'!$D$10,AND('Debt strategy'!$D$9='Debt strategy'!$D$10,0&lt;1))),1,0),IF(AND(O207+P207-Q207&gt;0,OR('Debt strategy'!$D$11&gt;'Debt strategy'!$D$10,AND('Debt strategy'!$D$11='Debt strategy'!$D$10,2&lt;1))),1,0),IF(AND(U207+V207-W207&gt;0,OR('Debt strategy'!$D$12&gt;'Debt strategy'!$D$10,AND('Debt strategy'!$D$12='Debt strategy'!$D$10,3&lt;1))),1,0),IF(AND(AA207+AB207-AC207&gt;0,OR('Debt strategy'!$D$13&gt;'Debt strategy'!$D$10,AND('Debt strategy'!$D$13='Debt strategy'!$D$10,4&lt;1))),1,0)))</x:f>
        <x:v>99</x:v>
      </x:c>
      <x:c r="M207" s="6" t="n">
        <x:f>IF('Debt strategy'!$C$16&gt;0,0,MIN(I207+J207-K207,MAX(0,'Debt strategy'!$C$5-SUM(E207,K207,Q207,W207,AC207)-SUM(IF(F207&lt;L207,C207+D207-E207,0),IF(R207&lt;L207,O207+P207-Q207,0),IF(X207&lt;L207,U207+V207-W207,0),IF(AD207&lt;L207,AA207+AB207-AC207,0)))))</x:f>
        <x:v>0</x:v>
      </x:c>
      <x:c r="N207" s="6" t="n">
        <x:f>ROUND(MAX(0,I207+J207-K207-M207),2)</x:f>
        <x:v>0</x:v>
      </x:c>
      <x:c r="O207" s="6" t="n">
        <x:f>T206</x:f>
        <x:v>0</x:v>
      </x:c>
      <x:c r="P207" s="6" t="n">
        <x:f>ROUND(O207*'Debt strategy'!$D$11/12,2)</x:f>
        <x:v>0</x:v>
      </x:c>
      <x:c r="Q207" s="6" t="n">
        <x:f>MIN(O207+P207,'Debt strategy'!$E$11)</x:f>
        <x:v>0</x:v>
      </x:c>
      <x:c r="R207" s="27" t="n">
        <x:f>IF(O207+P207-Q207&lt;=0,99,1+SUM(IF(AND(C207+D207-E207&gt;0,OR('Debt strategy'!$D$9&gt;'Debt strategy'!$D$11,AND('Debt strategy'!$D$9='Debt strategy'!$D$11,0&lt;2))),1,0),IF(AND(I207+J207-K207&gt;0,OR('Debt strategy'!$D$10&gt;'Debt strategy'!$D$11,AND('Debt strategy'!$D$10='Debt strategy'!$D$11,1&lt;2))),1,0),IF(AND(U207+V207-W207&gt;0,OR('Debt strategy'!$D$12&gt;'Debt strategy'!$D$11,AND('Debt strategy'!$D$12='Debt strategy'!$D$11,3&lt;2))),1,0),IF(AND(AA207+AB207-AC207&gt;0,OR('Debt strategy'!$D$13&gt;'Debt strategy'!$D$11,AND('Debt strategy'!$D$13='Debt strategy'!$D$11,4&lt;2))),1,0)))</x:f>
        <x:v>99</x:v>
      </x:c>
      <x:c r="S207" s="6" t="n">
        <x:f>IF('Debt strategy'!$C$16&gt;0,0,MIN(O207+P207-Q207,MAX(0,'Debt strategy'!$C$5-SUM(E207,K207,Q207,W207,AC207)-SUM(IF(F207&lt;R207,C207+D207-E207,0),IF(L207&lt;R207,I207+J207-K207,0),IF(X207&lt;R207,U207+V207-W207,0),IF(AD207&lt;R207,AA207+AB207-AC207,0)))))</x:f>
        <x:v>0</x:v>
      </x:c>
      <x:c r="T207" s="6" t="n">
        <x:f>ROUND(MAX(0,O207+P207-Q207-S207),2)</x:f>
        <x:v>0</x:v>
      </x:c>
      <x:c r="U207" s="6" t="n">
        <x:f>Z206</x:f>
        <x:v>0</x:v>
      </x:c>
      <x:c r="V207" s="6" t="n">
        <x:f>ROUND(U207*'Debt strategy'!$D$12/12,2)</x:f>
        <x:v>0</x:v>
      </x:c>
      <x:c r="W207" s="6" t="n">
        <x:f>MIN(U207+V207,'Debt strategy'!$E$12)</x:f>
        <x:v>0</x:v>
      </x:c>
      <x:c r="X207" s="27" t="n">
        <x:f>IF(U207+V207-W207&lt;=0,99,1+SUM(IF(AND(C207+D207-E207&gt;0,OR('Debt strategy'!$D$9&gt;'Debt strategy'!$D$12,AND('Debt strategy'!$D$9='Debt strategy'!$D$12,0&lt;3))),1,0),IF(AND(I207+J207-K207&gt;0,OR('Debt strategy'!$D$10&gt;'Debt strategy'!$D$12,AND('Debt strategy'!$D$10='Debt strategy'!$D$12,1&lt;3))),1,0),IF(AND(O207+P207-Q207&gt;0,OR('Debt strategy'!$D$11&gt;'Debt strategy'!$D$12,AND('Debt strategy'!$D$11='Debt strategy'!$D$12,2&lt;3))),1,0),IF(AND(AA207+AB207-AC207&gt;0,OR('Debt strategy'!$D$13&gt;'Debt strategy'!$D$12,AND('Debt strategy'!$D$13='Debt strategy'!$D$12,4&lt;3))),1,0)))</x:f>
        <x:v>99</x:v>
      </x:c>
      <x:c r="Y207" s="6" t="n">
        <x:f>IF('Debt strategy'!$C$16&gt;0,0,MIN(U207+V207-W207,MAX(0,'Debt strategy'!$C$5-SUM(E207,K207,Q207,W207,AC207)-SUM(IF(F207&lt;X207,C207+D207-E207,0),IF(L207&lt;X207,I207+J207-K207,0),IF(R207&lt;X207,O207+P207-Q207,0),IF(AD207&lt;X207,AA207+AB207-AC207,0)))))</x:f>
        <x:v>0</x:v>
      </x:c>
      <x:c r="Z207" s="6" t="n">
        <x:f>ROUND(MAX(0,U207+V207-W207-Y207),2)</x:f>
        <x:v>0</x:v>
      </x:c>
      <x:c r="AA207" s="6" t="n">
        <x:f>AF206</x:f>
        <x:v>0</x:v>
      </x:c>
      <x:c r="AB207" s="6" t="n">
        <x:f>ROUND(AA207*'Debt strategy'!$D$13/12,2)</x:f>
        <x:v>0</x:v>
      </x:c>
      <x:c r="AC207" s="6" t="n">
        <x:f>MIN(AA207+AB207,'Debt strategy'!$E$13)</x:f>
        <x:v>0</x:v>
      </x:c>
      <x:c r="AD207" s="27" t="n">
        <x:f>IF(AA207+AB207-AC207&lt;=0,99,1+SUM(IF(AND(C207+D207-E207&gt;0,OR('Debt strategy'!$D$9&gt;'Debt strategy'!$D$13,AND('Debt strategy'!$D$9='Debt strategy'!$D$13,0&lt;4))),1,0),IF(AND(I207+J207-K207&gt;0,OR('Debt strategy'!$D$10&gt;'Debt strategy'!$D$13,AND('Debt strategy'!$D$10='Debt strategy'!$D$13,1&lt;4))),1,0),IF(AND(O207+P207-Q207&gt;0,OR('Debt strategy'!$D$11&gt;'Debt strategy'!$D$13,AND('Debt strategy'!$D$11='Debt strategy'!$D$13,2&lt;4))),1,0),IF(AND(U207+V207-W207&gt;0,OR('Debt strategy'!$D$12&gt;'Debt strategy'!$D$13,AND('Debt strategy'!$D$12='Debt strategy'!$D$13,3&lt;4))),1,0)))</x:f>
        <x:v>99</x:v>
      </x:c>
      <x:c r="AE207" s="6" t="n">
        <x:f>IF('Debt strategy'!$C$16&gt;0,0,MIN(AA207+AB207-AC207,MAX(0,'Debt strategy'!$C$5-SUM(E207,K207,Q207,W207,AC207)-SUM(IF(F207&lt;AD207,C207+D207-E207,0),IF(L207&lt;AD207,I207+J207-K207,0),IF(R207&lt;AD207,O207+P207-Q207,0),IF(X207&lt;AD207,U207+V207-W207,0)))))</x:f>
        <x:v>0</x:v>
      </x:c>
      <x:c r="AF207" s="6" t="n">
        <x:f>ROUND(MAX(0,AA207+AB207-AC207-AE207),2)</x:f>
        <x:v>0</x:v>
      </x:c>
      <x:c r="AG207" s="6" t="n">
        <x:f>SUM(H207,N207,T207,Z207,AF207)</x:f>
        <x:v>0</x:v>
      </x:c>
      <x:c r="AH207" s="6" t="n">
        <x:f>SUM(D207,J207,P207,V207,AB207)+AH206</x:f>
        <x:v>1220.8400000000001</x:v>
      </x:c>
      <x:c r="AI207" s="2"/>
    </x:row>
    <x:row r="208" ht="23" customHeight="1">
      <x:c r="B208" s="2" t="n">
        <x:f>200</x:f>
        <x:v>200</x:v>
      </x:c>
      <x:c r="C208" s="6" t="n">
        <x:f>H207</x:f>
        <x:v>0</x:v>
      </x:c>
      <x:c r="D208" s="6" t="n">
        <x:f>ROUND(C208*'Debt strategy'!$D$9/12,2)</x:f>
        <x:v>0</x:v>
      </x:c>
      <x:c r="E208" s="6" t="n">
        <x:f>MIN(C208+D208,'Debt strategy'!$E$9)</x:f>
        <x:v>0</x:v>
      </x:c>
      <x:c r="F208" s="27" t="n">
        <x:f>IF(C208+D208-E208&lt;=0,99,1+SUM(IF(AND(I208+J208-K208&gt;0,OR('Debt strategy'!$D$10&gt;'Debt strategy'!$D$9,AND('Debt strategy'!$D$10='Debt strategy'!$D$9,1&lt;0))),1,0),IF(AND(O208+P208-Q208&gt;0,OR('Debt strategy'!$D$11&gt;'Debt strategy'!$D$9,AND('Debt strategy'!$D$11='Debt strategy'!$D$9,2&lt;0))),1,0),IF(AND(U208+V208-W208&gt;0,OR('Debt strategy'!$D$12&gt;'Debt strategy'!$D$9,AND('Debt strategy'!$D$12='Debt strategy'!$D$9,3&lt;0))),1,0),IF(AND(AA208+AB208-AC208&gt;0,OR('Debt strategy'!$D$13&gt;'Debt strategy'!$D$9,AND('Debt strategy'!$D$13='Debt strategy'!$D$9,4&lt;0))),1,0)))</x:f>
        <x:v>99</x:v>
      </x:c>
      <x:c r="G208" s="6" t="n">
        <x:f>IF('Debt strategy'!$C$16&gt;0,0,MIN(C208+D208-E208,MAX(0,'Debt strategy'!$C$5-SUM(E208,K208,Q208,W208,AC208)-SUM(IF(L208&lt;F208,I208+J208-K208,0),IF(R208&lt;F208,O208+P208-Q208,0),IF(X208&lt;F208,U208+V208-W208,0),IF(AD208&lt;F208,AA208+AB208-AC208,0)))))</x:f>
        <x:v>0</x:v>
      </x:c>
      <x:c r="H208" s="6" t="n">
        <x:f>ROUND(MAX(0,C208+D208-E208-G208),2)</x:f>
        <x:v>0</x:v>
      </x:c>
      <x:c r="I208" s="6" t="n">
        <x:f>N207</x:f>
        <x:v>0</x:v>
      </x:c>
      <x:c r="J208" s="6" t="n">
        <x:f>ROUND(I208*'Debt strategy'!$D$10/12,2)</x:f>
        <x:v>0</x:v>
      </x:c>
      <x:c r="K208" s="6" t="n">
        <x:f>MIN(I208+J208,'Debt strategy'!$E$10)</x:f>
        <x:v>0</x:v>
      </x:c>
      <x:c r="L208" s="27" t="n">
        <x:f>IF(I208+J208-K208&lt;=0,99,1+SUM(IF(AND(C208+D208-E208&gt;0,OR('Debt strategy'!$D$9&gt;'Debt strategy'!$D$10,AND('Debt strategy'!$D$9='Debt strategy'!$D$10,0&lt;1))),1,0),IF(AND(O208+P208-Q208&gt;0,OR('Debt strategy'!$D$11&gt;'Debt strategy'!$D$10,AND('Debt strategy'!$D$11='Debt strategy'!$D$10,2&lt;1))),1,0),IF(AND(U208+V208-W208&gt;0,OR('Debt strategy'!$D$12&gt;'Debt strategy'!$D$10,AND('Debt strategy'!$D$12='Debt strategy'!$D$10,3&lt;1))),1,0),IF(AND(AA208+AB208-AC208&gt;0,OR('Debt strategy'!$D$13&gt;'Debt strategy'!$D$10,AND('Debt strategy'!$D$13='Debt strategy'!$D$10,4&lt;1))),1,0)))</x:f>
        <x:v>99</x:v>
      </x:c>
      <x:c r="M208" s="6" t="n">
        <x:f>IF('Debt strategy'!$C$16&gt;0,0,MIN(I208+J208-K208,MAX(0,'Debt strategy'!$C$5-SUM(E208,K208,Q208,W208,AC208)-SUM(IF(F208&lt;L208,C208+D208-E208,0),IF(R208&lt;L208,O208+P208-Q208,0),IF(X208&lt;L208,U208+V208-W208,0),IF(AD208&lt;L208,AA208+AB208-AC208,0)))))</x:f>
        <x:v>0</x:v>
      </x:c>
      <x:c r="N208" s="6" t="n">
        <x:f>ROUND(MAX(0,I208+J208-K208-M208),2)</x:f>
        <x:v>0</x:v>
      </x:c>
      <x:c r="O208" s="6" t="n">
        <x:f>T207</x:f>
        <x:v>0</x:v>
      </x:c>
      <x:c r="P208" s="6" t="n">
        <x:f>ROUND(O208*'Debt strategy'!$D$11/12,2)</x:f>
        <x:v>0</x:v>
      </x:c>
      <x:c r="Q208" s="6" t="n">
        <x:f>MIN(O208+P208,'Debt strategy'!$E$11)</x:f>
        <x:v>0</x:v>
      </x:c>
      <x:c r="R208" s="27" t="n">
        <x:f>IF(O208+P208-Q208&lt;=0,99,1+SUM(IF(AND(C208+D208-E208&gt;0,OR('Debt strategy'!$D$9&gt;'Debt strategy'!$D$11,AND('Debt strategy'!$D$9='Debt strategy'!$D$11,0&lt;2))),1,0),IF(AND(I208+J208-K208&gt;0,OR('Debt strategy'!$D$10&gt;'Debt strategy'!$D$11,AND('Debt strategy'!$D$10='Debt strategy'!$D$11,1&lt;2))),1,0),IF(AND(U208+V208-W208&gt;0,OR('Debt strategy'!$D$12&gt;'Debt strategy'!$D$11,AND('Debt strategy'!$D$12='Debt strategy'!$D$11,3&lt;2))),1,0),IF(AND(AA208+AB208-AC208&gt;0,OR('Debt strategy'!$D$13&gt;'Debt strategy'!$D$11,AND('Debt strategy'!$D$13='Debt strategy'!$D$11,4&lt;2))),1,0)))</x:f>
        <x:v>99</x:v>
      </x:c>
      <x:c r="S208" s="6" t="n">
        <x:f>IF('Debt strategy'!$C$16&gt;0,0,MIN(O208+P208-Q208,MAX(0,'Debt strategy'!$C$5-SUM(E208,K208,Q208,W208,AC208)-SUM(IF(F208&lt;R208,C208+D208-E208,0),IF(L208&lt;R208,I208+J208-K208,0),IF(X208&lt;R208,U208+V208-W208,0),IF(AD208&lt;R208,AA208+AB208-AC208,0)))))</x:f>
        <x:v>0</x:v>
      </x:c>
      <x:c r="T208" s="6" t="n">
        <x:f>ROUND(MAX(0,O208+P208-Q208-S208),2)</x:f>
        <x:v>0</x:v>
      </x:c>
      <x:c r="U208" s="6" t="n">
        <x:f>Z207</x:f>
        <x:v>0</x:v>
      </x:c>
      <x:c r="V208" s="6" t="n">
        <x:f>ROUND(U208*'Debt strategy'!$D$12/12,2)</x:f>
        <x:v>0</x:v>
      </x:c>
      <x:c r="W208" s="6" t="n">
        <x:f>MIN(U208+V208,'Debt strategy'!$E$12)</x:f>
        <x:v>0</x:v>
      </x:c>
      <x:c r="X208" s="27" t="n">
        <x:f>IF(U208+V208-W208&lt;=0,99,1+SUM(IF(AND(C208+D208-E208&gt;0,OR('Debt strategy'!$D$9&gt;'Debt strategy'!$D$12,AND('Debt strategy'!$D$9='Debt strategy'!$D$12,0&lt;3))),1,0),IF(AND(I208+J208-K208&gt;0,OR('Debt strategy'!$D$10&gt;'Debt strategy'!$D$12,AND('Debt strategy'!$D$10='Debt strategy'!$D$12,1&lt;3))),1,0),IF(AND(O208+P208-Q208&gt;0,OR('Debt strategy'!$D$11&gt;'Debt strategy'!$D$12,AND('Debt strategy'!$D$11='Debt strategy'!$D$12,2&lt;3))),1,0),IF(AND(AA208+AB208-AC208&gt;0,OR('Debt strategy'!$D$13&gt;'Debt strategy'!$D$12,AND('Debt strategy'!$D$13='Debt strategy'!$D$12,4&lt;3))),1,0)))</x:f>
        <x:v>99</x:v>
      </x:c>
      <x:c r="Y208" s="6" t="n">
        <x:f>IF('Debt strategy'!$C$16&gt;0,0,MIN(U208+V208-W208,MAX(0,'Debt strategy'!$C$5-SUM(E208,K208,Q208,W208,AC208)-SUM(IF(F208&lt;X208,C208+D208-E208,0),IF(L208&lt;X208,I208+J208-K208,0),IF(R208&lt;X208,O208+P208-Q208,0),IF(AD208&lt;X208,AA208+AB208-AC208,0)))))</x:f>
        <x:v>0</x:v>
      </x:c>
      <x:c r="Z208" s="6" t="n">
        <x:f>ROUND(MAX(0,U208+V208-W208-Y208),2)</x:f>
        <x:v>0</x:v>
      </x:c>
      <x:c r="AA208" s="6" t="n">
        <x:f>AF207</x:f>
        <x:v>0</x:v>
      </x:c>
      <x:c r="AB208" s="6" t="n">
        <x:f>ROUND(AA208*'Debt strategy'!$D$13/12,2)</x:f>
        <x:v>0</x:v>
      </x:c>
      <x:c r="AC208" s="6" t="n">
        <x:f>MIN(AA208+AB208,'Debt strategy'!$E$13)</x:f>
        <x:v>0</x:v>
      </x:c>
      <x:c r="AD208" s="27" t="n">
        <x:f>IF(AA208+AB208-AC208&lt;=0,99,1+SUM(IF(AND(C208+D208-E208&gt;0,OR('Debt strategy'!$D$9&gt;'Debt strategy'!$D$13,AND('Debt strategy'!$D$9='Debt strategy'!$D$13,0&lt;4))),1,0),IF(AND(I208+J208-K208&gt;0,OR('Debt strategy'!$D$10&gt;'Debt strategy'!$D$13,AND('Debt strategy'!$D$10='Debt strategy'!$D$13,1&lt;4))),1,0),IF(AND(O208+P208-Q208&gt;0,OR('Debt strategy'!$D$11&gt;'Debt strategy'!$D$13,AND('Debt strategy'!$D$11='Debt strategy'!$D$13,2&lt;4))),1,0),IF(AND(U208+V208-W208&gt;0,OR('Debt strategy'!$D$12&gt;'Debt strategy'!$D$13,AND('Debt strategy'!$D$12='Debt strategy'!$D$13,3&lt;4))),1,0)))</x:f>
        <x:v>99</x:v>
      </x:c>
      <x:c r="AE208" s="6" t="n">
        <x:f>IF('Debt strategy'!$C$16&gt;0,0,MIN(AA208+AB208-AC208,MAX(0,'Debt strategy'!$C$5-SUM(E208,K208,Q208,W208,AC208)-SUM(IF(F208&lt;AD208,C208+D208-E208,0),IF(L208&lt;AD208,I208+J208-K208,0),IF(R208&lt;AD208,O208+P208-Q208,0),IF(X208&lt;AD208,U208+V208-W208,0)))))</x:f>
        <x:v>0</x:v>
      </x:c>
      <x:c r="AF208" s="6" t="n">
        <x:f>ROUND(MAX(0,AA208+AB208-AC208-AE208),2)</x:f>
        <x:v>0</x:v>
      </x:c>
      <x:c r="AG208" s="6" t="n">
        <x:f>SUM(H208,N208,T208,Z208,AF208)</x:f>
        <x:v>0</x:v>
      </x:c>
      <x:c r="AH208" s="6" t="n">
        <x:f>SUM(D208,J208,P208,V208,AB208)+AH207</x:f>
        <x:v>1220.8400000000001</x:v>
      </x:c>
      <x:c r="AI208" s="2"/>
    </x:row>
    <x:row r="209" ht="23" customHeight="1">
      <x:c r="B209" s="2" t="n">
        <x:f>201</x:f>
        <x:v>201</x:v>
      </x:c>
      <x:c r="C209" s="6" t="n">
        <x:f>H208</x:f>
        <x:v>0</x:v>
      </x:c>
      <x:c r="D209" s="6" t="n">
        <x:f>ROUND(C209*'Debt strategy'!$D$9/12,2)</x:f>
        <x:v>0</x:v>
      </x:c>
      <x:c r="E209" s="6" t="n">
        <x:f>MIN(C209+D209,'Debt strategy'!$E$9)</x:f>
        <x:v>0</x:v>
      </x:c>
      <x:c r="F209" s="27" t="n">
        <x:f>IF(C209+D209-E209&lt;=0,99,1+SUM(IF(AND(I209+J209-K209&gt;0,OR('Debt strategy'!$D$10&gt;'Debt strategy'!$D$9,AND('Debt strategy'!$D$10='Debt strategy'!$D$9,1&lt;0))),1,0),IF(AND(O209+P209-Q209&gt;0,OR('Debt strategy'!$D$11&gt;'Debt strategy'!$D$9,AND('Debt strategy'!$D$11='Debt strategy'!$D$9,2&lt;0))),1,0),IF(AND(U209+V209-W209&gt;0,OR('Debt strategy'!$D$12&gt;'Debt strategy'!$D$9,AND('Debt strategy'!$D$12='Debt strategy'!$D$9,3&lt;0))),1,0),IF(AND(AA209+AB209-AC209&gt;0,OR('Debt strategy'!$D$13&gt;'Debt strategy'!$D$9,AND('Debt strategy'!$D$13='Debt strategy'!$D$9,4&lt;0))),1,0)))</x:f>
        <x:v>99</x:v>
      </x:c>
      <x:c r="G209" s="6" t="n">
        <x:f>IF('Debt strategy'!$C$16&gt;0,0,MIN(C209+D209-E209,MAX(0,'Debt strategy'!$C$5-SUM(E209,K209,Q209,W209,AC209)-SUM(IF(L209&lt;F209,I209+J209-K209,0),IF(R209&lt;F209,O209+P209-Q209,0),IF(X209&lt;F209,U209+V209-W209,0),IF(AD209&lt;F209,AA209+AB209-AC209,0)))))</x:f>
        <x:v>0</x:v>
      </x:c>
      <x:c r="H209" s="6" t="n">
        <x:f>ROUND(MAX(0,C209+D209-E209-G209),2)</x:f>
        <x:v>0</x:v>
      </x:c>
      <x:c r="I209" s="6" t="n">
        <x:f>N208</x:f>
        <x:v>0</x:v>
      </x:c>
      <x:c r="J209" s="6" t="n">
        <x:f>ROUND(I209*'Debt strategy'!$D$10/12,2)</x:f>
        <x:v>0</x:v>
      </x:c>
      <x:c r="K209" s="6" t="n">
        <x:f>MIN(I209+J209,'Debt strategy'!$E$10)</x:f>
        <x:v>0</x:v>
      </x:c>
      <x:c r="L209" s="27" t="n">
        <x:f>IF(I209+J209-K209&lt;=0,99,1+SUM(IF(AND(C209+D209-E209&gt;0,OR('Debt strategy'!$D$9&gt;'Debt strategy'!$D$10,AND('Debt strategy'!$D$9='Debt strategy'!$D$10,0&lt;1))),1,0),IF(AND(O209+P209-Q209&gt;0,OR('Debt strategy'!$D$11&gt;'Debt strategy'!$D$10,AND('Debt strategy'!$D$11='Debt strategy'!$D$10,2&lt;1))),1,0),IF(AND(U209+V209-W209&gt;0,OR('Debt strategy'!$D$12&gt;'Debt strategy'!$D$10,AND('Debt strategy'!$D$12='Debt strategy'!$D$10,3&lt;1))),1,0),IF(AND(AA209+AB209-AC209&gt;0,OR('Debt strategy'!$D$13&gt;'Debt strategy'!$D$10,AND('Debt strategy'!$D$13='Debt strategy'!$D$10,4&lt;1))),1,0)))</x:f>
        <x:v>99</x:v>
      </x:c>
      <x:c r="M209" s="6" t="n">
        <x:f>IF('Debt strategy'!$C$16&gt;0,0,MIN(I209+J209-K209,MAX(0,'Debt strategy'!$C$5-SUM(E209,K209,Q209,W209,AC209)-SUM(IF(F209&lt;L209,C209+D209-E209,0),IF(R209&lt;L209,O209+P209-Q209,0),IF(X209&lt;L209,U209+V209-W209,0),IF(AD209&lt;L209,AA209+AB209-AC209,0)))))</x:f>
        <x:v>0</x:v>
      </x:c>
      <x:c r="N209" s="6" t="n">
        <x:f>ROUND(MAX(0,I209+J209-K209-M209),2)</x:f>
        <x:v>0</x:v>
      </x:c>
      <x:c r="O209" s="6" t="n">
        <x:f>T208</x:f>
        <x:v>0</x:v>
      </x:c>
      <x:c r="P209" s="6" t="n">
        <x:f>ROUND(O209*'Debt strategy'!$D$11/12,2)</x:f>
        <x:v>0</x:v>
      </x:c>
      <x:c r="Q209" s="6" t="n">
        <x:f>MIN(O209+P209,'Debt strategy'!$E$11)</x:f>
        <x:v>0</x:v>
      </x:c>
      <x:c r="R209" s="27" t="n">
        <x:f>IF(O209+P209-Q209&lt;=0,99,1+SUM(IF(AND(C209+D209-E209&gt;0,OR('Debt strategy'!$D$9&gt;'Debt strategy'!$D$11,AND('Debt strategy'!$D$9='Debt strategy'!$D$11,0&lt;2))),1,0),IF(AND(I209+J209-K209&gt;0,OR('Debt strategy'!$D$10&gt;'Debt strategy'!$D$11,AND('Debt strategy'!$D$10='Debt strategy'!$D$11,1&lt;2))),1,0),IF(AND(U209+V209-W209&gt;0,OR('Debt strategy'!$D$12&gt;'Debt strategy'!$D$11,AND('Debt strategy'!$D$12='Debt strategy'!$D$11,3&lt;2))),1,0),IF(AND(AA209+AB209-AC209&gt;0,OR('Debt strategy'!$D$13&gt;'Debt strategy'!$D$11,AND('Debt strategy'!$D$13='Debt strategy'!$D$11,4&lt;2))),1,0)))</x:f>
        <x:v>99</x:v>
      </x:c>
      <x:c r="S209" s="6" t="n">
        <x:f>IF('Debt strategy'!$C$16&gt;0,0,MIN(O209+P209-Q209,MAX(0,'Debt strategy'!$C$5-SUM(E209,K209,Q209,W209,AC209)-SUM(IF(F209&lt;R209,C209+D209-E209,0),IF(L209&lt;R209,I209+J209-K209,0),IF(X209&lt;R209,U209+V209-W209,0),IF(AD209&lt;R209,AA209+AB209-AC209,0)))))</x:f>
        <x:v>0</x:v>
      </x:c>
      <x:c r="T209" s="6" t="n">
        <x:f>ROUND(MAX(0,O209+P209-Q209-S209),2)</x:f>
        <x:v>0</x:v>
      </x:c>
      <x:c r="U209" s="6" t="n">
        <x:f>Z208</x:f>
        <x:v>0</x:v>
      </x:c>
      <x:c r="V209" s="6" t="n">
        <x:f>ROUND(U209*'Debt strategy'!$D$12/12,2)</x:f>
        <x:v>0</x:v>
      </x:c>
      <x:c r="W209" s="6" t="n">
        <x:f>MIN(U209+V209,'Debt strategy'!$E$12)</x:f>
        <x:v>0</x:v>
      </x:c>
      <x:c r="X209" s="27" t="n">
        <x:f>IF(U209+V209-W209&lt;=0,99,1+SUM(IF(AND(C209+D209-E209&gt;0,OR('Debt strategy'!$D$9&gt;'Debt strategy'!$D$12,AND('Debt strategy'!$D$9='Debt strategy'!$D$12,0&lt;3))),1,0),IF(AND(I209+J209-K209&gt;0,OR('Debt strategy'!$D$10&gt;'Debt strategy'!$D$12,AND('Debt strategy'!$D$10='Debt strategy'!$D$12,1&lt;3))),1,0),IF(AND(O209+P209-Q209&gt;0,OR('Debt strategy'!$D$11&gt;'Debt strategy'!$D$12,AND('Debt strategy'!$D$11='Debt strategy'!$D$12,2&lt;3))),1,0),IF(AND(AA209+AB209-AC209&gt;0,OR('Debt strategy'!$D$13&gt;'Debt strategy'!$D$12,AND('Debt strategy'!$D$13='Debt strategy'!$D$12,4&lt;3))),1,0)))</x:f>
        <x:v>99</x:v>
      </x:c>
      <x:c r="Y209" s="6" t="n">
        <x:f>IF('Debt strategy'!$C$16&gt;0,0,MIN(U209+V209-W209,MAX(0,'Debt strategy'!$C$5-SUM(E209,K209,Q209,W209,AC209)-SUM(IF(F209&lt;X209,C209+D209-E209,0),IF(L209&lt;X209,I209+J209-K209,0),IF(R209&lt;X209,O209+P209-Q209,0),IF(AD209&lt;X209,AA209+AB209-AC209,0)))))</x:f>
        <x:v>0</x:v>
      </x:c>
      <x:c r="Z209" s="6" t="n">
        <x:f>ROUND(MAX(0,U209+V209-W209-Y209),2)</x:f>
        <x:v>0</x:v>
      </x:c>
      <x:c r="AA209" s="6" t="n">
        <x:f>AF208</x:f>
        <x:v>0</x:v>
      </x:c>
      <x:c r="AB209" s="6" t="n">
        <x:f>ROUND(AA209*'Debt strategy'!$D$13/12,2)</x:f>
        <x:v>0</x:v>
      </x:c>
      <x:c r="AC209" s="6" t="n">
        <x:f>MIN(AA209+AB209,'Debt strategy'!$E$13)</x:f>
        <x:v>0</x:v>
      </x:c>
      <x:c r="AD209" s="27" t="n">
        <x:f>IF(AA209+AB209-AC209&lt;=0,99,1+SUM(IF(AND(C209+D209-E209&gt;0,OR('Debt strategy'!$D$9&gt;'Debt strategy'!$D$13,AND('Debt strategy'!$D$9='Debt strategy'!$D$13,0&lt;4))),1,0),IF(AND(I209+J209-K209&gt;0,OR('Debt strategy'!$D$10&gt;'Debt strategy'!$D$13,AND('Debt strategy'!$D$10='Debt strategy'!$D$13,1&lt;4))),1,0),IF(AND(O209+P209-Q209&gt;0,OR('Debt strategy'!$D$11&gt;'Debt strategy'!$D$13,AND('Debt strategy'!$D$11='Debt strategy'!$D$13,2&lt;4))),1,0),IF(AND(U209+V209-W209&gt;0,OR('Debt strategy'!$D$12&gt;'Debt strategy'!$D$13,AND('Debt strategy'!$D$12='Debt strategy'!$D$13,3&lt;4))),1,0)))</x:f>
        <x:v>99</x:v>
      </x:c>
      <x:c r="AE209" s="6" t="n">
        <x:f>IF('Debt strategy'!$C$16&gt;0,0,MIN(AA209+AB209-AC209,MAX(0,'Debt strategy'!$C$5-SUM(E209,K209,Q209,W209,AC209)-SUM(IF(F209&lt;AD209,C209+D209-E209,0),IF(L209&lt;AD209,I209+J209-K209,0),IF(R209&lt;AD209,O209+P209-Q209,0),IF(X209&lt;AD209,U209+V209-W209,0)))))</x:f>
        <x:v>0</x:v>
      </x:c>
      <x:c r="AF209" s="6" t="n">
        <x:f>ROUND(MAX(0,AA209+AB209-AC209-AE209),2)</x:f>
        <x:v>0</x:v>
      </x:c>
      <x:c r="AG209" s="6" t="n">
        <x:f>SUM(H209,N209,T209,Z209,AF209)</x:f>
        <x:v>0</x:v>
      </x:c>
      <x:c r="AH209" s="6" t="n">
        <x:f>SUM(D209,J209,P209,V209,AB209)+AH208</x:f>
        <x:v>1220.8400000000001</x:v>
      </x:c>
      <x:c r="AI209" s="2"/>
    </x:row>
    <x:row r="210" ht="23" customHeight="1">
      <x:c r="B210" s="2" t="n">
        <x:f>202</x:f>
        <x:v>202</x:v>
      </x:c>
      <x:c r="C210" s="6" t="n">
        <x:f>H209</x:f>
        <x:v>0</x:v>
      </x:c>
      <x:c r="D210" s="6" t="n">
        <x:f>ROUND(C210*'Debt strategy'!$D$9/12,2)</x:f>
        <x:v>0</x:v>
      </x:c>
      <x:c r="E210" s="6" t="n">
        <x:f>MIN(C210+D210,'Debt strategy'!$E$9)</x:f>
        <x:v>0</x:v>
      </x:c>
      <x:c r="F210" s="27" t="n">
        <x:f>IF(C210+D210-E210&lt;=0,99,1+SUM(IF(AND(I210+J210-K210&gt;0,OR('Debt strategy'!$D$10&gt;'Debt strategy'!$D$9,AND('Debt strategy'!$D$10='Debt strategy'!$D$9,1&lt;0))),1,0),IF(AND(O210+P210-Q210&gt;0,OR('Debt strategy'!$D$11&gt;'Debt strategy'!$D$9,AND('Debt strategy'!$D$11='Debt strategy'!$D$9,2&lt;0))),1,0),IF(AND(U210+V210-W210&gt;0,OR('Debt strategy'!$D$12&gt;'Debt strategy'!$D$9,AND('Debt strategy'!$D$12='Debt strategy'!$D$9,3&lt;0))),1,0),IF(AND(AA210+AB210-AC210&gt;0,OR('Debt strategy'!$D$13&gt;'Debt strategy'!$D$9,AND('Debt strategy'!$D$13='Debt strategy'!$D$9,4&lt;0))),1,0)))</x:f>
        <x:v>99</x:v>
      </x:c>
      <x:c r="G210" s="6" t="n">
        <x:f>IF('Debt strategy'!$C$16&gt;0,0,MIN(C210+D210-E210,MAX(0,'Debt strategy'!$C$5-SUM(E210,K210,Q210,W210,AC210)-SUM(IF(L210&lt;F210,I210+J210-K210,0),IF(R210&lt;F210,O210+P210-Q210,0),IF(X210&lt;F210,U210+V210-W210,0),IF(AD210&lt;F210,AA210+AB210-AC210,0)))))</x:f>
        <x:v>0</x:v>
      </x:c>
      <x:c r="H210" s="6" t="n">
        <x:f>ROUND(MAX(0,C210+D210-E210-G210),2)</x:f>
        <x:v>0</x:v>
      </x:c>
      <x:c r="I210" s="6" t="n">
        <x:f>N209</x:f>
        <x:v>0</x:v>
      </x:c>
      <x:c r="J210" s="6" t="n">
        <x:f>ROUND(I210*'Debt strategy'!$D$10/12,2)</x:f>
        <x:v>0</x:v>
      </x:c>
      <x:c r="K210" s="6" t="n">
        <x:f>MIN(I210+J210,'Debt strategy'!$E$10)</x:f>
        <x:v>0</x:v>
      </x:c>
      <x:c r="L210" s="27" t="n">
        <x:f>IF(I210+J210-K210&lt;=0,99,1+SUM(IF(AND(C210+D210-E210&gt;0,OR('Debt strategy'!$D$9&gt;'Debt strategy'!$D$10,AND('Debt strategy'!$D$9='Debt strategy'!$D$10,0&lt;1))),1,0),IF(AND(O210+P210-Q210&gt;0,OR('Debt strategy'!$D$11&gt;'Debt strategy'!$D$10,AND('Debt strategy'!$D$11='Debt strategy'!$D$10,2&lt;1))),1,0),IF(AND(U210+V210-W210&gt;0,OR('Debt strategy'!$D$12&gt;'Debt strategy'!$D$10,AND('Debt strategy'!$D$12='Debt strategy'!$D$10,3&lt;1))),1,0),IF(AND(AA210+AB210-AC210&gt;0,OR('Debt strategy'!$D$13&gt;'Debt strategy'!$D$10,AND('Debt strategy'!$D$13='Debt strategy'!$D$10,4&lt;1))),1,0)))</x:f>
        <x:v>99</x:v>
      </x:c>
      <x:c r="M210" s="6" t="n">
        <x:f>IF('Debt strategy'!$C$16&gt;0,0,MIN(I210+J210-K210,MAX(0,'Debt strategy'!$C$5-SUM(E210,K210,Q210,W210,AC210)-SUM(IF(F210&lt;L210,C210+D210-E210,0),IF(R210&lt;L210,O210+P210-Q210,0),IF(X210&lt;L210,U210+V210-W210,0),IF(AD210&lt;L210,AA210+AB210-AC210,0)))))</x:f>
        <x:v>0</x:v>
      </x:c>
      <x:c r="N210" s="6" t="n">
        <x:f>ROUND(MAX(0,I210+J210-K210-M210),2)</x:f>
        <x:v>0</x:v>
      </x:c>
      <x:c r="O210" s="6" t="n">
        <x:f>T209</x:f>
        <x:v>0</x:v>
      </x:c>
      <x:c r="P210" s="6" t="n">
        <x:f>ROUND(O210*'Debt strategy'!$D$11/12,2)</x:f>
        <x:v>0</x:v>
      </x:c>
      <x:c r="Q210" s="6" t="n">
        <x:f>MIN(O210+P210,'Debt strategy'!$E$11)</x:f>
        <x:v>0</x:v>
      </x:c>
      <x:c r="R210" s="27" t="n">
        <x:f>IF(O210+P210-Q210&lt;=0,99,1+SUM(IF(AND(C210+D210-E210&gt;0,OR('Debt strategy'!$D$9&gt;'Debt strategy'!$D$11,AND('Debt strategy'!$D$9='Debt strategy'!$D$11,0&lt;2))),1,0),IF(AND(I210+J210-K210&gt;0,OR('Debt strategy'!$D$10&gt;'Debt strategy'!$D$11,AND('Debt strategy'!$D$10='Debt strategy'!$D$11,1&lt;2))),1,0),IF(AND(U210+V210-W210&gt;0,OR('Debt strategy'!$D$12&gt;'Debt strategy'!$D$11,AND('Debt strategy'!$D$12='Debt strategy'!$D$11,3&lt;2))),1,0),IF(AND(AA210+AB210-AC210&gt;0,OR('Debt strategy'!$D$13&gt;'Debt strategy'!$D$11,AND('Debt strategy'!$D$13='Debt strategy'!$D$11,4&lt;2))),1,0)))</x:f>
        <x:v>99</x:v>
      </x:c>
      <x:c r="S210" s="6" t="n">
        <x:f>IF('Debt strategy'!$C$16&gt;0,0,MIN(O210+P210-Q210,MAX(0,'Debt strategy'!$C$5-SUM(E210,K210,Q210,W210,AC210)-SUM(IF(F210&lt;R210,C210+D210-E210,0),IF(L210&lt;R210,I210+J210-K210,0),IF(X210&lt;R210,U210+V210-W210,0),IF(AD210&lt;R210,AA210+AB210-AC210,0)))))</x:f>
        <x:v>0</x:v>
      </x:c>
      <x:c r="T210" s="6" t="n">
        <x:f>ROUND(MAX(0,O210+P210-Q210-S210),2)</x:f>
        <x:v>0</x:v>
      </x:c>
      <x:c r="U210" s="6" t="n">
        <x:f>Z209</x:f>
        <x:v>0</x:v>
      </x:c>
      <x:c r="V210" s="6" t="n">
        <x:f>ROUND(U210*'Debt strategy'!$D$12/12,2)</x:f>
        <x:v>0</x:v>
      </x:c>
      <x:c r="W210" s="6" t="n">
        <x:f>MIN(U210+V210,'Debt strategy'!$E$12)</x:f>
        <x:v>0</x:v>
      </x:c>
      <x:c r="X210" s="27" t="n">
        <x:f>IF(U210+V210-W210&lt;=0,99,1+SUM(IF(AND(C210+D210-E210&gt;0,OR('Debt strategy'!$D$9&gt;'Debt strategy'!$D$12,AND('Debt strategy'!$D$9='Debt strategy'!$D$12,0&lt;3))),1,0),IF(AND(I210+J210-K210&gt;0,OR('Debt strategy'!$D$10&gt;'Debt strategy'!$D$12,AND('Debt strategy'!$D$10='Debt strategy'!$D$12,1&lt;3))),1,0),IF(AND(O210+P210-Q210&gt;0,OR('Debt strategy'!$D$11&gt;'Debt strategy'!$D$12,AND('Debt strategy'!$D$11='Debt strategy'!$D$12,2&lt;3))),1,0),IF(AND(AA210+AB210-AC210&gt;0,OR('Debt strategy'!$D$13&gt;'Debt strategy'!$D$12,AND('Debt strategy'!$D$13='Debt strategy'!$D$12,4&lt;3))),1,0)))</x:f>
        <x:v>99</x:v>
      </x:c>
      <x:c r="Y210" s="6" t="n">
        <x:f>IF('Debt strategy'!$C$16&gt;0,0,MIN(U210+V210-W210,MAX(0,'Debt strategy'!$C$5-SUM(E210,K210,Q210,W210,AC210)-SUM(IF(F210&lt;X210,C210+D210-E210,0),IF(L210&lt;X210,I210+J210-K210,0),IF(R210&lt;X210,O210+P210-Q210,0),IF(AD210&lt;X210,AA210+AB210-AC210,0)))))</x:f>
        <x:v>0</x:v>
      </x:c>
      <x:c r="Z210" s="6" t="n">
        <x:f>ROUND(MAX(0,U210+V210-W210-Y210),2)</x:f>
        <x:v>0</x:v>
      </x:c>
      <x:c r="AA210" s="6" t="n">
        <x:f>AF209</x:f>
        <x:v>0</x:v>
      </x:c>
      <x:c r="AB210" s="6" t="n">
        <x:f>ROUND(AA210*'Debt strategy'!$D$13/12,2)</x:f>
        <x:v>0</x:v>
      </x:c>
      <x:c r="AC210" s="6" t="n">
        <x:f>MIN(AA210+AB210,'Debt strategy'!$E$13)</x:f>
        <x:v>0</x:v>
      </x:c>
      <x:c r="AD210" s="27" t="n">
        <x:f>IF(AA210+AB210-AC210&lt;=0,99,1+SUM(IF(AND(C210+D210-E210&gt;0,OR('Debt strategy'!$D$9&gt;'Debt strategy'!$D$13,AND('Debt strategy'!$D$9='Debt strategy'!$D$13,0&lt;4))),1,0),IF(AND(I210+J210-K210&gt;0,OR('Debt strategy'!$D$10&gt;'Debt strategy'!$D$13,AND('Debt strategy'!$D$10='Debt strategy'!$D$13,1&lt;4))),1,0),IF(AND(O210+P210-Q210&gt;0,OR('Debt strategy'!$D$11&gt;'Debt strategy'!$D$13,AND('Debt strategy'!$D$11='Debt strategy'!$D$13,2&lt;4))),1,0),IF(AND(U210+V210-W210&gt;0,OR('Debt strategy'!$D$12&gt;'Debt strategy'!$D$13,AND('Debt strategy'!$D$12='Debt strategy'!$D$13,3&lt;4))),1,0)))</x:f>
        <x:v>99</x:v>
      </x:c>
      <x:c r="AE210" s="6" t="n">
        <x:f>IF('Debt strategy'!$C$16&gt;0,0,MIN(AA210+AB210-AC210,MAX(0,'Debt strategy'!$C$5-SUM(E210,K210,Q210,W210,AC210)-SUM(IF(F210&lt;AD210,C210+D210-E210,0),IF(L210&lt;AD210,I210+J210-K210,0),IF(R210&lt;AD210,O210+P210-Q210,0),IF(X210&lt;AD210,U210+V210-W210,0)))))</x:f>
        <x:v>0</x:v>
      </x:c>
      <x:c r="AF210" s="6" t="n">
        <x:f>ROUND(MAX(0,AA210+AB210-AC210-AE210),2)</x:f>
        <x:v>0</x:v>
      </x:c>
      <x:c r="AG210" s="6" t="n">
        <x:f>SUM(H210,N210,T210,Z210,AF210)</x:f>
        <x:v>0</x:v>
      </x:c>
      <x:c r="AH210" s="6" t="n">
        <x:f>SUM(D210,J210,P210,V210,AB210)+AH209</x:f>
        <x:v>1220.8400000000001</x:v>
      </x:c>
      <x:c r="AI210" s="2"/>
    </x:row>
    <x:row r="211" ht="23" customHeight="1">
      <x:c r="B211" s="2" t="n">
        <x:f>203</x:f>
        <x:v>203</x:v>
      </x:c>
      <x:c r="C211" s="6" t="n">
        <x:f>H210</x:f>
        <x:v>0</x:v>
      </x:c>
      <x:c r="D211" s="6" t="n">
        <x:f>ROUND(C211*'Debt strategy'!$D$9/12,2)</x:f>
        <x:v>0</x:v>
      </x:c>
      <x:c r="E211" s="6" t="n">
        <x:f>MIN(C211+D211,'Debt strategy'!$E$9)</x:f>
        <x:v>0</x:v>
      </x:c>
      <x:c r="F211" s="27" t="n">
        <x:f>IF(C211+D211-E211&lt;=0,99,1+SUM(IF(AND(I211+J211-K211&gt;0,OR('Debt strategy'!$D$10&gt;'Debt strategy'!$D$9,AND('Debt strategy'!$D$10='Debt strategy'!$D$9,1&lt;0))),1,0),IF(AND(O211+P211-Q211&gt;0,OR('Debt strategy'!$D$11&gt;'Debt strategy'!$D$9,AND('Debt strategy'!$D$11='Debt strategy'!$D$9,2&lt;0))),1,0),IF(AND(U211+V211-W211&gt;0,OR('Debt strategy'!$D$12&gt;'Debt strategy'!$D$9,AND('Debt strategy'!$D$12='Debt strategy'!$D$9,3&lt;0))),1,0),IF(AND(AA211+AB211-AC211&gt;0,OR('Debt strategy'!$D$13&gt;'Debt strategy'!$D$9,AND('Debt strategy'!$D$13='Debt strategy'!$D$9,4&lt;0))),1,0)))</x:f>
        <x:v>99</x:v>
      </x:c>
      <x:c r="G211" s="6" t="n">
        <x:f>IF('Debt strategy'!$C$16&gt;0,0,MIN(C211+D211-E211,MAX(0,'Debt strategy'!$C$5-SUM(E211,K211,Q211,W211,AC211)-SUM(IF(L211&lt;F211,I211+J211-K211,0),IF(R211&lt;F211,O211+P211-Q211,0),IF(X211&lt;F211,U211+V211-W211,0),IF(AD211&lt;F211,AA211+AB211-AC211,0)))))</x:f>
        <x:v>0</x:v>
      </x:c>
      <x:c r="H211" s="6" t="n">
        <x:f>ROUND(MAX(0,C211+D211-E211-G211),2)</x:f>
        <x:v>0</x:v>
      </x:c>
      <x:c r="I211" s="6" t="n">
        <x:f>N210</x:f>
        <x:v>0</x:v>
      </x:c>
      <x:c r="J211" s="6" t="n">
        <x:f>ROUND(I211*'Debt strategy'!$D$10/12,2)</x:f>
        <x:v>0</x:v>
      </x:c>
      <x:c r="K211" s="6" t="n">
        <x:f>MIN(I211+J211,'Debt strategy'!$E$10)</x:f>
        <x:v>0</x:v>
      </x:c>
      <x:c r="L211" s="27" t="n">
        <x:f>IF(I211+J211-K211&lt;=0,99,1+SUM(IF(AND(C211+D211-E211&gt;0,OR('Debt strategy'!$D$9&gt;'Debt strategy'!$D$10,AND('Debt strategy'!$D$9='Debt strategy'!$D$10,0&lt;1))),1,0),IF(AND(O211+P211-Q211&gt;0,OR('Debt strategy'!$D$11&gt;'Debt strategy'!$D$10,AND('Debt strategy'!$D$11='Debt strategy'!$D$10,2&lt;1))),1,0),IF(AND(U211+V211-W211&gt;0,OR('Debt strategy'!$D$12&gt;'Debt strategy'!$D$10,AND('Debt strategy'!$D$12='Debt strategy'!$D$10,3&lt;1))),1,0),IF(AND(AA211+AB211-AC211&gt;0,OR('Debt strategy'!$D$13&gt;'Debt strategy'!$D$10,AND('Debt strategy'!$D$13='Debt strategy'!$D$10,4&lt;1))),1,0)))</x:f>
        <x:v>99</x:v>
      </x:c>
      <x:c r="M211" s="6" t="n">
        <x:f>IF('Debt strategy'!$C$16&gt;0,0,MIN(I211+J211-K211,MAX(0,'Debt strategy'!$C$5-SUM(E211,K211,Q211,W211,AC211)-SUM(IF(F211&lt;L211,C211+D211-E211,0),IF(R211&lt;L211,O211+P211-Q211,0),IF(X211&lt;L211,U211+V211-W211,0),IF(AD211&lt;L211,AA211+AB211-AC211,0)))))</x:f>
        <x:v>0</x:v>
      </x:c>
      <x:c r="N211" s="6" t="n">
        <x:f>ROUND(MAX(0,I211+J211-K211-M211),2)</x:f>
        <x:v>0</x:v>
      </x:c>
      <x:c r="O211" s="6" t="n">
        <x:f>T210</x:f>
        <x:v>0</x:v>
      </x:c>
      <x:c r="P211" s="6" t="n">
        <x:f>ROUND(O211*'Debt strategy'!$D$11/12,2)</x:f>
        <x:v>0</x:v>
      </x:c>
      <x:c r="Q211" s="6" t="n">
        <x:f>MIN(O211+P211,'Debt strategy'!$E$11)</x:f>
        <x:v>0</x:v>
      </x:c>
      <x:c r="R211" s="27" t="n">
        <x:f>IF(O211+P211-Q211&lt;=0,99,1+SUM(IF(AND(C211+D211-E211&gt;0,OR('Debt strategy'!$D$9&gt;'Debt strategy'!$D$11,AND('Debt strategy'!$D$9='Debt strategy'!$D$11,0&lt;2))),1,0),IF(AND(I211+J211-K211&gt;0,OR('Debt strategy'!$D$10&gt;'Debt strategy'!$D$11,AND('Debt strategy'!$D$10='Debt strategy'!$D$11,1&lt;2))),1,0),IF(AND(U211+V211-W211&gt;0,OR('Debt strategy'!$D$12&gt;'Debt strategy'!$D$11,AND('Debt strategy'!$D$12='Debt strategy'!$D$11,3&lt;2))),1,0),IF(AND(AA211+AB211-AC211&gt;0,OR('Debt strategy'!$D$13&gt;'Debt strategy'!$D$11,AND('Debt strategy'!$D$13='Debt strategy'!$D$11,4&lt;2))),1,0)))</x:f>
        <x:v>99</x:v>
      </x:c>
      <x:c r="S211" s="6" t="n">
        <x:f>IF('Debt strategy'!$C$16&gt;0,0,MIN(O211+P211-Q211,MAX(0,'Debt strategy'!$C$5-SUM(E211,K211,Q211,W211,AC211)-SUM(IF(F211&lt;R211,C211+D211-E211,0),IF(L211&lt;R211,I211+J211-K211,0),IF(X211&lt;R211,U211+V211-W211,0),IF(AD211&lt;R211,AA211+AB211-AC211,0)))))</x:f>
        <x:v>0</x:v>
      </x:c>
      <x:c r="T211" s="6" t="n">
        <x:f>ROUND(MAX(0,O211+P211-Q211-S211),2)</x:f>
        <x:v>0</x:v>
      </x:c>
      <x:c r="U211" s="6" t="n">
        <x:f>Z210</x:f>
        <x:v>0</x:v>
      </x:c>
      <x:c r="V211" s="6" t="n">
        <x:f>ROUND(U211*'Debt strategy'!$D$12/12,2)</x:f>
        <x:v>0</x:v>
      </x:c>
      <x:c r="W211" s="6" t="n">
        <x:f>MIN(U211+V211,'Debt strategy'!$E$12)</x:f>
        <x:v>0</x:v>
      </x:c>
      <x:c r="X211" s="27" t="n">
        <x:f>IF(U211+V211-W211&lt;=0,99,1+SUM(IF(AND(C211+D211-E211&gt;0,OR('Debt strategy'!$D$9&gt;'Debt strategy'!$D$12,AND('Debt strategy'!$D$9='Debt strategy'!$D$12,0&lt;3))),1,0),IF(AND(I211+J211-K211&gt;0,OR('Debt strategy'!$D$10&gt;'Debt strategy'!$D$12,AND('Debt strategy'!$D$10='Debt strategy'!$D$12,1&lt;3))),1,0),IF(AND(O211+P211-Q211&gt;0,OR('Debt strategy'!$D$11&gt;'Debt strategy'!$D$12,AND('Debt strategy'!$D$11='Debt strategy'!$D$12,2&lt;3))),1,0),IF(AND(AA211+AB211-AC211&gt;0,OR('Debt strategy'!$D$13&gt;'Debt strategy'!$D$12,AND('Debt strategy'!$D$13='Debt strategy'!$D$12,4&lt;3))),1,0)))</x:f>
        <x:v>99</x:v>
      </x:c>
      <x:c r="Y211" s="6" t="n">
        <x:f>IF('Debt strategy'!$C$16&gt;0,0,MIN(U211+V211-W211,MAX(0,'Debt strategy'!$C$5-SUM(E211,K211,Q211,W211,AC211)-SUM(IF(F211&lt;X211,C211+D211-E211,0),IF(L211&lt;X211,I211+J211-K211,0),IF(R211&lt;X211,O211+P211-Q211,0),IF(AD211&lt;X211,AA211+AB211-AC211,0)))))</x:f>
        <x:v>0</x:v>
      </x:c>
      <x:c r="Z211" s="6" t="n">
        <x:f>ROUND(MAX(0,U211+V211-W211-Y211),2)</x:f>
        <x:v>0</x:v>
      </x:c>
      <x:c r="AA211" s="6" t="n">
        <x:f>AF210</x:f>
        <x:v>0</x:v>
      </x:c>
      <x:c r="AB211" s="6" t="n">
        <x:f>ROUND(AA211*'Debt strategy'!$D$13/12,2)</x:f>
        <x:v>0</x:v>
      </x:c>
      <x:c r="AC211" s="6" t="n">
        <x:f>MIN(AA211+AB211,'Debt strategy'!$E$13)</x:f>
        <x:v>0</x:v>
      </x:c>
      <x:c r="AD211" s="27" t="n">
        <x:f>IF(AA211+AB211-AC211&lt;=0,99,1+SUM(IF(AND(C211+D211-E211&gt;0,OR('Debt strategy'!$D$9&gt;'Debt strategy'!$D$13,AND('Debt strategy'!$D$9='Debt strategy'!$D$13,0&lt;4))),1,0),IF(AND(I211+J211-K211&gt;0,OR('Debt strategy'!$D$10&gt;'Debt strategy'!$D$13,AND('Debt strategy'!$D$10='Debt strategy'!$D$13,1&lt;4))),1,0),IF(AND(O211+P211-Q211&gt;0,OR('Debt strategy'!$D$11&gt;'Debt strategy'!$D$13,AND('Debt strategy'!$D$11='Debt strategy'!$D$13,2&lt;4))),1,0),IF(AND(U211+V211-W211&gt;0,OR('Debt strategy'!$D$12&gt;'Debt strategy'!$D$13,AND('Debt strategy'!$D$12='Debt strategy'!$D$13,3&lt;4))),1,0)))</x:f>
        <x:v>99</x:v>
      </x:c>
      <x:c r="AE211" s="6" t="n">
        <x:f>IF('Debt strategy'!$C$16&gt;0,0,MIN(AA211+AB211-AC211,MAX(0,'Debt strategy'!$C$5-SUM(E211,K211,Q211,W211,AC211)-SUM(IF(F211&lt;AD211,C211+D211-E211,0),IF(L211&lt;AD211,I211+J211-K211,0),IF(R211&lt;AD211,O211+P211-Q211,0),IF(X211&lt;AD211,U211+V211-W211,0)))))</x:f>
        <x:v>0</x:v>
      </x:c>
      <x:c r="AF211" s="6" t="n">
        <x:f>ROUND(MAX(0,AA211+AB211-AC211-AE211),2)</x:f>
        <x:v>0</x:v>
      </x:c>
      <x:c r="AG211" s="6" t="n">
        <x:f>SUM(H211,N211,T211,Z211,AF211)</x:f>
        <x:v>0</x:v>
      </x:c>
      <x:c r="AH211" s="6" t="n">
        <x:f>SUM(D211,J211,P211,V211,AB211)+AH210</x:f>
        <x:v>1220.8400000000001</x:v>
      </x:c>
      <x:c r="AI211" s="2"/>
    </x:row>
    <x:row r="212" ht="23" customHeight="1">
      <x:c r="B212" s="2" t="n">
        <x:f>204</x:f>
        <x:v>204</x:v>
      </x:c>
      <x:c r="C212" s="6" t="n">
        <x:f>H211</x:f>
        <x:v>0</x:v>
      </x:c>
      <x:c r="D212" s="6" t="n">
        <x:f>ROUND(C212*'Debt strategy'!$D$9/12,2)</x:f>
        <x:v>0</x:v>
      </x:c>
      <x:c r="E212" s="6" t="n">
        <x:f>MIN(C212+D212,'Debt strategy'!$E$9)</x:f>
        <x:v>0</x:v>
      </x:c>
      <x:c r="F212" s="27" t="n">
        <x:f>IF(C212+D212-E212&lt;=0,99,1+SUM(IF(AND(I212+J212-K212&gt;0,OR('Debt strategy'!$D$10&gt;'Debt strategy'!$D$9,AND('Debt strategy'!$D$10='Debt strategy'!$D$9,1&lt;0))),1,0),IF(AND(O212+P212-Q212&gt;0,OR('Debt strategy'!$D$11&gt;'Debt strategy'!$D$9,AND('Debt strategy'!$D$11='Debt strategy'!$D$9,2&lt;0))),1,0),IF(AND(U212+V212-W212&gt;0,OR('Debt strategy'!$D$12&gt;'Debt strategy'!$D$9,AND('Debt strategy'!$D$12='Debt strategy'!$D$9,3&lt;0))),1,0),IF(AND(AA212+AB212-AC212&gt;0,OR('Debt strategy'!$D$13&gt;'Debt strategy'!$D$9,AND('Debt strategy'!$D$13='Debt strategy'!$D$9,4&lt;0))),1,0)))</x:f>
        <x:v>99</x:v>
      </x:c>
      <x:c r="G212" s="6" t="n">
        <x:f>IF('Debt strategy'!$C$16&gt;0,0,MIN(C212+D212-E212,MAX(0,'Debt strategy'!$C$5-SUM(E212,K212,Q212,W212,AC212)-SUM(IF(L212&lt;F212,I212+J212-K212,0),IF(R212&lt;F212,O212+P212-Q212,0),IF(X212&lt;F212,U212+V212-W212,0),IF(AD212&lt;F212,AA212+AB212-AC212,0)))))</x:f>
        <x:v>0</x:v>
      </x:c>
      <x:c r="H212" s="6" t="n">
        <x:f>ROUND(MAX(0,C212+D212-E212-G212),2)</x:f>
        <x:v>0</x:v>
      </x:c>
      <x:c r="I212" s="6" t="n">
        <x:f>N211</x:f>
        <x:v>0</x:v>
      </x:c>
      <x:c r="J212" s="6" t="n">
        <x:f>ROUND(I212*'Debt strategy'!$D$10/12,2)</x:f>
        <x:v>0</x:v>
      </x:c>
      <x:c r="K212" s="6" t="n">
        <x:f>MIN(I212+J212,'Debt strategy'!$E$10)</x:f>
        <x:v>0</x:v>
      </x:c>
      <x:c r="L212" s="27" t="n">
        <x:f>IF(I212+J212-K212&lt;=0,99,1+SUM(IF(AND(C212+D212-E212&gt;0,OR('Debt strategy'!$D$9&gt;'Debt strategy'!$D$10,AND('Debt strategy'!$D$9='Debt strategy'!$D$10,0&lt;1))),1,0),IF(AND(O212+P212-Q212&gt;0,OR('Debt strategy'!$D$11&gt;'Debt strategy'!$D$10,AND('Debt strategy'!$D$11='Debt strategy'!$D$10,2&lt;1))),1,0),IF(AND(U212+V212-W212&gt;0,OR('Debt strategy'!$D$12&gt;'Debt strategy'!$D$10,AND('Debt strategy'!$D$12='Debt strategy'!$D$10,3&lt;1))),1,0),IF(AND(AA212+AB212-AC212&gt;0,OR('Debt strategy'!$D$13&gt;'Debt strategy'!$D$10,AND('Debt strategy'!$D$13='Debt strategy'!$D$10,4&lt;1))),1,0)))</x:f>
        <x:v>99</x:v>
      </x:c>
      <x:c r="M212" s="6" t="n">
        <x:f>IF('Debt strategy'!$C$16&gt;0,0,MIN(I212+J212-K212,MAX(0,'Debt strategy'!$C$5-SUM(E212,K212,Q212,W212,AC212)-SUM(IF(F212&lt;L212,C212+D212-E212,0),IF(R212&lt;L212,O212+P212-Q212,0),IF(X212&lt;L212,U212+V212-W212,0),IF(AD212&lt;L212,AA212+AB212-AC212,0)))))</x:f>
        <x:v>0</x:v>
      </x:c>
      <x:c r="N212" s="6" t="n">
        <x:f>ROUND(MAX(0,I212+J212-K212-M212),2)</x:f>
        <x:v>0</x:v>
      </x:c>
      <x:c r="O212" s="6" t="n">
        <x:f>T211</x:f>
        <x:v>0</x:v>
      </x:c>
      <x:c r="P212" s="6" t="n">
        <x:f>ROUND(O212*'Debt strategy'!$D$11/12,2)</x:f>
        <x:v>0</x:v>
      </x:c>
      <x:c r="Q212" s="6" t="n">
        <x:f>MIN(O212+P212,'Debt strategy'!$E$11)</x:f>
        <x:v>0</x:v>
      </x:c>
      <x:c r="R212" s="27" t="n">
        <x:f>IF(O212+P212-Q212&lt;=0,99,1+SUM(IF(AND(C212+D212-E212&gt;0,OR('Debt strategy'!$D$9&gt;'Debt strategy'!$D$11,AND('Debt strategy'!$D$9='Debt strategy'!$D$11,0&lt;2))),1,0),IF(AND(I212+J212-K212&gt;0,OR('Debt strategy'!$D$10&gt;'Debt strategy'!$D$11,AND('Debt strategy'!$D$10='Debt strategy'!$D$11,1&lt;2))),1,0),IF(AND(U212+V212-W212&gt;0,OR('Debt strategy'!$D$12&gt;'Debt strategy'!$D$11,AND('Debt strategy'!$D$12='Debt strategy'!$D$11,3&lt;2))),1,0),IF(AND(AA212+AB212-AC212&gt;0,OR('Debt strategy'!$D$13&gt;'Debt strategy'!$D$11,AND('Debt strategy'!$D$13='Debt strategy'!$D$11,4&lt;2))),1,0)))</x:f>
        <x:v>99</x:v>
      </x:c>
      <x:c r="S212" s="6" t="n">
        <x:f>IF('Debt strategy'!$C$16&gt;0,0,MIN(O212+P212-Q212,MAX(0,'Debt strategy'!$C$5-SUM(E212,K212,Q212,W212,AC212)-SUM(IF(F212&lt;R212,C212+D212-E212,0),IF(L212&lt;R212,I212+J212-K212,0),IF(X212&lt;R212,U212+V212-W212,0),IF(AD212&lt;R212,AA212+AB212-AC212,0)))))</x:f>
        <x:v>0</x:v>
      </x:c>
      <x:c r="T212" s="6" t="n">
        <x:f>ROUND(MAX(0,O212+P212-Q212-S212),2)</x:f>
        <x:v>0</x:v>
      </x:c>
      <x:c r="U212" s="6" t="n">
        <x:f>Z211</x:f>
        <x:v>0</x:v>
      </x:c>
      <x:c r="V212" s="6" t="n">
        <x:f>ROUND(U212*'Debt strategy'!$D$12/12,2)</x:f>
        <x:v>0</x:v>
      </x:c>
      <x:c r="W212" s="6" t="n">
        <x:f>MIN(U212+V212,'Debt strategy'!$E$12)</x:f>
        <x:v>0</x:v>
      </x:c>
      <x:c r="X212" s="27" t="n">
        <x:f>IF(U212+V212-W212&lt;=0,99,1+SUM(IF(AND(C212+D212-E212&gt;0,OR('Debt strategy'!$D$9&gt;'Debt strategy'!$D$12,AND('Debt strategy'!$D$9='Debt strategy'!$D$12,0&lt;3))),1,0),IF(AND(I212+J212-K212&gt;0,OR('Debt strategy'!$D$10&gt;'Debt strategy'!$D$12,AND('Debt strategy'!$D$10='Debt strategy'!$D$12,1&lt;3))),1,0),IF(AND(O212+P212-Q212&gt;0,OR('Debt strategy'!$D$11&gt;'Debt strategy'!$D$12,AND('Debt strategy'!$D$11='Debt strategy'!$D$12,2&lt;3))),1,0),IF(AND(AA212+AB212-AC212&gt;0,OR('Debt strategy'!$D$13&gt;'Debt strategy'!$D$12,AND('Debt strategy'!$D$13='Debt strategy'!$D$12,4&lt;3))),1,0)))</x:f>
        <x:v>99</x:v>
      </x:c>
      <x:c r="Y212" s="6" t="n">
        <x:f>IF('Debt strategy'!$C$16&gt;0,0,MIN(U212+V212-W212,MAX(0,'Debt strategy'!$C$5-SUM(E212,K212,Q212,W212,AC212)-SUM(IF(F212&lt;X212,C212+D212-E212,0),IF(L212&lt;X212,I212+J212-K212,0),IF(R212&lt;X212,O212+P212-Q212,0),IF(AD212&lt;X212,AA212+AB212-AC212,0)))))</x:f>
        <x:v>0</x:v>
      </x:c>
      <x:c r="Z212" s="6" t="n">
        <x:f>ROUND(MAX(0,U212+V212-W212-Y212),2)</x:f>
        <x:v>0</x:v>
      </x:c>
      <x:c r="AA212" s="6" t="n">
        <x:f>AF211</x:f>
        <x:v>0</x:v>
      </x:c>
      <x:c r="AB212" s="6" t="n">
        <x:f>ROUND(AA212*'Debt strategy'!$D$13/12,2)</x:f>
        <x:v>0</x:v>
      </x:c>
      <x:c r="AC212" s="6" t="n">
        <x:f>MIN(AA212+AB212,'Debt strategy'!$E$13)</x:f>
        <x:v>0</x:v>
      </x:c>
      <x:c r="AD212" s="27" t="n">
        <x:f>IF(AA212+AB212-AC212&lt;=0,99,1+SUM(IF(AND(C212+D212-E212&gt;0,OR('Debt strategy'!$D$9&gt;'Debt strategy'!$D$13,AND('Debt strategy'!$D$9='Debt strategy'!$D$13,0&lt;4))),1,0),IF(AND(I212+J212-K212&gt;0,OR('Debt strategy'!$D$10&gt;'Debt strategy'!$D$13,AND('Debt strategy'!$D$10='Debt strategy'!$D$13,1&lt;4))),1,0),IF(AND(O212+P212-Q212&gt;0,OR('Debt strategy'!$D$11&gt;'Debt strategy'!$D$13,AND('Debt strategy'!$D$11='Debt strategy'!$D$13,2&lt;4))),1,0),IF(AND(U212+V212-W212&gt;0,OR('Debt strategy'!$D$12&gt;'Debt strategy'!$D$13,AND('Debt strategy'!$D$12='Debt strategy'!$D$13,3&lt;4))),1,0)))</x:f>
        <x:v>99</x:v>
      </x:c>
      <x:c r="AE212" s="6" t="n">
        <x:f>IF('Debt strategy'!$C$16&gt;0,0,MIN(AA212+AB212-AC212,MAX(0,'Debt strategy'!$C$5-SUM(E212,K212,Q212,W212,AC212)-SUM(IF(F212&lt;AD212,C212+D212-E212,0),IF(L212&lt;AD212,I212+J212-K212,0),IF(R212&lt;AD212,O212+P212-Q212,0),IF(X212&lt;AD212,U212+V212-W212,0)))))</x:f>
        <x:v>0</x:v>
      </x:c>
      <x:c r="AF212" s="6" t="n">
        <x:f>ROUND(MAX(0,AA212+AB212-AC212-AE212),2)</x:f>
        <x:v>0</x:v>
      </x:c>
      <x:c r="AG212" s="6" t="n">
        <x:f>SUM(H212,N212,T212,Z212,AF212)</x:f>
        <x:v>0</x:v>
      </x:c>
      <x:c r="AH212" s="6" t="n">
        <x:f>SUM(D212,J212,P212,V212,AB212)+AH211</x:f>
        <x:v>1220.8400000000001</x:v>
      </x:c>
      <x:c r="AI212" s="2"/>
    </x:row>
    <x:row r="213" ht="23" customHeight="1">
      <x:c r="B213" s="2" t="n">
        <x:f>205</x:f>
        <x:v>205</x:v>
      </x:c>
      <x:c r="C213" s="6" t="n">
        <x:f>H212</x:f>
        <x:v>0</x:v>
      </x:c>
      <x:c r="D213" s="6" t="n">
        <x:f>ROUND(C213*'Debt strategy'!$D$9/12,2)</x:f>
        <x:v>0</x:v>
      </x:c>
      <x:c r="E213" s="6" t="n">
        <x:f>MIN(C213+D213,'Debt strategy'!$E$9)</x:f>
        <x:v>0</x:v>
      </x:c>
      <x:c r="F213" s="27" t="n">
        <x:f>IF(C213+D213-E213&lt;=0,99,1+SUM(IF(AND(I213+J213-K213&gt;0,OR('Debt strategy'!$D$10&gt;'Debt strategy'!$D$9,AND('Debt strategy'!$D$10='Debt strategy'!$D$9,1&lt;0))),1,0),IF(AND(O213+P213-Q213&gt;0,OR('Debt strategy'!$D$11&gt;'Debt strategy'!$D$9,AND('Debt strategy'!$D$11='Debt strategy'!$D$9,2&lt;0))),1,0),IF(AND(U213+V213-W213&gt;0,OR('Debt strategy'!$D$12&gt;'Debt strategy'!$D$9,AND('Debt strategy'!$D$12='Debt strategy'!$D$9,3&lt;0))),1,0),IF(AND(AA213+AB213-AC213&gt;0,OR('Debt strategy'!$D$13&gt;'Debt strategy'!$D$9,AND('Debt strategy'!$D$13='Debt strategy'!$D$9,4&lt;0))),1,0)))</x:f>
        <x:v>99</x:v>
      </x:c>
      <x:c r="G213" s="6" t="n">
        <x:f>IF('Debt strategy'!$C$16&gt;0,0,MIN(C213+D213-E213,MAX(0,'Debt strategy'!$C$5-SUM(E213,K213,Q213,W213,AC213)-SUM(IF(L213&lt;F213,I213+J213-K213,0),IF(R213&lt;F213,O213+P213-Q213,0),IF(X213&lt;F213,U213+V213-W213,0),IF(AD213&lt;F213,AA213+AB213-AC213,0)))))</x:f>
        <x:v>0</x:v>
      </x:c>
      <x:c r="H213" s="6" t="n">
        <x:f>ROUND(MAX(0,C213+D213-E213-G213),2)</x:f>
        <x:v>0</x:v>
      </x:c>
      <x:c r="I213" s="6" t="n">
        <x:f>N212</x:f>
        <x:v>0</x:v>
      </x:c>
      <x:c r="J213" s="6" t="n">
        <x:f>ROUND(I213*'Debt strategy'!$D$10/12,2)</x:f>
        <x:v>0</x:v>
      </x:c>
      <x:c r="K213" s="6" t="n">
        <x:f>MIN(I213+J213,'Debt strategy'!$E$10)</x:f>
        <x:v>0</x:v>
      </x:c>
      <x:c r="L213" s="27" t="n">
        <x:f>IF(I213+J213-K213&lt;=0,99,1+SUM(IF(AND(C213+D213-E213&gt;0,OR('Debt strategy'!$D$9&gt;'Debt strategy'!$D$10,AND('Debt strategy'!$D$9='Debt strategy'!$D$10,0&lt;1))),1,0),IF(AND(O213+P213-Q213&gt;0,OR('Debt strategy'!$D$11&gt;'Debt strategy'!$D$10,AND('Debt strategy'!$D$11='Debt strategy'!$D$10,2&lt;1))),1,0),IF(AND(U213+V213-W213&gt;0,OR('Debt strategy'!$D$12&gt;'Debt strategy'!$D$10,AND('Debt strategy'!$D$12='Debt strategy'!$D$10,3&lt;1))),1,0),IF(AND(AA213+AB213-AC213&gt;0,OR('Debt strategy'!$D$13&gt;'Debt strategy'!$D$10,AND('Debt strategy'!$D$13='Debt strategy'!$D$10,4&lt;1))),1,0)))</x:f>
        <x:v>99</x:v>
      </x:c>
      <x:c r="M213" s="6" t="n">
        <x:f>IF('Debt strategy'!$C$16&gt;0,0,MIN(I213+J213-K213,MAX(0,'Debt strategy'!$C$5-SUM(E213,K213,Q213,W213,AC213)-SUM(IF(F213&lt;L213,C213+D213-E213,0),IF(R213&lt;L213,O213+P213-Q213,0),IF(X213&lt;L213,U213+V213-W213,0),IF(AD213&lt;L213,AA213+AB213-AC213,0)))))</x:f>
        <x:v>0</x:v>
      </x:c>
      <x:c r="N213" s="6" t="n">
        <x:f>ROUND(MAX(0,I213+J213-K213-M213),2)</x:f>
        <x:v>0</x:v>
      </x:c>
      <x:c r="O213" s="6" t="n">
        <x:f>T212</x:f>
        <x:v>0</x:v>
      </x:c>
      <x:c r="P213" s="6" t="n">
        <x:f>ROUND(O213*'Debt strategy'!$D$11/12,2)</x:f>
        <x:v>0</x:v>
      </x:c>
      <x:c r="Q213" s="6" t="n">
        <x:f>MIN(O213+P213,'Debt strategy'!$E$11)</x:f>
        <x:v>0</x:v>
      </x:c>
      <x:c r="R213" s="27" t="n">
        <x:f>IF(O213+P213-Q213&lt;=0,99,1+SUM(IF(AND(C213+D213-E213&gt;0,OR('Debt strategy'!$D$9&gt;'Debt strategy'!$D$11,AND('Debt strategy'!$D$9='Debt strategy'!$D$11,0&lt;2))),1,0),IF(AND(I213+J213-K213&gt;0,OR('Debt strategy'!$D$10&gt;'Debt strategy'!$D$11,AND('Debt strategy'!$D$10='Debt strategy'!$D$11,1&lt;2))),1,0),IF(AND(U213+V213-W213&gt;0,OR('Debt strategy'!$D$12&gt;'Debt strategy'!$D$11,AND('Debt strategy'!$D$12='Debt strategy'!$D$11,3&lt;2))),1,0),IF(AND(AA213+AB213-AC213&gt;0,OR('Debt strategy'!$D$13&gt;'Debt strategy'!$D$11,AND('Debt strategy'!$D$13='Debt strategy'!$D$11,4&lt;2))),1,0)))</x:f>
        <x:v>99</x:v>
      </x:c>
      <x:c r="S213" s="6" t="n">
        <x:f>IF('Debt strategy'!$C$16&gt;0,0,MIN(O213+P213-Q213,MAX(0,'Debt strategy'!$C$5-SUM(E213,K213,Q213,W213,AC213)-SUM(IF(F213&lt;R213,C213+D213-E213,0),IF(L213&lt;R213,I213+J213-K213,0),IF(X213&lt;R213,U213+V213-W213,0),IF(AD213&lt;R213,AA213+AB213-AC213,0)))))</x:f>
        <x:v>0</x:v>
      </x:c>
      <x:c r="T213" s="6" t="n">
        <x:f>ROUND(MAX(0,O213+P213-Q213-S213),2)</x:f>
        <x:v>0</x:v>
      </x:c>
      <x:c r="U213" s="6" t="n">
        <x:f>Z212</x:f>
        <x:v>0</x:v>
      </x:c>
      <x:c r="V213" s="6" t="n">
        <x:f>ROUND(U213*'Debt strategy'!$D$12/12,2)</x:f>
        <x:v>0</x:v>
      </x:c>
      <x:c r="W213" s="6" t="n">
        <x:f>MIN(U213+V213,'Debt strategy'!$E$12)</x:f>
        <x:v>0</x:v>
      </x:c>
      <x:c r="X213" s="27" t="n">
        <x:f>IF(U213+V213-W213&lt;=0,99,1+SUM(IF(AND(C213+D213-E213&gt;0,OR('Debt strategy'!$D$9&gt;'Debt strategy'!$D$12,AND('Debt strategy'!$D$9='Debt strategy'!$D$12,0&lt;3))),1,0),IF(AND(I213+J213-K213&gt;0,OR('Debt strategy'!$D$10&gt;'Debt strategy'!$D$12,AND('Debt strategy'!$D$10='Debt strategy'!$D$12,1&lt;3))),1,0),IF(AND(O213+P213-Q213&gt;0,OR('Debt strategy'!$D$11&gt;'Debt strategy'!$D$12,AND('Debt strategy'!$D$11='Debt strategy'!$D$12,2&lt;3))),1,0),IF(AND(AA213+AB213-AC213&gt;0,OR('Debt strategy'!$D$13&gt;'Debt strategy'!$D$12,AND('Debt strategy'!$D$13='Debt strategy'!$D$12,4&lt;3))),1,0)))</x:f>
        <x:v>99</x:v>
      </x:c>
      <x:c r="Y213" s="6" t="n">
        <x:f>IF('Debt strategy'!$C$16&gt;0,0,MIN(U213+V213-W213,MAX(0,'Debt strategy'!$C$5-SUM(E213,K213,Q213,W213,AC213)-SUM(IF(F213&lt;X213,C213+D213-E213,0),IF(L213&lt;X213,I213+J213-K213,0),IF(R213&lt;X213,O213+P213-Q213,0),IF(AD213&lt;X213,AA213+AB213-AC213,0)))))</x:f>
        <x:v>0</x:v>
      </x:c>
      <x:c r="Z213" s="6" t="n">
        <x:f>ROUND(MAX(0,U213+V213-W213-Y213),2)</x:f>
        <x:v>0</x:v>
      </x:c>
      <x:c r="AA213" s="6" t="n">
        <x:f>AF212</x:f>
        <x:v>0</x:v>
      </x:c>
      <x:c r="AB213" s="6" t="n">
        <x:f>ROUND(AA213*'Debt strategy'!$D$13/12,2)</x:f>
        <x:v>0</x:v>
      </x:c>
      <x:c r="AC213" s="6" t="n">
        <x:f>MIN(AA213+AB213,'Debt strategy'!$E$13)</x:f>
        <x:v>0</x:v>
      </x:c>
      <x:c r="AD213" s="27" t="n">
        <x:f>IF(AA213+AB213-AC213&lt;=0,99,1+SUM(IF(AND(C213+D213-E213&gt;0,OR('Debt strategy'!$D$9&gt;'Debt strategy'!$D$13,AND('Debt strategy'!$D$9='Debt strategy'!$D$13,0&lt;4))),1,0),IF(AND(I213+J213-K213&gt;0,OR('Debt strategy'!$D$10&gt;'Debt strategy'!$D$13,AND('Debt strategy'!$D$10='Debt strategy'!$D$13,1&lt;4))),1,0),IF(AND(O213+P213-Q213&gt;0,OR('Debt strategy'!$D$11&gt;'Debt strategy'!$D$13,AND('Debt strategy'!$D$11='Debt strategy'!$D$13,2&lt;4))),1,0),IF(AND(U213+V213-W213&gt;0,OR('Debt strategy'!$D$12&gt;'Debt strategy'!$D$13,AND('Debt strategy'!$D$12='Debt strategy'!$D$13,3&lt;4))),1,0)))</x:f>
        <x:v>99</x:v>
      </x:c>
      <x:c r="AE213" s="6" t="n">
        <x:f>IF('Debt strategy'!$C$16&gt;0,0,MIN(AA213+AB213-AC213,MAX(0,'Debt strategy'!$C$5-SUM(E213,K213,Q213,W213,AC213)-SUM(IF(F213&lt;AD213,C213+D213-E213,0),IF(L213&lt;AD213,I213+J213-K213,0),IF(R213&lt;AD213,O213+P213-Q213,0),IF(X213&lt;AD213,U213+V213-W213,0)))))</x:f>
        <x:v>0</x:v>
      </x:c>
      <x:c r="AF213" s="6" t="n">
        <x:f>ROUND(MAX(0,AA213+AB213-AC213-AE213),2)</x:f>
        <x:v>0</x:v>
      </x:c>
      <x:c r="AG213" s="6" t="n">
        <x:f>SUM(H213,N213,T213,Z213,AF213)</x:f>
        <x:v>0</x:v>
      </x:c>
      <x:c r="AH213" s="6" t="n">
        <x:f>SUM(D213,J213,P213,V213,AB213)+AH212</x:f>
        <x:v>1220.8400000000001</x:v>
      </x:c>
      <x:c r="AI213" s="2"/>
    </x:row>
    <x:row r="214" ht="23" customHeight="1">
      <x:c r="B214" s="2" t="n">
        <x:f>206</x:f>
        <x:v>206</x:v>
      </x:c>
      <x:c r="C214" s="6" t="n">
        <x:f>H213</x:f>
        <x:v>0</x:v>
      </x:c>
      <x:c r="D214" s="6" t="n">
        <x:f>ROUND(C214*'Debt strategy'!$D$9/12,2)</x:f>
        <x:v>0</x:v>
      </x:c>
      <x:c r="E214" s="6" t="n">
        <x:f>MIN(C214+D214,'Debt strategy'!$E$9)</x:f>
        <x:v>0</x:v>
      </x:c>
      <x:c r="F214" s="27" t="n">
        <x:f>IF(C214+D214-E214&lt;=0,99,1+SUM(IF(AND(I214+J214-K214&gt;0,OR('Debt strategy'!$D$10&gt;'Debt strategy'!$D$9,AND('Debt strategy'!$D$10='Debt strategy'!$D$9,1&lt;0))),1,0),IF(AND(O214+P214-Q214&gt;0,OR('Debt strategy'!$D$11&gt;'Debt strategy'!$D$9,AND('Debt strategy'!$D$11='Debt strategy'!$D$9,2&lt;0))),1,0),IF(AND(U214+V214-W214&gt;0,OR('Debt strategy'!$D$12&gt;'Debt strategy'!$D$9,AND('Debt strategy'!$D$12='Debt strategy'!$D$9,3&lt;0))),1,0),IF(AND(AA214+AB214-AC214&gt;0,OR('Debt strategy'!$D$13&gt;'Debt strategy'!$D$9,AND('Debt strategy'!$D$13='Debt strategy'!$D$9,4&lt;0))),1,0)))</x:f>
        <x:v>99</x:v>
      </x:c>
      <x:c r="G214" s="6" t="n">
        <x:f>IF('Debt strategy'!$C$16&gt;0,0,MIN(C214+D214-E214,MAX(0,'Debt strategy'!$C$5-SUM(E214,K214,Q214,W214,AC214)-SUM(IF(L214&lt;F214,I214+J214-K214,0),IF(R214&lt;F214,O214+P214-Q214,0),IF(X214&lt;F214,U214+V214-W214,0),IF(AD214&lt;F214,AA214+AB214-AC214,0)))))</x:f>
        <x:v>0</x:v>
      </x:c>
      <x:c r="H214" s="6" t="n">
        <x:f>ROUND(MAX(0,C214+D214-E214-G214),2)</x:f>
        <x:v>0</x:v>
      </x:c>
      <x:c r="I214" s="6" t="n">
        <x:f>N213</x:f>
        <x:v>0</x:v>
      </x:c>
      <x:c r="J214" s="6" t="n">
        <x:f>ROUND(I214*'Debt strategy'!$D$10/12,2)</x:f>
        <x:v>0</x:v>
      </x:c>
      <x:c r="K214" s="6" t="n">
        <x:f>MIN(I214+J214,'Debt strategy'!$E$10)</x:f>
        <x:v>0</x:v>
      </x:c>
      <x:c r="L214" s="27" t="n">
        <x:f>IF(I214+J214-K214&lt;=0,99,1+SUM(IF(AND(C214+D214-E214&gt;0,OR('Debt strategy'!$D$9&gt;'Debt strategy'!$D$10,AND('Debt strategy'!$D$9='Debt strategy'!$D$10,0&lt;1))),1,0),IF(AND(O214+P214-Q214&gt;0,OR('Debt strategy'!$D$11&gt;'Debt strategy'!$D$10,AND('Debt strategy'!$D$11='Debt strategy'!$D$10,2&lt;1))),1,0),IF(AND(U214+V214-W214&gt;0,OR('Debt strategy'!$D$12&gt;'Debt strategy'!$D$10,AND('Debt strategy'!$D$12='Debt strategy'!$D$10,3&lt;1))),1,0),IF(AND(AA214+AB214-AC214&gt;0,OR('Debt strategy'!$D$13&gt;'Debt strategy'!$D$10,AND('Debt strategy'!$D$13='Debt strategy'!$D$10,4&lt;1))),1,0)))</x:f>
        <x:v>99</x:v>
      </x:c>
      <x:c r="M214" s="6" t="n">
        <x:f>IF('Debt strategy'!$C$16&gt;0,0,MIN(I214+J214-K214,MAX(0,'Debt strategy'!$C$5-SUM(E214,K214,Q214,W214,AC214)-SUM(IF(F214&lt;L214,C214+D214-E214,0),IF(R214&lt;L214,O214+P214-Q214,0),IF(X214&lt;L214,U214+V214-W214,0),IF(AD214&lt;L214,AA214+AB214-AC214,0)))))</x:f>
        <x:v>0</x:v>
      </x:c>
      <x:c r="N214" s="6" t="n">
        <x:f>ROUND(MAX(0,I214+J214-K214-M214),2)</x:f>
        <x:v>0</x:v>
      </x:c>
      <x:c r="O214" s="6" t="n">
        <x:f>T213</x:f>
        <x:v>0</x:v>
      </x:c>
      <x:c r="P214" s="6" t="n">
        <x:f>ROUND(O214*'Debt strategy'!$D$11/12,2)</x:f>
        <x:v>0</x:v>
      </x:c>
      <x:c r="Q214" s="6" t="n">
        <x:f>MIN(O214+P214,'Debt strategy'!$E$11)</x:f>
        <x:v>0</x:v>
      </x:c>
      <x:c r="R214" s="27" t="n">
        <x:f>IF(O214+P214-Q214&lt;=0,99,1+SUM(IF(AND(C214+D214-E214&gt;0,OR('Debt strategy'!$D$9&gt;'Debt strategy'!$D$11,AND('Debt strategy'!$D$9='Debt strategy'!$D$11,0&lt;2))),1,0),IF(AND(I214+J214-K214&gt;0,OR('Debt strategy'!$D$10&gt;'Debt strategy'!$D$11,AND('Debt strategy'!$D$10='Debt strategy'!$D$11,1&lt;2))),1,0),IF(AND(U214+V214-W214&gt;0,OR('Debt strategy'!$D$12&gt;'Debt strategy'!$D$11,AND('Debt strategy'!$D$12='Debt strategy'!$D$11,3&lt;2))),1,0),IF(AND(AA214+AB214-AC214&gt;0,OR('Debt strategy'!$D$13&gt;'Debt strategy'!$D$11,AND('Debt strategy'!$D$13='Debt strategy'!$D$11,4&lt;2))),1,0)))</x:f>
        <x:v>99</x:v>
      </x:c>
      <x:c r="S214" s="6" t="n">
        <x:f>IF('Debt strategy'!$C$16&gt;0,0,MIN(O214+P214-Q214,MAX(0,'Debt strategy'!$C$5-SUM(E214,K214,Q214,W214,AC214)-SUM(IF(F214&lt;R214,C214+D214-E214,0),IF(L214&lt;R214,I214+J214-K214,0),IF(X214&lt;R214,U214+V214-W214,0),IF(AD214&lt;R214,AA214+AB214-AC214,0)))))</x:f>
        <x:v>0</x:v>
      </x:c>
      <x:c r="T214" s="6" t="n">
        <x:f>ROUND(MAX(0,O214+P214-Q214-S214),2)</x:f>
        <x:v>0</x:v>
      </x:c>
      <x:c r="U214" s="6" t="n">
        <x:f>Z213</x:f>
        <x:v>0</x:v>
      </x:c>
      <x:c r="V214" s="6" t="n">
        <x:f>ROUND(U214*'Debt strategy'!$D$12/12,2)</x:f>
        <x:v>0</x:v>
      </x:c>
      <x:c r="W214" s="6" t="n">
        <x:f>MIN(U214+V214,'Debt strategy'!$E$12)</x:f>
        <x:v>0</x:v>
      </x:c>
      <x:c r="X214" s="27" t="n">
        <x:f>IF(U214+V214-W214&lt;=0,99,1+SUM(IF(AND(C214+D214-E214&gt;0,OR('Debt strategy'!$D$9&gt;'Debt strategy'!$D$12,AND('Debt strategy'!$D$9='Debt strategy'!$D$12,0&lt;3))),1,0),IF(AND(I214+J214-K214&gt;0,OR('Debt strategy'!$D$10&gt;'Debt strategy'!$D$12,AND('Debt strategy'!$D$10='Debt strategy'!$D$12,1&lt;3))),1,0),IF(AND(O214+P214-Q214&gt;0,OR('Debt strategy'!$D$11&gt;'Debt strategy'!$D$12,AND('Debt strategy'!$D$11='Debt strategy'!$D$12,2&lt;3))),1,0),IF(AND(AA214+AB214-AC214&gt;0,OR('Debt strategy'!$D$13&gt;'Debt strategy'!$D$12,AND('Debt strategy'!$D$13='Debt strategy'!$D$12,4&lt;3))),1,0)))</x:f>
        <x:v>99</x:v>
      </x:c>
      <x:c r="Y214" s="6" t="n">
        <x:f>IF('Debt strategy'!$C$16&gt;0,0,MIN(U214+V214-W214,MAX(0,'Debt strategy'!$C$5-SUM(E214,K214,Q214,W214,AC214)-SUM(IF(F214&lt;X214,C214+D214-E214,0),IF(L214&lt;X214,I214+J214-K214,0),IF(R214&lt;X214,O214+P214-Q214,0),IF(AD214&lt;X214,AA214+AB214-AC214,0)))))</x:f>
        <x:v>0</x:v>
      </x:c>
      <x:c r="Z214" s="6" t="n">
        <x:f>ROUND(MAX(0,U214+V214-W214-Y214),2)</x:f>
        <x:v>0</x:v>
      </x:c>
      <x:c r="AA214" s="6" t="n">
        <x:f>AF213</x:f>
        <x:v>0</x:v>
      </x:c>
      <x:c r="AB214" s="6" t="n">
        <x:f>ROUND(AA214*'Debt strategy'!$D$13/12,2)</x:f>
        <x:v>0</x:v>
      </x:c>
      <x:c r="AC214" s="6" t="n">
        <x:f>MIN(AA214+AB214,'Debt strategy'!$E$13)</x:f>
        <x:v>0</x:v>
      </x:c>
      <x:c r="AD214" s="27" t="n">
        <x:f>IF(AA214+AB214-AC214&lt;=0,99,1+SUM(IF(AND(C214+D214-E214&gt;0,OR('Debt strategy'!$D$9&gt;'Debt strategy'!$D$13,AND('Debt strategy'!$D$9='Debt strategy'!$D$13,0&lt;4))),1,0),IF(AND(I214+J214-K214&gt;0,OR('Debt strategy'!$D$10&gt;'Debt strategy'!$D$13,AND('Debt strategy'!$D$10='Debt strategy'!$D$13,1&lt;4))),1,0),IF(AND(O214+P214-Q214&gt;0,OR('Debt strategy'!$D$11&gt;'Debt strategy'!$D$13,AND('Debt strategy'!$D$11='Debt strategy'!$D$13,2&lt;4))),1,0),IF(AND(U214+V214-W214&gt;0,OR('Debt strategy'!$D$12&gt;'Debt strategy'!$D$13,AND('Debt strategy'!$D$12='Debt strategy'!$D$13,3&lt;4))),1,0)))</x:f>
        <x:v>99</x:v>
      </x:c>
      <x:c r="AE214" s="6" t="n">
        <x:f>IF('Debt strategy'!$C$16&gt;0,0,MIN(AA214+AB214-AC214,MAX(0,'Debt strategy'!$C$5-SUM(E214,K214,Q214,W214,AC214)-SUM(IF(F214&lt;AD214,C214+D214-E214,0),IF(L214&lt;AD214,I214+J214-K214,0),IF(R214&lt;AD214,O214+P214-Q214,0),IF(X214&lt;AD214,U214+V214-W214,0)))))</x:f>
        <x:v>0</x:v>
      </x:c>
      <x:c r="AF214" s="6" t="n">
        <x:f>ROUND(MAX(0,AA214+AB214-AC214-AE214),2)</x:f>
        <x:v>0</x:v>
      </x:c>
      <x:c r="AG214" s="6" t="n">
        <x:f>SUM(H214,N214,T214,Z214,AF214)</x:f>
        <x:v>0</x:v>
      </x:c>
      <x:c r="AH214" s="6" t="n">
        <x:f>SUM(D214,J214,P214,V214,AB214)+AH213</x:f>
        <x:v>1220.8400000000001</x:v>
      </x:c>
      <x:c r="AI214" s="2"/>
    </x:row>
    <x:row r="215" ht="23" customHeight="1">
      <x:c r="B215" s="2" t="n">
        <x:f>207</x:f>
        <x:v>207</x:v>
      </x:c>
      <x:c r="C215" s="6" t="n">
        <x:f>H214</x:f>
        <x:v>0</x:v>
      </x:c>
      <x:c r="D215" s="6" t="n">
        <x:f>ROUND(C215*'Debt strategy'!$D$9/12,2)</x:f>
        <x:v>0</x:v>
      </x:c>
      <x:c r="E215" s="6" t="n">
        <x:f>MIN(C215+D215,'Debt strategy'!$E$9)</x:f>
        <x:v>0</x:v>
      </x:c>
      <x:c r="F215" s="27" t="n">
        <x:f>IF(C215+D215-E215&lt;=0,99,1+SUM(IF(AND(I215+J215-K215&gt;0,OR('Debt strategy'!$D$10&gt;'Debt strategy'!$D$9,AND('Debt strategy'!$D$10='Debt strategy'!$D$9,1&lt;0))),1,0),IF(AND(O215+P215-Q215&gt;0,OR('Debt strategy'!$D$11&gt;'Debt strategy'!$D$9,AND('Debt strategy'!$D$11='Debt strategy'!$D$9,2&lt;0))),1,0),IF(AND(U215+V215-W215&gt;0,OR('Debt strategy'!$D$12&gt;'Debt strategy'!$D$9,AND('Debt strategy'!$D$12='Debt strategy'!$D$9,3&lt;0))),1,0),IF(AND(AA215+AB215-AC215&gt;0,OR('Debt strategy'!$D$13&gt;'Debt strategy'!$D$9,AND('Debt strategy'!$D$13='Debt strategy'!$D$9,4&lt;0))),1,0)))</x:f>
        <x:v>99</x:v>
      </x:c>
      <x:c r="G215" s="6" t="n">
        <x:f>IF('Debt strategy'!$C$16&gt;0,0,MIN(C215+D215-E215,MAX(0,'Debt strategy'!$C$5-SUM(E215,K215,Q215,W215,AC215)-SUM(IF(L215&lt;F215,I215+J215-K215,0),IF(R215&lt;F215,O215+P215-Q215,0),IF(X215&lt;F215,U215+V215-W215,0),IF(AD215&lt;F215,AA215+AB215-AC215,0)))))</x:f>
        <x:v>0</x:v>
      </x:c>
      <x:c r="H215" s="6" t="n">
        <x:f>ROUND(MAX(0,C215+D215-E215-G215),2)</x:f>
        <x:v>0</x:v>
      </x:c>
      <x:c r="I215" s="6" t="n">
        <x:f>N214</x:f>
        <x:v>0</x:v>
      </x:c>
      <x:c r="J215" s="6" t="n">
        <x:f>ROUND(I215*'Debt strategy'!$D$10/12,2)</x:f>
        <x:v>0</x:v>
      </x:c>
      <x:c r="K215" s="6" t="n">
        <x:f>MIN(I215+J215,'Debt strategy'!$E$10)</x:f>
        <x:v>0</x:v>
      </x:c>
      <x:c r="L215" s="27" t="n">
        <x:f>IF(I215+J215-K215&lt;=0,99,1+SUM(IF(AND(C215+D215-E215&gt;0,OR('Debt strategy'!$D$9&gt;'Debt strategy'!$D$10,AND('Debt strategy'!$D$9='Debt strategy'!$D$10,0&lt;1))),1,0),IF(AND(O215+P215-Q215&gt;0,OR('Debt strategy'!$D$11&gt;'Debt strategy'!$D$10,AND('Debt strategy'!$D$11='Debt strategy'!$D$10,2&lt;1))),1,0),IF(AND(U215+V215-W215&gt;0,OR('Debt strategy'!$D$12&gt;'Debt strategy'!$D$10,AND('Debt strategy'!$D$12='Debt strategy'!$D$10,3&lt;1))),1,0),IF(AND(AA215+AB215-AC215&gt;0,OR('Debt strategy'!$D$13&gt;'Debt strategy'!$D$10,AND('Debt strategy'!$D$13='Debt strategy'!$D$10,4&lt;1))),1,0)))</x:f>
        <x:v>99</x:v>
      </x:c>
      <x:c r="M215" s="6" t="n">
        <x:f>IF('Debt strategy'!$C$16&gt;0,0,MIN(I215+J215-K215,MAX(0,'Debt strategy'!$C$5-SUM(E215,K215,Q215,W215,AC215)-SUM(IF(F215&lt;L215,C215+D215-E215,0),IF(R215&lt;L215,O215+P215-Q215,0),IF(X215&lt;L215,U215+V215-W215,0),IF(AD215&lt;L215,AA215+AB215-AC215,0)))))</x:f>
        <x:v>0</x:v>
      </x:c>
      <x:c r="N215" s="6" t="n">
        <x:f>ROUND(MAX(0,I215+J215-K215-M215),2)</x:f>
        <x:v>0</x:v>
      </x:c>
      <x:c r="O215" s="6" t="n">
        <x:f>T214</x:f>
        <x:v>0</x:v>
      </x:c>
      <x:c r="P215" s="6" t="n">
        <x:f>ROUND(O215*'Debt strategy'!$D$11/12,2)</x:f>
        <x:v>0</x:v>
      </x:c>
      <x:c r="Q215" s="6" t="n">
        <x:f>MIN(O215+P215,'Debt strategy'!$E$11)</x:f>
        <x:v>0</x:v>
      </x:c>
      <x:c r="R215" s="27" t="n">
        <x:f>IF(O215+P215-Q215&lt;=0,99,1+SUM(IF(AND(C215+D215-E215&gt;0,OR('Debt strategy'!$D$9&gt;'Debt strategy'!$D$11,AND('Debt strategy'!$D$9='Debt strategy'!$D$11,0&lt;2))),1,0),IF(AND(I215+J215-K215&gt;0,OR('Debt strategy'!$D$10&gt;'Debt strategy'!$D$11,AND('Debt strategy'!$D$10='Debt strategy'!$D$11,1&lt;2))),1,0),IF(AND(U215+V215-W215&gt;0,OR('Debt strategy'!$D$12&gt;'Debt strategy'!$D$11,AND('Debt strategy'!$D$12='Debt strategy'!$D$11,3&lt;2))),1,0),IF(AND(AA215+AB215-AC215&gt;0,OR('Debt strategy'!$D$13&gt;'Debt strategy'!$D$11,AND('Debt strategy'!$D$13='Debt strategy'!$D$11,4&lt;2))),1,0)))</x:f>
        <x:v>99</x:v>
      </x:c>
      <x:c r="S215" s="6" t="n">
        <x:f>IF('Debt strategy'!$C$16&gt;0,0,MIN(O215+P215-Q215,MAX(0,'Debt strategy'!$C$5-SUM(E215,K215,Q215,W215,AC215)-SUM(IF(F215&lt;R215,C215+D215-E215,0),IF(L215&lt;R215,I215+J215-K215,0),IF(X215&lt;R215,U215+V215-W215,0),IF(AD215&lt;R215,AA215+AB215-AC215,0)))))</x:f>
        <x:v>0</x:v>
      </x:c>
      <x:c r="T215" s="6" t="n">
        <x:f>ROUND(MAX(0,O215+P215-Q215-S215),2)</x:f>
        <x:v>0</x:v>
      </x:c>
      <x:c r="U215" s="6" t="n">
        <x:f>Z214</x:f>
        <x:v>0</x:v>
      </x:c>
      <x:c r="V215" s="6" t="n">
        <x:f>ROUND(U215*'Debt strategy'!$D$12/12,2)</x:f>
        <x:v>0</x:v>
      </x:c>
      <x:c r="W215" s="6" t="n">
        <x:f>MIN(U215+V215,'Debt strategy'!$E$12)</x:f>
        <x:v>0</x:v>
      </x:c>
      <x:c r="X215" s="27" t="n">
        <x:f>IF(U215+V215-W215&lt;=0,99,1+SUM(IF(AND(C215+D215-E215&gt;0,OR('Debt strategy'!$D$9&gt;'Debt strategy'!$D$12,AND('Debt strategy'!$D$9='Debt strategy'!$D$12,0&lt;3))),1,0),IF(AND(I215+J215-K215&gt;0,OR('Debt strategy'!$D$10&gt;'Debt strategy'!$D$12,AND('Debt strategy'!$D$10='Debt strategy'!$D$12,1&lt;3))),1,0),IF(AND(O215+P215-Q215&gt;0,OR('Debt strategy'!$D$11&gt;'Debt strategy'!$D$12,AND('Debt strategy'!$D$11='Debt strategy'!$D$12,2&lt;3))),1,0),IF(AND(AA215+AB215-AC215&gt;0,OR('Debt strategy'!$D$13&gt;'Debt strategy'!$D$12,AND('Debt strategy'!$D$13='Debt strategy'!$D$12,4&lt;3))),1,0)))</x:f>
        <x:v>99</x:v>
      </x:c>
      <x:c r="Y215" s="6" t="n">
        <x:f>IF('Debt strategy'!$C$16&gt;0,0,MIN(U215+V215-W215,MAX(0,'Debt strategy'!$C$5-SUM(E215,K215,Q215,W215,AC215)-SUM(IF(F215&lt;X215,C215+D215-E215,0),IF(L215&lt;X215,I215+J215-K215,0),IF(R215&lt;X215,O215+P215-Q215,0),IF(AD215&lt;X215,AA215+AB215-AC215,0)))))</x:f>
        <x:v>0</x:v>
      </x:c>
      <x:c r="Z215" s="6" t="n">
        <x:f>ROUND(MAX(0,U215+V215-W215-Y215),2)</x:f>
        <x:v>0</x:v>
      </x:c>
      <x:c r="AA215" s="6" t="n">
        <x:f>AF214</x:f>
        <x:v>0</x:v>
      </x:c>
      <x:c r="AB215" s="6" t="n">
        <x:f>ROUND(AA215*'Debt strategy'!$D$13/12,2)</x:f>
        <x:v>0</x:v>
      </x:c>
      <x:c r="AC215" s="6" t="n">
        <x:f>MIN(AA215+AB215,'Debt strategy'!$E$13)</x:f>
        <x:v>0</x:v>
      </x:c>
      <x:c r="AD215" s="27" t="n">
        <x:f>IF(AA215+AB215-AC215&lt;=0,99,1+SUM(IF(AND(C215+D215-E215&gt;0,OR('Debt strategy'!$D$9&gt;'Debt strategy'!$D$13,AND('Debt strategy'!$D$9='Debt strategy'!$D$13,0&lt;4))),1,0),IF(AND(I215+J215-K215&gt;0,OR('Debt strategy'!$D$10&gt;'Debt strategy'!$D$13,AND('Debt strategy'!$D$10='Debt strategy'!$D$13,1&lt;4))),1,0),IF(AND(O215+P215-Q215&gt;0,OR('Debt strategy'!$D$11&gt;'Debt strategy'!$D$13,AND('Debt strategy'!$D$11='Debt strategy'!$D$13,2&lt;4))),1,0),IF(AND(U215+V215-W215&gt;0,OR('Debt strategy'!$D$12&gt;'Debt strategy'!$D$13,AND('Debt strategy'!$D$12='Debt strategy'!$D$13,3&lt;4))),1,0)))</x:f>
        <x:v>99</x:v>
      </x:c>
      <x:c r="AE215" s="6" t="n">
        <x:f>IF('Debt strategy'!$C$16&gt;0,0,MIN(AA215+AB215-AC215,MAX(0,'Debt strategy'!$C$5-SUM(E215,K215,Q215,W215,AC215)-SUM(IF(F215&lt;AD215,C215+D215-E215,0),IF(L215&lt;AD215,I215+J215-K215,0),IF(R215&lt;AD215,O215+P215-Q215,0),IF(X215&lt;AD215,U215+V215-W215,0)))))</x:f>
        <x:v>0</x:v>
      </x:c>
      <x:c r="AF215" s="6" t="n">
        <x:f>ROUND(MAX(0,AA215+AB215-AC215-AE215),2)</x:f>
        <x:v>0</x:v>
      </x:c>
      <x:c r="AG215" s="6" t="n">
        <x:f>SUM(H215,N215,T215,Z215,AF215)</x:f>
        <x:v>0</x:v>
      </x:c>
      <x:c r="AH215" s="6" t="n">
        <x:f>SUM(D215,J215,P215,V215,AB215)+AH214</x:f>
        <x:v>1220.8400000000001</x:v>
      </x:c>
      <x:c r="AI215" s="2"/>
    </x:row>
    <x:row r="216" ht="23" customHeight="1">
      <x:c r="B216" s="2" t="n">
        <x:f>208</x:f>
        <x:v>208</x:v>
      </x:c>
      <x:c r="C216" s="6" t="n">
        <x:f>H215</x:f>
        <x:v>0</x:v>
      </x:c>
      <x:c r="D216" s="6" t="n">
        <x:f>ROUND(C216*'Debt strategy'!$D$9/12,2)</x:f>
        <x:v>0</x:v>
      </x:c>
      <x:c r="E216" s="6" t="n">
        <x:f>MIN(C216+D216,'Debt strategy'!$E$9)</x:f>
        <x:v>0</x:v>
      </x:c>
      <x:c r="F216" s="27" t="n">
        <x:f>IF(C216+D216-E216&lt;=0,99,1+SUM(IF(AND(I216+J216-K216&gt;0,OR('Debt strategy'!$D$10&gt;'Debt strategy'!$D$9,AND('Debt strategy'!$D$10='Debt strategy'!$D$9,1&lt;0))),1,0),IF(AND(O216+P216-Q216&gt;0,OR('Debt strategy'!$D$11&gt;'Debt strategy'!$D$9,AND('Debt strategy'!$D$11='Debt strategy'!$D$9,2&lt;0))),1,0),IF(AND(U216+V216-W216&gt;0,OR('Debt strategy'!$D$12&gt;'Debt strategy'!$D$9,AND('Debt strategy'!$D$12='Debt strategy'!$D$9,3&lt;0))),1,0),IF(AND(AA216+AB216-AC216&gt;0,OR('Debt strategy'!$D$13&gt;'Debt strategy'!$D$9,AND('Debt strategy'!$D$13='Debt strategy'!$D$9,4&lt;0))),1,0)))</x:f>
        <x:v>99</x:v>
      </x:c>
      <x:c r="G216" s="6" t="n">
        <x:f>IF('Debt strategy'!$C$16&gt;0,0,MIN(C216+D216-E216,MAX(0,'Debt strategy'!$C$5-SUM(E216,K216,Q216,W216,AC216)-SUM(IF(L216&lt;F216,I216+J216-K216,0),IF(R216&lt;F216,O216+P216-Q216,0),IF(X216&lt;F216,U216+V216-W216,0),IF(AD216&lt;F216,AA216+AB216-AC216,0)))))</x:f>
        <x:v>0</x:v>
      </x:c>
      <x:c r="H216" s="6" t="n">
        <x:f>ROUND(MAX(0,C216+D216-E216-G216),2)</x:f>
        <x:v>0</x:v>
      </x:c>
      <x:c r="I216" s="6" t="n">
        <x:f>N215</x:f>
        <x:v>0</x:v>
      </x:c>
      <x:c r="J216" s="6" t="n">
        <x:f>ROUND(I216*'Debt strategy'!$D$10/12,2)</x:f>
        <x:v>0</x:v>
      </x:c>
      <x:c r="K216" s="6" t="n">
        <x:f>MIN(I216+J216,'Debt strategy'!$E$10)</x:f>
        <x:v>0</x:v>
      </x:c>
      <x:c r="L216" s="27" t="n">
        <x:f>IF(I216+J216-K216&lt;=0,99,1+SUM(IF(AND(C216+D216-E216&gt;0,OR('Debt strategy'!$D$9&gt;'Debt strategy'!$D$10,AND('Debt strategy'!$D$9='Debt strategy'!$D$10,0&lt;1))),1,0),IF(AND(O216+P216-Q216&gt;0,OR('Debt strategy'!$D$11&gt;'Debt strategy'!$D$10,AND('Debt strategy'!$D$11='Debt strategy'!$D$10,2&lt;1))),1,0),IF(AND(U216+V216-W216&gt;0,OR('Debt strategy'!$D$12&gt;'Debt strategy'!$D$10,AND('Debt strategy'!$D$12='Debt strategy'!$D$10,3&lt;1))),1,0),IF(AND(AA216+AB216-AC216&gt;0,OR('Debt strategy'!$D$13&gt;'Debt strategy'!$D$10,AND('Debt strategy'!$D$13='Debt strategy'!$D$10,4&lt;1))),1,0)))</x:f>
        <x:v>99</x:v>
      </x:c>
      <x:c r="M216" s="6" t="n">
        <x:f>IF('Debt strategy'!$C$16&gt;0,0,MIN(I216+J216-K216,MAX(0,'Debt strategy'!$C$5-SUM(E216,K216,Q216,W216,AC216)-SUM(IF(F216&lt;L216,C216+D216-E216,0),IF(R216&lt;L216,O216+P216-Q216,0),IF(X216&lt;L216,U216+V216-W216,0),IF(AD216&lt;L216,AA216+AB216-AC216,0)))))</x:f>
        <x:v>0</x:v>
      </x:c>
      <x:c r="N216" s="6" t="n">
        <x:f>ROUND(MAX(0,I216+J216-K216-M216),2)</x:f>
        <x:v>0</x:v>
      </x:c>
      <x:c r="O216" s="6" t="n">
        <x:f>T215</x:f>
        <x:v>0</x:v>
      </x:c>
      <x:c r="P216" s="6" t="n">
        <x:f>ROUND(O216*'Debt strategy'!$D$11/12,2)</x:f>
        <x:v>0</x:v>
      </x:c>
      <x:c r="Q216" s="6" t="n">
        <x:f>MIN(O216+P216,'Debt strategy'!$E$11)</x:f>
        <x:v>0</x:v>
      </x:c>
      <x:c r="R216" s="27" t="n">
        <x:f>IF(O216+P216-Q216&lt;=0,99,1+SUM(IF(AND(C216+D216-E216&gt;0,OR('Debt strategy'!$D$9&gt;'Debt strategy'!$D$11,AND('Debt strategy'!$D$9='Debt strategy'!$D$11,0&lt;2))),1,0),IF(AND(I216+J216-K216&gt;0,OR('Debt strategy'!$D$10&gt;'Debt strategy'!$D$11,AND('Debt strategy'!$D$10='Debt strategy'!$D$11,1&lt;2))),1,0),IF(AND(U216+V216-W216&gt;0,OR('Debt strategy'!$D$12&gt;'Debt strategy'!$D$11,AND('Debt strategy'!$D$12='Debt strategy'!$D$11,3&lt;2))),1,0),IF(AND(AA216+AB216-AC216&gt;0,OR('Debt strategy'!$D$13&gt;'Debt strategy'!$D$11,AND('Debt strategy'!$D$13='Debt strategy'!$D$11,4&lt;2))),1,0)))</x:f>
        <x:v>99</x:v>
      </x:c>
      <x:c r="S216" s="6" t="n">
        <x:f>IF('Debt strategy'!$C$16&gt;0,0,MIN(O216+P216-Q216,MAX(0,'Debt strategy'!$C$5-SUM(E216,K216,Q216,W216,AC216)-SUM(IF(F216&lt;R216,C216+D216-E216,0),IF(L216&lt;R216,I216+J216-K216,0),IF(X216&lt;R216,U216+V216-W216,0),IF(AD216&lt;R216,AA216+AB216-AC216,0)))))</x:f>
        <x:v>0</x:v>
      </x:c>
      <x:c r="T216" s="6" t="n">
        <x:f>ROUND(MAX(0,O216+P216-Q216-S216),2)</x:f>
        <x:v>0</x:v>
      </x:c>
      <x:c r="U216" s="6" t="n">
        <x:f>Z215</x:f>
        <x:v>0</x:v>
      </x:c>
      <x:c r="V216" s="6" t="n">
        <x:f>ROUND(U216*'Debt strategy'!$D$12/12,2)</x:f>
        <x:v>0</x:v>
      </x:c>
      <x:c r="W216" s="6" t="n">
        <x:f>MIN(U216+V216,'Debt strategy'!$E$12)</x:f>
        <x:v>0</x:v>
      </x:c>
      <x:c r="X216" s="27" t="n">
        <x:f>IF(U216+V216-W216&lt;=0,99,1+SUM(IF(AND(C216+D216-E216&gt;0,OR('Debt strategy'!$D$9&gt;'Debt strategy'!$D$12,AND('Debt strategy'!$D$9='Debt strategy'!$D$12,0&lt;3))),1,0),IF(AND(I216+J216-K216&gt;0,OR('Debt strategy'!$D$10&gt;'Debt strategy'!$D$12,AND('Debt strategy'!$D$10='Debt strategy'!$D$12,1&lt;3))),1,0),IF(AND(O216+P216-Q216&gt;0,OR('Debt strategy'!$D$11&gt;'Debt strategy'!$D$12,AND('Debt strategy'!$D$11='Debt strategy'!$D$12,2&lt;3))),1,0),IF(AND(AA216+AB216-AC216&gt;0,OR('Debt strategy'!$D$13&gt;'Debt strategy'!$D$12,AND('Debt strategy'!$D$13='Debt strategy'!$D$12,4&lt;3))),1,0)))</x:f>
        <x:v>99</x:v>
      </x:c>
      <x:c r="Y216" s="6" t="n">
        <x:f>IF('Debt strategy'!$C$16&gt;0,0,MIN(U216+V216-W216,MAX(0,'Debt strategy'!$C$5-SUM(E216,K216,Q216,W216,AC216)-SUM(IF(F216&lt;X216,C216+D216-E216,0),IF(L216&lt;X216,I216+J216-K216,0),IF(R216&lt;X216,O216+P216-Q216,0),IF(AD216&lt;X216,AA216+AB216-AC216,0)))))</x:f>
        <x:v>0</x:v>
      </x:c>
      <x:c r="Z216" s="6" t="n">
        <x:f>ROUND(MAX(0,U216+V216-W216-Y216),2)</x:f>
        <x:v>0</x:v>
      </x:c>
      <x:c r="AA216" s="6" t="n">
        <x:f>AF215</x:f>
        <x:v>0</x:v>
      </x:c>
      <x:c r="AB216" s="6" t="n">
        <x:f>ROUND(AA216*'Debt strategy'!$D$13/12,2)</x:f>
        <x:v>0</x:v>
      </x:c>
      <x:c r="AC216" s="6" t="n">
        <x:f>MIN(AA216+AB216,'Debt strategy'!$E$13)</x:f>
        <x:v>0</x:v>
      </x:c>
      <x:c r="AD216" s="27" t="n">
        <x:f>IF(AA216+AB216-AC216&lt;=0,99,1+SUM(IF(AND(C216+D216-E216&gt;0,OR('Debt strategy'!$D$9&gt;'Debt strategy'!$D$13,AND('Debt strategy'!$D$9='Debt strategy'!$D$13,0&lt;4))),1,0),IF(AND(I216+J216-K216&gt;0,OR('Debt strategy'!$D$10&gt;'Debt strategy'!$D$13,AND('Debt strategy'!$D$10='Debt strategy'!$D$13,1&lt;4))),1,0),IF(AND(O216+P216-Q216&gt;0,OR('Debt strategy'!$D$11&gt;'Debt strategy'!$D$13,AND('Debt strategy'!$D$11='Debt strategy'!$D$13,2&lt;4))),1,0),IF(AND(U216+V216-W216&gt;0,OR('Debt strategy'!$D$12&gt;'Debt strategy'!$D$13,AND('Debt strategy'!$D$12='Debt strategy'!$D$13,3&lt;4))),1,0)))</x:f>
        <x:v>99</x:v>
      </x:c>
      <x:c r="AE216" s="6" t="n">
        <x:f>IF('Debt strategy'!$C$16&gt;0,0,MIN(AA216+AB216-AC216,MAX(0,'Debt strategy'!$C$5-SUM(E216,K216,Q216,W216,AC216)-SUM(IF(F216&lt;AD216,C216+D216-E216,0),IF(L216&lt;AD216,I216+J216-K216,0),IF(R216&lt;AD216,O216+P216-Q216,0),IF(X216&lt;AD216,U216+V216-W216,0)))))</x:f>
        <x:v>0</x:v>
      </x:c>
      <x:c r="AF216" s="6" t="n">
        <x:f>ROUND(MAX(0,AA216+AB216-AC216-AE216),2)</x:f>
        <x:v>0</x:v>
      </x:c>
      <x:c r="AG216" s="6" t="n">
        <x:f>SUM(H216,N216,T216,Z216,AF216)</x:f>
        <x:v>0</x:v>
      </x:c>
      <x:c r="AH216" s="6" t="n">
        <x:f>SUM(D216,J216,P216,V216,AB216)+AH215</x:f>
        <x:v>1220.8400000000001</x:v>
      </x:c>
      <x:c r="AI216" s="2"/>
    </x:row>
    <x:row r="217" ht="23" customHeight="1">
      <x:c r="B217" s="2" t="n">
        <x:f>209</x:f>
        <x:v>209</x:v>
      </x:c>
      <x:c r="C217" s="6" t="n">
        <x:f>H216</x:f>
        <x:v>0</x:v>
      </x:c>
      <x:c r="D217" s="6" t="n">
        <x:f>ROUND(C217*'Debt strategy'!$D$9/12,2)</x:f>
        <x:v>0</x:v>
      </x:c>
      <x:c r="E217" s="6" t="n">
        <x:f>MIN(C217+D217,'Debt strategy'!$E$9)</x:f>
        <x:v>0</x:v>
      </x:c>
      <x:c r="F217" s="27" t="n">
        <x:f>IF(C217+D217-E217&lt;=0,99,1+SUM(IF(AND(I217+J217-K217&gt;0,OR('Debt strategy'!$D$10&gt;'Debt strategy'!$D$9,AND('Debt strategy'!$D$10='Debt strategy'!$D$9,1&lt;0))),1,0),IF(AND(O217+P217-Q217&gt;0,OR('Debt strategy'!$D$11&gt;'Debt strategy'!$D$9,AND('Debt strategy'!$D$11='Debt strategy'!$D$9,2&lt;0))),1,0),IF(AND(U217+V217-W217&gt;0,OR('Debt strategy'!$D$12&gt;'Debt strategy'!$D$9,AND('Debt strategy'!$D$12='Debt strategy'!$D$9,3&lt;0))),1,0),IF(AND(AA217+AB217-AC217&gt;0,OR('Debt strategy'!$D$13&gt;'Debt strategy'!$D$9,AND('Debt strategy'!$D$13='Debt strategy'!$D$9,4&lt;0))),1,0)))</x:f>
        <x:v>99</x:v>
      </x:c>
      <x:c r="G217" s="6" t="n">
        <x:f>IF('Debt strategy'!$C$16&gt;0,0,MIN(C217+D217-E217,MAX(0,'Debt strategy'!$C$5-SUM(E217,K217,Q217,W217,AC217)-SUM(IF(L217&lt;F217,I217+J217-K217,0),IF(R217&lt;F217,O217+P217-Q217,0),IF(X217&lt;F217,U217+V217-W217,0),IF(AD217&lt;F217,AA217+AB217-AC217,0)))))</x:f>
        <x:v>0</x:v>
      </x:c>
      <x:c r="H217" s="6" t="n">
        <x:f>ROUND(MAX(0,C217+D217-E217-G217),2)</x:f>
        <x:v>0</x:v>
      </x:c>
      <x:c r="I217" s="6" t="n">
        <x:f>N216</x:f>
        <x:v>0</x:v>
      </x:c>
      <x:c r="J217" s="6" t="n">
        <x:f>ROUND(I217*'Debt strategy'!$D$10/12,2)</x:f>
        <x:v>0</x:v>
      </x:c>
      <x:c r="K217" s="6" t="n">
        <x:f>MIN(I217+J217,'Debt strategy'!$E$10)</x:f>
        <x:v>0</x:v>
      </x:c>
      <x:c r="L217" s="27" t="n">
        <x:f>IF(I217+J217-K217&lt;=0,99,1+SUM(IF(AND(C217+D217-E217&gt;0,OR('Debt strategy'!$D$9&gt;'Debt strategy'!$D$10,AND('Debt strategy'!$D$9='Debt strategy'!$D$10,0&lt;1))),1,0),IF(AND(O217+P217-Q217&gt;0,OR('Debt strategy'!$D$11&gt;'Debt strategy'!$D$10,AND('Debt strategy'!$D$11='Debt strategy'!$D$10,2&lt;1))),1,0),IF(AND(U217+V217-W217&gt;0,OR('Debt strategy'!$D$12&gt;'Debt strategy'!$D$10,AND('Debt strategy'!$D$12='Debt strategy'!$D$10,3&lt;1))),1,0),IF(AND(AA217+AB217-AC217&gt;0,OR('Debt strategy'!$D$13&gt;'Debt strategy'!$D$10,AND('Debt strategy'!$D$13='Debt strategy'!$D$10,4&lt;1))),1,0)))</x:f>
        <x:v>99</x:v>
      </x:c>
      <x:c r="M217" s="6" t="n">
        <x:f>IF('Debt strategy'!$C$16&gt;0,0,MIN(I217+J217-K217,MAX(0,'Debt strategy'!$C$5-SUM(E217,K217,Q217,W217,AC217)-SUM(IF(F217&lt;L217,C217+D217-E217,0),IF(R217&lt;L217,O217+P217-Q217,0),IF(X217&lt;L217,U217+V217-W217,0),IF(AD217&lt;L217,AA217+AB217-AC217,0)))))</x:f>
        <x:v>0</x:v>
      </x:c>
      <x:c r="N217" s="6" t="n">
        <x:f>ROUND(MAX(0,I217+J217-K217-M217),2)</x:f>
        <x:v>0</x:v>
      </x:c>
      <x:c r="O217" s="6" t="n">
        <x:f>T216</x:f>
        <x:v>0</x:v>
      </x:c>
      <x:c r="P217" s="6" t="n">
        <x:f>ROUND(O217*'Debt strategy'!$D$11/12,2)</x:f>
        <x:v>0</x:v>
      </x:c>
      <x:c r="Q217" s="6" t="n">
        <x:f>MIN(O217+P217,'Debt strategy'!$E$11)</x:f>
        <x:v>0</x:v>
      </x:c>
      <x:c r="R217" s="27" t="n">
        <x:f>IF(O217+P217-Q217&lt;=0,99,1+SUM(IF(AND(C217+D217-E217&gt;0,OR('Debt strategy'!$D$9&gt;'Debt strategy'!$D$11,AND('Debt strategy'!$D$9='Debt strategy'!$D$11,0&lt;2))),1,0),IF(AND(I217+J217-K217&gt;0,OR('Debt strategy'!$D$10&gt;'Debt strategy'!$D$11,AND('Debt strategy'!$D$10='Debt strategy'!$D$11,1&lt;2))),1,0),IF(AND(U217+V217-W217&gt;0,OR('Debt strategy'!$D$12&gt;'Debt strategy'!$D$11,AND('Debt strategy'!$D$12='Debt strategy'!$D$11,3&lt;2))),1,0),IF(AND(AA217+AB217-AC217&gt;0,OR('Debt strategy'!$D$13&gt;'Debt strategy'!$D$11,AND('Debt strategy'!$D$13='Debt strategy'!$D$11,4&lt;2))),1,0)))</x:f>
        <x:v>99</x:v>
      </x:c>
      <x:c r="S217" s="6" t="n">
        <x:f>IF('Debt strategy'!$C$16&gt;0,0,MIN(O217+P217-Q217,MAX(0,'Debt strategy'!$C$5-SUM(E217,K217,Q217,W217,AC217)-SUM(IF(F217&lt;R217,C217+D217-E217,0),IF(L217&lt;R217,I217+J217-K217,0),IF(X217&lt;R217,U217+V217-W217,0),IF(AD217&lt;R217,AA217+AB217-AC217,0)))))</x:f>
        <x:v>0</x:v>
      </x:c>
      <x:c r="T217" s="6" t="n">
        <x:f>ROUND(MAX(0,O217+P217-Q217-S217),2)</x:f>
        <x:v>0</x:v>
      </x:c>
      <x:c r="U217" s="6" t="n">
        <x:f>Z216</x:f>
        <x:v>0</x:v>
      </x:c>
      <x:c r="V217" s="6" t="n">
        <x:f>ROUND(U217*'Debt strategy'!$D$12/12,2)</x:f>
        <x:v>0</x:v>
      </x:c>
      <x:c r="W217" s="6" t="n">
        <x:f>MIN(U217+V217,'Debt strategy'!$E$12)</x:f>
        <x:v>0</x:v>
      </x:c>
      <x:c r="X217" s="27" t="n">
        <x:f>IF(U217+V217-W217&lt;=0,99,1+SUM(IF(AND(C217+D217-E217&gt;0,OR('Debt strategy'!$D$9&gt;'Debt strategy'!$D$12,AND('Debt strategy'!$D$9='Debt strategy'!$D$12,0&lt;3))),1,0),IF(AND(I217+J217-K217&gt;0,OR('Debt strategy'!$D$10&gt;'Debt strategy'!$D$12,AND('Debt strategy'!$D$10='Debt strategy'!$D$12,1&lt;3))),1,0),IF(AND(O217+P217-Q217&gt;0,OR('Debt strategy'!$D$11&gt;'Debt strategy'!$D$12,AND('Debt strategy'!$D$11='Debt strategy'!$D$12,2&lt;3))),1,0),IF(AND(AA217+AB217-AC217&gt;0,OR('Debt strategy'!$D$13&gt;'Debt strategy'!$D$12,AND('Debt strategy'!$D$13='Debt strategy'!$D$12,4&lt;3))),1,0)))</x:f>
        <x:v>99</x:v>
      </x:c>
      <x:c r="Y217" s="6" t="n">
        <x:f>IF('Debt strategy'!$C$16&gt;0,0,MIN(U217+V217-W217,MAX(0,'Debt strategy'!$C$5-SUM(E217,K217,Q217,W217,AC217)-SUM(IF(F217&lt;X217,C217+D217-E217,0),IF(L217&lt;X217,I217+J217-K217,0),IF(R217&lt;X217,O217+P217-Q217,0),IF(AD217&lt;X217,AA217+AB217-AC217,0)))))</x:f>
        <x:v>0</x:v>
      </x:c>
      <x:c r="Z217" s="6" t="n">
        <x:f>ROUND(MAX(0,U217+V217-W217-Y217),2)</x:f>
        <x:v>0</x:v>
      </x:c>
      <x:c r="AA217" s="6" t="n">
        <x:f>AF216</x:f>
        <x:v>0</x:v>
      </x:c>
      <x:c r="AB217" s="6" t="n">
        <x:f>ROUND(AA217*'Debt strategy'!$D$13/12,2)</x:f>
        <x:v>0</x:v>
      </x:c>
      <x:c r="AC217" s="6" t="n">
        <x:f>MIN(AA217+AB217,'Debt strategy'!$E$13)</x:f>
        <x:v>0</x:v>
      </x:c>
      <x:c r="AD217" s="27" t="n">
        <x:f>IF(AA217+AB217-AC217&lt;=0,99,1+SUM(IF(AND(C217+D217-E217&gt;0,OR('Debt strategy'!$D$9&gt;'Debt strategy'!$D$13,AND('Debt strategy'!$D$9='Debt strategy'!$D$13,0&lt;4))),1,0),IF(AND(I217+J217-K217&gt;0,OR('Debt strategy'!$D$10&gt;'Debt strategy'!$D$13,AND('Debt strategy'!$D$10='Debt strategy'!$D$13,1&lt;4))),1,0),IF(AND(O217+P217-Q217&gt;0,OR('Debt strategy'!$D$11&gt;'Debt strategy'!$D$13,AND('Debt strategy'!$D$11='Debt strategy'!$D$13,2&lt;4))),1,0),IF(AND(U217+V217-W217&gt;0,OR('Debt strategy'!$D$12&gt;'Debt strategy'!$D$13,AND('Debt strategy'!$D$12='Debt strategy'!$D$13,3&lt;4))),1,0)))</x:f>
        <x:v>99</x:v>
      </x:c>
      <x:c r="AE217" s="6" t="n">
        <x:f>IF('Debt strategy'!$C$16&gt;0,0,MIN(AA217+AB217-AC217,MAX(0,'Debt strategy'!$C$5-SUM(E217,K217,Q217,W217,AC217)-SUM(IF(F217&lt;AD217,C217+D217-E217,0),IF(L217&lt;AD217,I217+J217-K217,0),IF(R217&lt;AD217,O217+P217-Q217,0),IF(X217&lt;AD217,U217+V217-W217,0)))))</x:f>
        <x:v>0</x:v>
      </x:c>
      <x:c r="AF217" s="6" t="n">
        <x:f>ROUND(MAX(0,AA217+AB217-AC217-AE217),2)</x:f>
        <x:v>0</x:v>
      </x:c>
      <x:c r="AG217" s="6" t="n">
        <x:f>SUM(H217,N217,T217,Z217,AF217)</x:f>
        <x:v>0</x:v>
      </x:c>
      <x:c r="AH217" s="6" t="n">
        <x:f>SUM(D217,J217,P217,V217,AB217)+AH216</x:f>
        <x:v>1220.8400000000001</x:v>
      </x:c>
      <x:c r="AI217" s="2"/>
    </x:row>
    <x:row r="218" ht="23" customHeight="1">
      <x:c r="B218" s="2" t="n">
        <x:f>210</x:f>
        <x:v>210</x:v>
      </x:c>
      <x:c r="C218" s="6" t="n">
        <x:f>H217</x:f>
        <x:v>0</x:v>
      </x:c>
      <x:c r="D218" s="6" t="n">
        <x:f>ROUND(C218*'Debt strategy'!$D$9/12,2)</x:f>
        <x:v>0</x:v>
      </x:c>
      <x:c r="E218" s="6" t="n">
        <x:f>MIN(C218+D218,'Debt strategy'!$E$9)</x:f>
        <x:v>0</x:v>
      </x:c>
      <x:c r="F218" s="27" t="n">
        <x:f>IF(C218+D218-E218&lt;=0,99,1+SUM(IF(AND(I218+J218-K218&gt;0,OR('Debt strategy'!$D$10&gt;'Debt strategy'!$D$9,AND('Debt strategy'!$D$10='Debt strategy'!$D$9,1&lt;0))),1,0),IF(AND(O218+P218-Q218&gt;0,OR('Debt strategy'!$D$11&gt;'Debt strategy'!$D$9,AND('Debt strategy'!$D$11='Debt strategy'!$D$9,2&lt;0))),1,0),IF(AND(U218+V218-W218&gt;0,OR('Debt strategy'!$D$12&gt;'Debt strategy'!$D$9,AND('Debt strategy'!$D$12='Debt strategy'!$D$9,3&lt;0))),1,0),IF(AND(AA218+AB218-AC218&gt;0,OR('Debt strategy'!$D$13&gt;'Debt strategy'!$D$9,AND('Debt strategy'!$D$13='Debt strategy'!$D$9,4&lt;0))),1,0)))</x:f>
        <x:v>99</x:v>
      </x:c>
      <x:c r="G218" s="6" t="n">
        <x:f>IF('Debt strategy'!$C$16&gt;0,0,MIN(C218+D218-E218,MAX(0,'Debt strategy'!$C$5-SUM(E218,K218,Q218,W218,AC218)-SUM(IF(L218&lt;F218,I218+J218-K218,0),IF(R218&lt;F218,O218+P218-Q218,0),IF(X218&lt;F218,U218+V218-W218,0),IF(AD218&lt;F218,AA218+AB218-AC218,0)))))</x:f>
        <x:v>0</x:v>
      </x:c>
      <x:c r="H218" s="6" t="n">
        <x:f>ROUND(MAX(0,C218+D218-E218-G218),2)</x:f>
        <x:v>0</x:v>
      </x:c>
      <x:c r="I218" s="6" t="n">
        <x:f>N217</x:f>
        <x:v>0</x:v>
      </x:c>
      <x:c r="J218" s="6" t="n">
        <x:f>ROUND(I218*'Debt strategy'!$D$10/12,2)</x:f>
        <x:v>0</x:v>
      </x:c>
      <x:c r="K218" s="6" t="n">
        <x:f>MIN(I218+J218,'Debt strategy'!$E$10)</x:f>
        <x:v>0</x:v>
      </x:c>
      <x:c r="L218" s="27" t="n">
        <x:f>IF(I218+J218-K218&lt;=0,99,1+SUM(IF(AND(C218+D218-E218&gt;0,OR('Debt strategy'!$D$9&gt;'Debt strategy'!$D$10,AND('Debt strategy'!$D$9='Debt strategy'!$D$10,0&lt;1))),1,0),IF(AND(O218+P218-Q218&gt;0,OR('Debt strategy'!$D$11&gt;'Debt strategy'!$D$10,AND('Debt strategy'!$D$11='Debt strategy'!$D$10,2&lt;1))),1,0),IF(AND(U218+V218-W218&gt;0,OR('Debt strategy'!$D$12&gt;'Debt strategy'!$D$10,AND('Debt strategy'!$D$12='Debt strategy'!$D$10,3&lt;1))),1,0),IF(AND(AA218+AB218-AC218&gt;0,OR('Debt strategy'!$D$13&gt;'Debt strategy'!$D$10,AND('Debt strategy'!$D$13='Debt strategy'!$D$10,4&lt;1))),1,0)))</x:f>
        <x:v>99</x:v>
      </x:c>
      <x:c r="M218" s="6" t="n">
        <x:f>IF('Debt strategy'!$C$16&gt;0,0,MIN(I218+J218-K218,MAX(0,'Debt strategy'!$C$5-SUM(E218,K218,Q218,W218,AC218)-SUM(IF(F218&lt;L218,C218+D218-E218,0),IF(R218&lt;L218,O218+P218-Q218,0),IF(X218&lt;L218,U218+V218-W218,0),IF(AD218&lt;L218,AA218+AB218-AC218,0)))))</x:f>
        <x:v>0</x:v>
      </x:c>
      <x:c r="N218" s="6" t="n">
        <x:f>ROUND(MAX(0,I218+J218-K218-M218),2)</x:f>
        <x:v>0</x:v>
      </x:c>
      <x:c r="O218" s="6" t="n">
        <x:f>T217</x:f>
        <x:v>0</x:v>
      </x:c>
      <x:c r="P218" s="6" t="n">
        <x:f>ROUND(O218*'Debt strategy'!$D$11/12,2)</x:f>
        <x:v>0</x:v>
      </x:c>
      <x:c r="Q218" s="6" t="n">
        <x:f>MIN(O218+P218,'Debt strategy'!$E$11)</x:f>
        <x:v>0</x:v>
      </x:c>
      <x:c r="R218" s="27" t="n">
        <x:f>IF(O218+P218-Q218&lt;=0,99,1+SUM(IF(AND(C218+D218-E218&gt;0,OR('Debt strategy'!$D$9&gt;'Debt strategy'!$D$11,AND('Debt strategy'!$D$9='Debt strategy'!$D$11,0&lt;2))),1,0),IF(AND(I218+J218-K218&gt;0,OR('Debt strategy'!$D$10&gt;'Debt strategy'!$D$11,AND('Debt strategy'!$D$10='Debt strategy'!$D$11,1&lt;2))),1,0),IF(AND(U218+V218-W218&gt;0,OR('Debt strategy'!$D$12&gt;'Debt strategy'!$D$11,AND('Debt strategy'!$D$12='Debt strategy'!$D$11,3&lt;2))),1,0),IF(AND(AA218+AB218-AC218&gt;0,OR('Debt strategy'!$D$13&gt;'Debt strategy'!$D$11,AND('Debt strategy'!$D$13='Debt strategy'!$D$11,4&lt;2))),1,0)))</x:f>
        <x:v>99</x:v>
      </x:c>
      <x:c r="S218" s="6" t="n">
        <x:f>IF('Debt strategy'!$C$16&gt;0,0,MIN(O218+P218-Q218,MAX(0,'Debt strategy'!$C$5-SUM(E218,K218,Q218,W218,AC218)-SUM(IF(F218&lt;R218,C218+D218-E218,0),IF(L218&lt;R218,I218+J218-K218,0),IF(X218&lt;R218,U218+V218-W218,0),IF(AD218&lt;R218,AA218+AB218-AC218,0)))))</x:f>
        <x:v>0</x:v>
      </x:c>
      <x:c r="T218" s="6" t="n">
        <x:f>ROUND(MAX(0,O218+P218-Q218-S218),2)</x:f>
        <x:v>0</x:v>
      </x:c>
      <x:c r="U218" s="6" t="n">
        <x:f>Z217</x:f>
        <x:v>0</x:v>
      </x:c>
      <x:c r="V218" s="6" t="n">
        <x:f>ROUND(U218*'Debt strategy'!$D$12/12,2)</x:f>
        <x:v>0</x:v>
      </x:c>
      <x:c r="W218" s="6" t="n">
        <x:f>MIN(U218+V218,'Debt strategy'!$E$12)</x:f>
        <x:v>0</x:v>
      </x:c>
      <x:c r="X218" s="27" t="n">
        <x:f>IF(U218+V218-W218&lt;=0,99,1+SUM(IF(AND(C218+D218-E218&gt;0,OR('Debt strategy'!$D$9&gt;'Debt strategy'!$D$12,AND('Debt strategy'!$D$9='Debt strategy'!$D$12,0&lt;3))),1,0),IF(AND(I218+J218-K218&gt;0,OR('Debt strategy'!$D$10&gt;'Debt strategy'!$D$12,AND('Debt strategy'!$D$10='Debt strategy'!$D$12,1&lt;3))),1,0),IF(AND(O218+P218-Q218&gt;0,OR('Debt strategy'!$D$11&gt;'Debt strategy'!$D$12,AND('Debt strategy'!$D$11='Debt strategy'!$D$12,2&lt;3))),1,0),IF(AND(AA218+AB218-AC218&gt;0,OR('Debt strategy'!$D$13&gt;'Debt strategy'!$D$12,AND('Debt strategy'!$D$13='Debt strategy'!$D$12,4&lt;3))),1,0)))</x:f>
        <x:v>99</x:v>
      </x:c>
      <x:c r="Y218" s="6" t="n">
        <x:f>IF('Debt strategy'!$C$16&gt;0,0,MIN(U218+V218-W218,MAX(0,'Debt strategy'!$C$5-SUM(E218,K218,Q218,W218,AC218)-SUM(IF(F218&lt;X218,C218+D218-E218,0),IF(L218&lt;X218,I218+J218-K218,0),IF(R218&lt;X218,O218+P218-Q218,0),IF(AD218&lt;X218,AA218+AB218-AC218,0)))))</x:f>
        <x:v>0</x:v>
      </x:c>
      <x:c r="Z218" s="6" t="n">
        <x:f>ROUND(MAX(0,U218+V218-W218-Y218),2)</x:f>
        <x:v>0</x:v>
      </x:c>
      <x:c r="AA218" s="6" t="n">
        <x:f>AF217</x:f>
        <x:v>0</x:v>
      </x:c>
      <x:c r="AB218" s="6" t="n">
        <x:f>ROUND(AA218*'Debt strategy'!$D$13/12,2)</x:f>
        <x:v>0</x:v>
      </x:c>
      <x:c r="AC218" s="6" t="n">
        <x:f>MIN(AA218+AB218,'Debt strategy'!$E$13)</x:f>
        <x:v>0</x:v>
      </x:c>
      <x:c r="AD218" s="27" t="n">
        <x:f>IF(AA218+AB218-AC218&lt;=0,99,1+SUM(IF(AND(C218+D218-E218&gt;0,OR('Debt strategy'!$D$9&gt;'Debt strategy'!$D$13,AND('Debt strategy'!$D$9='Debt strategy'!$D$13,0&lt;4))),1,0),IF(AND(I218+J218-K218&gt;0,OR('Debt strategy'!$D$10&gt;'Debt strategy'!$D$13,AND('Debt strategy'!$D$10='Debt strategy'!$D$13,1&lt;4))),1,0),IF(AND(O218+P218-Q218&gt;0,OR('Debt strategy'!$D$11&gt;'Debt strategy'!$D$13,AND('Debt strategy'!$D$11='Debt strategy'!$D$13,2&lt;4))),1,0),IF(AND(U218+V218-W218&gt;0,OR('Debt strategy'!$D$12&gt;'Debt strategy'!$D$13,AND('Debt strategy'!$D$12='Debt strategy'!$D$13,3&lt;4))),1,0)))</x:f>
        <x:v>99</x:v>
      </x:c>
      <x:c r="AE218" s="6" t="n">
        <x:f>IF('Debt strategy'!$C$16&gt;0,0,MIN(AA218+AB218-AC218,MAX(0,'Debt strategy'!$C$5-SUM(E218,K218,Q218,W218,AC218)-SUM(IF(F218&lt;AD218,C218+D218-E218,0),IF(L218&lt;AD218,I218+J218-K218,0),IF(R218&lt;AD218,O218+P218-Q218,0),IF(X218&lt;AD218,U218+V218-W218,0)))))</x:f>
        <x:v>0</x:v>
      </x:c>
      <x:c r="AF218" s="6" t="n">
        <x:f>ROUND(MAX(0,AA218+AB218-AC218-AE218),2)</x:f>
        <x:v>0</x:v>
      </x:c>
      <x:c r="AG218" s="6" t="n">
        <x:f>SUM(H218,N218,T218,Z218,AF218)</x:f>
        <x:v>0</x:v>
      </x:c>
      <x:c r="AH218" s="6" t="n">
        <x:f>SUM(D218,J218,P218,V218,AB218)+AH217</x:f>
        <x:v>1220.8400000000001</x:v>
      </x:c>
      <x:c r="AI218" s="2"/>
    </x:row>
    <x:row r="219" ht="23" customHeight="1">
      <x:c r="B219" s="2" t="n">
        <x:f>211</x:f>
        <x:v>211</x:v>
      </x:c>
      <x:c r="C219" s="6" t="n">
        <x:f>H218</x:f>
        <x:v>0</x:v>
      </x:c>
      <x:c r="D219" s="6" t="n">
        <x:f>ROUND(C219*'Debt strategy'!$D$9/12,2)</x:f>
        <x:v>0</x:v>
      </x:c>
      <x:c r="E219" s="6" t="n">
        <x:f>MIN(C219+D219,'Debt strategy'!$E$9)</x:f>
        <x:v>0</x:v>
      </x:c>
      <x:c r="F219" s="27" t="n">
        <x:f>IF(C219+D219-E219&lt;=0,99,1+SUM(IF(AND(I219+J219-K219&gt;0,OR('Debt strategy'!$D$10&gt;'Debt strategy'!$D$9,AND('Debt strategy'!$D$10='Debt strategy'!$D$9,1&lt;0))),1,0),IF(AND(O219+P219-Q219&gt;0,OR('Debt strategy'!$D$11&gt;'Debt strategy'!$D$9,AND('Debt strategy'!$D$11='Debt strategy'!$D$9,2&lt;0))),1,0),IF(AND(U219+V219-W219&gt;0,OR('Debt strategy'!$D$12&gt;'Debt strategy'!$D$9,AND('Debt strategy'!$D$12='Debt strategy'!$D$9,3&lt;0))),1,0),IF(AND(AA219+AB219-AC219&gt;0,OR('Debt strategy'!$D$13&gt;'Debt strategy'!$D$9,AND('Debt strategy'!$D$13='Debt strategy'!$D$9,4&lt;0))),1,0)))</x:f>
        <x:v>99</x:v>
      </x:c>
      <x:c r="G219" s="6" t="n">
        <x:f>IF('Debt strategy'!$C$16&gt;0,0,MIN(C219+D219-E219,MAX(0,'Debt strategy'!$C$5-SUM(E219,K219,Q219,W219,AC219)-SUM(IF(L219&lt;F219,I219+J219-K219,0),IF(R219&lt;F219,O219+P219-Q219,0),IF(X219&lt;F219,U219+V219-W219,0),IF(AD219&lt;F219,AA219+AB219-AC219,0)))))</x:f>
        <x:v>0</x:v>
      </x:c>
      <x:c r="H219" s="6" t="n">
        <x:f>ROUND(MAX(0,C219+D219-E219-G219),2)</x:f>
        <x:v>0</x:v>
      </x:c>
      <x:c r="I219" s="6" t="n">
        <x:f>N218</x:f>
        <x:v>0</x:v>
      </x:c>
      <x:c r="J219" s="6" t="n">
        <x:f>ROUND(I219*'Debt strategy'!$D$10/12,2)</x:f>
        <x:v>0</x:v>
      </x:c>
      <x:c r="K219" s="6" t="n">
        <x:f>MIN(I219+J219,'Debt strategy'!$E$10)</x:f>
        <x:v>0</x:v>
      </x:c>
      <x:c r="L219" s="27" t="n">
        <x:f>IF(I219+J219-K219&lt;=0,99,1+SUM(IF(AND(C219+D219-E219&gt;0,OR('Debt strategy'!$D$9&gt;'Debt strategy'!$D$10,AND('Debt strategy'!$D$9='Debt strategy'!$D$10,0&lt;1))),1,0),IF(AND(O219+P219-Q219&gt;0,OR('Debt strategy'!$D$11&gt;'Debt strategy'!$D$10,AND('Debt strategy'!$D$11='Debt strategy'!$D$10,2&lt;1))),1,0),IF(AND(U219+V219-W219&gt;0,OR('Debt strategy'!$D$12&gt;'Debt strategy'!$D$10,AND('Debt strategy'!$D$12='Debt strategy'!$D$10,3&lt;1))),1,0),IF(AND(AA219+AB219-AC219&gt;0,OR('Debt strategy'!$D$13&gt;'Debt strategy'!$D$10,AND('Debt strategy'!$D$13='Debt strategy'!$D$10,4&lt;1))),1,0)))</x:f>
        <x:v>99</x:v>
      </x:c>
      <x:c r="M219" s="6" t="n">
        <x:f>IF('Debt strategy'!$C$16&gt;0,0,MIN(I219+J219-K219,MAX(0,'Debt strategy'!$C$5-SUM(E219,K219,Q219,W219,AC219)-SUM(IF(F219&lt;L219,C219+D219-E219,0),IF(R219&lt;L219,O219+P219-Q219,0),IF(X219&lt;L219,U219+V219-W219,0),IF(AD219&lt;L219,AA219+AB219-AC219,0)))))</x:f>
        <x:v>0</x:v>
      </x:c>
      <x:c r="N219" s="6" t="n">
        <x:f>ROUND(MAX(0,I219+J219-K219-M219),2)</x:f>
        <x:v>0</x:v>
      </x:c>
      <x:c r="O219" s="6" t="n">
        <x:f>T218</x:f>
        <x:v>0</x:v>
      </x:c>
      <x:c r="P219" s="6" t="n">
        <x:f>ROUND(O219*'Debt strategy'!$D$11/12,2)</x:f>
        <x:v>0</x:v>
      </x:c>
      <x:c r="Q219" s="6" t="n">
        <x:f>MIN(O219+P219,'Debt strategy'!$E$11)</x:f>
        <x:v>0</x:v>
      </x:c>
      <x:c r="R219" s="27" t="n">
        <x:f>IF(O219+P219-Q219&lt;=0,99,1+SUM(IF(AND(C219+D219-E219&gt;0,OR('Debt strategy'!$D$9&gt;'Debt strategy'!$D$11,AND('Debt strategy'!$D$9='Debt strategy'!$D$11,0&lt;2))),1,0),IF(AND(I219+J219-K219&gt;0,OR('Debt strategy'!$D$10&gt;'Debt strategy'!$D$11,AND('Debt strategy'!$D$10='Debt strategy'!$D$11,1&lt;2))),1,0),IF(AND(U219+V219-W219&gt;0,OR('Debt strategy'!$D$12&gt;'Debt strategy'!$D$11,AND('Debt strategy'!$D$12='Debt strategy'!$D$11,3&lt;2))),1,0),IF(AND(AA219+AB219-AC219&gt;0,OR('Debt strategy'!$D$13&gt;'Debt strategy'!$D$11,AND('Debt strategy'!$D$13='Debt strategy'!$D$11,4&lt;2))),1,0)))</x:f>
        <x:v>99</x:v>
      </x:c>
      <x:c r="S219" s="6" t="n">
        <x:f>IF('Debt strategy'!$C$16&gt;0,0,MIN(O219+P219-Q219,MAX(0,'Debt strategy'!$C$5-SUM(E219,K219,Q219,W219,AC219)-SUM(IF(F219&lt;R219,C219+D219-E219,0),IF(L219&lt;R219,I219+J219-K219,0),IF(X219&lt;R219,U219+V219-W219,0),IF(AD219&lt;R219,AA219+AB219-AC219,0)))))</x:f>
        <x:v>0</x:v>
      </x:c>
      <x:c r="T219" s="6" t="n">
        <x:f>ROUND(MAX(0,O219+P219-Q219-S219),2)</x:f>
        <x:v>0</x:v>
      </x:c>
      <x:c r="U219" s="6" t="n">
        <x:f>Z218</x:f>
        <x:v>0</x:v>
      </x:c>
      <x:c r="V219" s="6" t="n">
        <x:f>ROUND(U219*'Debt strategy'!$D$12/12,2)</x:f>
        <x:v>0</x:v>
      </x:c>
      <x:c r="W219" s="6" t="n">
        <x:f>MIN(U219+V219,'Debt strategy'!$E$12)</x:f>
        <x:v>0</x:v>
      </x:c>
      <x:c r="X219" s="27" t="n">
        <x:f>IF(U219+V219-W219&lt;=0,99,1+SUM(IF(AND(C219+D219-E219&gt;0,OR('Debt strategy'!$D$9&gt;'Debt strategy'!$D$12,AND('Debt strategy'!$D$9='Debt strategy'!$D$12,0&lt;3))),1,0),IF(AND(I219+J219-K219&gt;0,OR('Debt strategy'!$D$10&gt;'Debt strategy'!$D$12,AND('Debt strategy'!$D$10='Debt strategy'!$D$12,1&lt;3))),1,0),IF(AND(O219+P219-Q219&gt;0,OR('Debt strategy'!$D$11&gt;'Debt strategy'!$D$12,AND('Debt strategy'!$D$11='Debt strategy'!$D$12,2&lt;3))),1,0),IF(AND(AA219+AB219-AC219&gt;0,OR('Debt strategy'!$D$13&gt;'Debt strategy'!$D$12,AND('Debt strategy'!$D$13='Debt strategy'!$D$12,4&lt;3))),1,0)))</x:f>
        <x:v>99</x:v>
      </x:c>
      <x:c r="Y219" s="6" t="n">
        <x:f>IF('Debt strategy'!$C$16&gt;0,0,MIN(U219+V219-W219,MAX(0,'Debt strategy'!$C$5-SUM(E219,K219,Q219,W219,AC219)-SUM(IF(F219&lt;X219,C219+D219-E219,0),IF(L219&lt;X219,I219+J219-K219,0),IF(R219&lt;X219,O219+P219-Q219,0),IF(AD219&lt;X219,AA219+AB219-AC219,0)))))</x:f>
        <x:v>0</x:v>
      </x:c>
      <x:c r="Z219" s="6" t="n">
        <x:f>ROUND(MAX(0,U219+V219-W219-Y219),2)</x:f>
        <x:v>0</x:v>
      </x:c>
      <x:c r="AA219" s="6" t="n">
        <x:f>AF218</x:f>
        <x:v>0</x:v>
      </x:c>
      <x:c r="AB219" s="6" t="n">
        <x:f>ROUND(AA219*'Debt strategy'!$D$13/12,2)</x:f>
        <x:v>0</x:v>
      </x:c>
      <x:c r="AC219" s="6" t="n">
        <x:f>MIN(AA219+AB219,'Debt strategy'!$E$13)</x:f>
        <x:v>0</x:v>
      </x:c>
      <x:c r="AD219" s="27" t="n">
        <x:f>IF(AA219+AB219-AC219&lt;=0,99,1+SUM(IF(AND(C219+D219-E219&gt;0,OR('Debt strategy'!$D$9&gt;'Debt strategy'!$D$13,AND('Debt strategy'!$D$9='Debt strategy'!$D$13,0&lt;4))),1,0),IF(AND(I219+J219-K219&gt;0,OR('Debt strategy'!$D$10&gt;'Debt strategy'!$D$13,AND('Debt strategy'!$D$10='Debt strategy'!$D$13,1&lt;4))),1,0),IF(AND(O219+P219-Q219&gt;0,OR('Debt strategy'!$D$11&gt;'Debt strategy'!$D$13,AND('Debt strategy'!$D$11='Debt strategy'!$D$13,2&lt;4))),1,0),IF(AND(U219+V219-W219&gt;0,OR('Debt strategy'!$D$12&gt;'Debt strategy'!$D$13,AND('Debt strategy'!$D$12='Debt strategy'!$D$13,3&lt;4))),1,0)))</x:f>
        <x:v>99</x:v>
      </x:c>
      <x:c r="AE219" s="6" t="n">
        <x:f>IF('Debt strategy'!$C$16&gt;0,0,MIN(AA219+AB219-AC219,MAX(0,'Debt strategy'!$C$5-SUM(E219,K219,Q219,W219,AC219)-SUM(IF(F219&lt;AD219,C219+D219-E219,0),IF(L219&lt;AD219,I219+J219-K219,0),IF(R219&lt;AD219,O219+P219-Q219,0),IF(X219&lt;AD219,U219+V219-W219,0)))))</x:f>
        <x:v>0</x:v>
      </x:c>
      <x:c r="AF219" s="6" t="n">
        <x:f>ROUND(MAX(0,AA219+AB219-AC219-AE219),2)</x:f>
        <x:v>0</x:v>
      </x:c>
      <x:c r="AG219" s="6" t="n">
        <x:f>SUM(H219,N219,T219,Z219,AF219)</x:f>
        <x:v>0</x:v>
      </x:c>
      <x:c r="AH219" s="6" t="n">
        <x:f>SUM(D219,J219,P219,V219,AB219)+AH218</x:f>
        <x:v>1220.8400000000001</x:v>
      </x:c>
      <x:c r="AI219" s="2"/>
    </x:row>
    <x:row r="220" ht="23" customHeight="1">
      <x:c r="B220" s="2" t="n">
        <x:f>212</x:f>
        <x:v>212</x:v>
      </x:c>
      <x:c r="C220" s="6" t="n">
        <x:f>H219</x:f>
        <x:v>0</x:v>
      </x:c>
      <x:c r="D220" s="6" t="n">
        <x:f>ROUND(C220*'Debt strategy'!$D$9/12,2)</x:f>
        <x:v>0</x:v>
      </x:c>
      <x:c r="E220" s="6" t="n">
        <x:f>MIN(C220+D220,'Debt strategy'!$E$9)</x:f>
        <x:v>0</x:v>
      </x:c>
      <x:c r="F220" s="27" t="n">
        <x:f>IF(C220+D220-E220&lt;=0,99,1+SUM(IF(AND(I220+J220-K220&gt;0,OR('Debt strategy'!$D$10&gt;'Debt strategy'!$D$9,AND('Debt strategy'!$D$10='Debt strategy'!$D$9,1&lt;0))),1,0),IF(AND(O220+P220-Q220&gt;0,OR('Debt strategy'!$D$11&gt;'Debt strategy'!$D$9,AND('Debt strategy'!$D$11='Debt strategy'!$D$9,2&lt;0))),1,0),IF(AND(U220+V220-W220&gt;0,OR('Debt strategy'!$D$12&gt;'Debt strategy'!$D$9,AND('Debt strategy'!$D$12='Debt strategy'!$D$9,3&lt;0))),1,0),IF(AND(AA220+AB220-AC220&gt;0,OR('Debt strategy'!$D$13&gt;'Debt strategy'!$D$9,AND('Debt strategy'!$D$13='Debt strategy'!$D$9,4&lt;0))),1,0)))</x:f>
        <x:v>99</x:v>
      </x:c>
      <x:c r="G220" s="6" t="n">
        <x:f>IF('Debt strategy'!$C$16&gt;0,0,MIN(C220+D220-E220,MAX(0,'Debt strategy'!$C$5-SUM(E220,K220,Q220,W220,AC220)-SUM(IF(L220&lt;F220,I220+J220-K220,0),IF(R220&lt;F220,O220+P220-Q220,0),IF(X220&lt;F220,U220+V220-W220,0),IF(AD220&lt;F220,AA220+AB220-AC220,0)))))</x:f>
        <x:v>0</x:v>
      </x:c>
      <x:c r="H220" s="6" t="n">
        <x:f>ROUND(MAX(0,C220+D220-E220-G220),2)</x:f>
        <x:v>0</x:v>
      </x:c>
      <x:c r="I220" s="6" t="n">
        <x:f>N219</x:f>
        <x:v>0</x:v>
      </x:c>
      <x:c r="J220" s="6" t="n">
        <x:f>ROUND(I220*'Debt strategy'!$D$10/12,2)</x:f>
        <x:v>0</x:v>
      </x:c>
      <x:c r="K220" s="6" t="n">
        <x:f>MIN(I220+J220,'Debt strategy'!$E$10)</x:f>
        <x:v>0</x:v>
      </x:c>
      <x:c r="L220" s="27" t="n">
        <x:f>IF(I220+J220-K220&lt;=0,99,1+SUM(IF(AND(C220+D220-E220&gt;0,OR('Debt strategy'!$D$9&gt;'Debt strategy'!$D$10,AND('Debt strategy'!$D$9='Debt strategy'!$D$10,0&lt;1))),1,0),IF(AND(O220+P220-Q220&gt;0,OR('Debt strategy'!$D$11&gt;'Debt strategy'!$D$10,AND('Debt strategy'!$D$11='Debt strategy'!$D$10,2&lt;1))),1,0),IF(AND(U220+V220-W220&gt;0,OR('Debt strategy'!$D$12&gt;'Debt strategy'!$D$10,AND('Debt strategy'!$D$12='Debt strategy'!$D$10,3&lt;1))),1,0),IF(AND(AA220+AB220-AC220&gt;0,OR('Debt strategy'!$D$13&gt;'Debt strategy'!$D$10,AND('Debt strategy'!$D$13='Debt strategy'!$D$10,4&lt;1))),1,0)))</x:f>
        <x:v>99</x:v>
      </x:c>
      <x:c r="M220" s="6" t="n">
        <x:f>IF('Debt strategy'!$C$16&gt;0,0,MIN(I220+J220-K220,MAX(0,'Debt strategy'!$C$5-SUM(E220,K220,Q220,W220,AC220)-SUM(IF(F220&lt;L220,C220+D220-E220,0),IF(R220&lt;L220,O220+P220-Q220,0),IF(X220&lt;L220,U220+V220-W220,0),IF(AD220&lt;L220,AA220+AB220-AC220,0)))))</x:f>
        <x:v>0</x:v>
      </x:c>
      <x:c r="N220" s="6" t="n">
        <x:f>ROUND(MAX(0,I220+J220-K220-M220),2)</x:f>
        <x:v>0</x:v>
      </x:c>
      <x:c r="O220" s="6" t="n">
        <x:f>T219</x:f>
        <x:v>0</x:v>
      </x:c>
      <x:c r="P220" s="6" t="n">
        <x:f>ROUND(O220*'Debt strategy'!$D$11/12,2)</x:f>
        <x:v>0</x:v>
      </x:c>
      <x:c r="Q220" s="6" t="n">
        <x:f>MIN(O220+P220,'Debt strategy'!$E$11)</x:f>
        <x:v>0</x:v>
      </x:c>
      <x:c r="R220" s="27" t="n">
        <x:f>IF(O220+P220-Q220&lt;=0,99,1+SUM(IF(AND(C220+D220-E220&gt;0,OR('Debt strategy'!$D$9&gt;'Debt strategy'!$D$11,AND('Debt strategy'!$D$9='Debt strategy'!$D$11,0&lt;2))),1,0),IF(AND(I220+J220-K220&gt;0,OR('Debt strategy'!$D$10&gt;'Debt strategy'!$D$11,AND('Debt strategy'!$D$10='Debt strategy'!$D$11,1&lt;2))),1,0),IF(AND(U220+V220-W220&gt;0,OR('Debt strategy'!$D$12&gt;'Debt strategy'!$D$11,AND('Debt strategy'!$D$12='Debt strategy'!$D$11,3&lt;2))),1,0),IF(AND(AA220+AB220-AC220&gt;0,OR('Debt strategy'!$D$13&gt;'Debt strategy'!$D$11,AND('Debt strategy'!$D$13='Debt strategy'!$D$11,4&lt;2))),1,0)))</x:f>
        <x:v>99</x:v>
      </x:c>
      <x:c r="S220" s="6" t="n">
        <x:f>IF('Debt strategy'!$C$16&gt;0,0,MIN(O220+P220-Q220,MAX(0,'Debt strategy'!$C$5-SUM(E220,K220,Q220,W220,AC220)-SUM(IF(F220&lt;R220,C220+D220-E220,0),IF(L220&lt;R220,I220+J220-K220,0),IF(X220&lt;R220,U220+V220-W220,0),IF(AD220&lt;R220,AA220+AB220-AC220,0)))))</x:f>
        <x:v>0</x:v>
      </x:c>
      <x:c r="T220" s="6" t="n">
        <x:f>ROUND(MAX(0,O220+P220-Q220-S220),2)</x:f>
        <x:v>0</x:v>
      </x:c>
      <x:c r="U220" s="6" t="n">
        <x:f>Z219</x:f>
        <x:v>0</x:v>
      </x:c>
      <x:c r="V220" s="6" t="n">
        <x:f>ROUND(U220*'Debt strategy'!$D$12/12,2)</x:f>
        <x:v>0</x:v>
      </x:c>
      <x:c r="W220" s="6" t="n">
        <x:f>MIN(U220+V220,'Debt strategy'!$E$12)</x:f>
        <x:v>0</x:v>
      </x:c>
      <x:c r="X220" s="27" t="n">
        <x:f>IF(U220+V220-W220&lt;=0,99,1+SUM(IF(AND(C220+D220-E220&gt;0,OR('Debt strategy'!$D$9&gt;'Debt strategy'!$D$12,AND('Debt strategy'!$D$9='Debt strategy'!$D$12,0&lt;3))),1,0),IF(AND(I220+J220-K220&gt;0,OR('Debt strategy'!$D$10&gt;'Debt strategy'!$D$12,AND('Debt strategy'!$D$10='Debt strategy'!$D$12,1&lt;3))),1,0),IF(AND(O220+P220-Q220&gt;0,OR('Debt strategy'!$D$11&gt;'Debt strategy'!$D$12,AND('Debt strategy'!$D$11='Debt strategy'!$D$12,2&lt;3))),1,0),IF(AND(AA220+AB220-AC220&gt;0,OR('Debt strategy'!$D$13&gt;'Debt strategy'!$D$12,AND('Debt strategy'!$D$13='Debt strategy'!$D$12,4&lt;3))),1,0)))</x:f>
        <x:v>99</x:v>
      </x:c>
      <x:c r="Y220" s="6" t="n">
        <x:f>IF('Debt strategy'!$C$16&gt;0,0,MIN(U220+V220-W220,MAX(0,'Debt strategy'!$C$5-SUM(E220,K220,Q220,W220,AC220)-SUM(IF(F220&lt;X220,C220+D220-E220,0),IF(L220&lt;X220,I220+J220-K220,0),IF(R220&lt;X220,O220+P220-Q220,0),IF(AD220&lt;X220,AA220+AB220-AC220,0)))))</x:f>
        <x:v>0</x:v>
      </x:c>
      <x:c r="Z220" s="6" t="n">
        <x:f>ROUND(MAX(0,U220+V220-W220-Y220),2)</x:f>
        <x:v>0</x:v>
      </x:c>
      <x:c r="AA220" s="6" t="n">
        <x:f>AF219</x:f>
        <x:v>0</x:v>
      </x:c>
      <x:c r="AB220" s="6" t="n">
        <x:f>ROUND(AA220*'Debt strategy'!$D$13/12,2)</x:f>
        <x:v>0</x:v>
      </x:c>
      <x:c r="AC220" s="6" t="n">
        <x:f>MIN(AA220+AB220,'Debt strategy'!$E$13)</x:f>
        <x:v>0</x:v>
      </x:c>
      <x:c r="AD220" s="27" t="n">
        <x:f>IF(AA220+AB220-AC220&lt;=0,99,1+SUM(IF(AND(C220+D220-E220&gt;0,OR('Debt strategy'!$D$9&gt;'Debt strategy'!$D$13,AND('Debt strategy'!$D$9='Debt strategy'!$D$13,0&lt;4))),1,0),IF(AND(I220+J220-K220&gt;0,OR('Debt strategy'!$D$10&gt;'Debt strategy'!$D$13,AND('Debt strategy'!$D$10='Debt strategy'!$D$13,1&lt;4))),1,0),IF(AND(O220+P220-Q220&gt;0,OR('Debt strategy'!$D$11&gt;'Debt strategy'!$D$13,AND('Debt strategy'!$D$11='Debt strategy'!$D$13,2&lt;4))),1,0),IF(AND(U220+V220-W220&gt;0,OR('Debt strategy'!$D$12&gt;'Debt strategy'!$D$13,AND('Debt strategy'!$D$12='Debt strategy'!$D$13,3&lt;4))),1,0)))</x:f>
        <x:v>99</x:v>
      </x:c>
      <x:c r="AE220" s="6" t="n">
        <x:f>IF('Debt strategy'!$C$16&gt;0,0,MIN(AA220+AB220-AC220,MAX(0,'Debt strategy'!$C$5-SUM(E220,K220,Q220,W220,AC220)-SUM(IF(F220&lt;AD220,C220+D220-E220,0),IF(L220&lt;AD220,I220+J220-K220,0),IF(R220&lt;AD220,O220+P220-Q220,0),IF(X220&lt;AD220,U220+V220-W220,0)))))</x:f>
        <x:v>0</x:v>
      </x:c>
      <x:c r="AF220" s="6" t="n">
        <x:f>ROUND(MAX(0,AA220+AB220-AC220-AE220),2)</x:f>
        <x:v>0</x:v>
      </x:c>
      <x:c r="AG220" s="6" t="n">
        <x:f>SUM(H220,N220,T220,Z220,AF220)</x:f>
        <x:v>0</x:v>
      </x:c>
      <x:c r="AH220" s="6" t="n">
        <x:f>SUM(D220,J220,P220,V220,AB220)+AH219</x:f>
        <x:v>1220.8400000000001</x:v>
      </x:c>
      <x:c r="AI220" s="2"/>
    </x:row>
    <x:row r="221" ht="23" customHeight="1">
      <x:c r="B221" s="2" t="n">
        <x:f>213</x:f>
        <x:v>213</x:v>
      </x:c>
      <x:c r="C221" s="6" t="n">
        <x:f>H220</x:f>
        <x:v>0</x:v>
      </x:c>
      <x:c r="D221" s="6" t="n">
        <x:f>ROUND(C221*'Debt strategy'!$D$9/12,2)</x:f>
        <x:v>0</x:v>
      </x:c>
      <x:c r="E221" s="6" t="n">
        <x:f>MIN(C221+D221,'Debt strategy'!$E$9)</x:f>
        <x:v>0</x:v>
      </x:c>
      <x:c r="F221" s="27" t="n">
        <x:f>IF(C221+D221-E221&lt;=0,99,1+SUM(IF(AND(I221+J221-K221&gt;0,OR('Debt strategy'!$D$10&gt;'Debt strategy'!$D$9,AND('Debt strategy'!$D$10='Debt strategy'!$D$9,1&lt;0))),1,0),IF(AND(O221+P221-Q221&gt;0,OR('Debt strategy'!$D$11&gt;'Debt strategy'!$D$9,AND('Debt strategy'!$D$11='Debt strategy'!$D$9,2&lt;0))),1,0),IF(AND(U221+V221-W221&gt;0,OR('Debt strategy'!$D$12&gt;'Debt strategy'!$D$9,AND('Debt strategy'!$D$12='Debt strategy'!$D$9,3&lt;0))),1,0),IF(AND(AA221+AB221-AC221&gt;0,OR('Debt strategy'!$D$13&gt;'Debt strategy'!$D$9,AND('Debt strategy'!$D$13='Debt strategy'!$D$9,4&lt;0))),1,0)))</x:f>
        <x:v>99</x:v>
      </x:c>
      <x:c r="G221" s="6" t="n">
        <x:f>IF('Debt strategy'!$C$16&gt;0,0,MIN(C221+D221-E221,MAX(0,'Debt strategy'!$C$5-SUM(E221,K221,Q221,W221,AC221)-SUM(IF(L221&lt;F221,I221+J221-K221,0),IF(R221&lt;F221,O221+P221-Q221,0),IF(X221&lt;F221,U221+V221-W221,0),IF(AD221&lt;F221,AA221+AB221-AC221,0)))))</x:f>
        <x:v>0</x:v>
      </x:c>
      <x:c r="H221" s="6" t="n">
        <x:f>ROUND(MAX(0,C221+D221-E221-G221),2)</x:f>
        <x:v>0</x:v>
      </x:c>
      <x:c r="I221" s="6" t="n">
        <x:f>N220</x:f>
        <x:v>0</x:v>
      </x:c>
      <x:c r="J221" s="6" t="n">
        <x:f>ROUND(I221*'Debt strategy'!$D$10/12,2)</x:f>
        <x:v>0</x:v>
      </x:c>
      <x:c r="K221" s="6" t="n">
        <x:f>MIN(I221+J221,'Debt strategy'!$E$10)</x:f>
        <x:v>0</x:v>
      </x:c>
      <x:c r="L221" s="27" t="n">
        <x:f>IF(I221+J221-K221&lt;=0,99,1+SUM(IF(AND(C221+D221-E221&gt;0,OR('Debt strategy'!$D$9&gt;'Debt strategy'!$D$10,AND('Debt strategy'!$D$9='Debt strategy'!$D$10,0&lt;1))),1,0),IF(AND(O221+P221-Q221&gt;0,OR('Debt strategy'!$D$11&gt;'Debt strategy'!$D$10,AND('Debt strategy'!$D$11='Debt strategy'!$D$10,2&lt;1))),1,0),IF(AND(U221+V221-W221&gt;0,OR('Debt strategy'!$D$12&gt;'Debt strategy'!$D$10,AND('Debt strategy'!$D$12='Debt strategy'!$D$10,3&lt;1))),1,0),IF(AND(AA221+AB221-AC221&gt;0,OR('Debt strategy'!$D$13&gt;'Debt strategy'!$D$10,AND('Debt strategy'!$D$13='Debt strategy'!$D$10,4&lt;1))),1,0)))</x:f>
        <x:v>99</x:v>
      </x:c>
      <x:c r="M221" s="6" t="n">
        <x:f>IF('Debt strategy'!$C$16&gt;0,0,MIN(I221+J221-K221,MAX(0,'Debt strategy'!$C$5-SUM(E221,K221,Q221,W221,AC221)-SUM(IF(F221&lt;L221,C221+D221-E221,0),IF(R221&lt;L221,O221+P221-Q221,0),IF(X221&lt;L221,U221+V221-W221,0),IF(AD221&lt;L221,AA221+AB221-AC221,0)))))</x:f>
        <x:v>0</x:v>
      </x:c>
      <x:c r="N221" s="6" t="n">
        <x:f>ROUND(MAX(0,I221+J221-K221-M221),2)</x:f>
        <x:v>0</x:v>
      </x:c>
      <x:c r="O221" s="6" t="n">
        <x:f>T220</x:f>
        <x:v>0</x:v>
      </x:c>
      <x:c r="P221" s="6" t="n">
        <x:f>ROUND(O221*'Debt strategy'!$D$11/12,2)</x:f>
        <x:v>0</x:v>
      </x:c>
      <x:c r="Q221" s="6" t="n">
        <x:f>MIN(O221+P221,'Debt strategy'!$E$11)</x:f>
        <x:v>0</x:v>
      </x:c>
      <x:c r="R221" s="27" t="n">
        <x:f>IF(O221+P221-Q221&lt;=0,99,1+SUM(IF(AND(C221+D221-E221&gt;0,OR('Debt strategy'!$D$9&gt;'Debt strategy'!$D$11,AND('Debt strategy'!$D$9='Debt strategy'!$D$11,0&lt;2))),1,0),IF(AND(I221+J221-K221&gt;0,OR('Debt strategy'!$D$10&gt;'Debt strategy'!$D$11,AND('Debt strategy'!$D$10='Debt strategy'!$D$11,1&lt;2))),1,0),IF(AND(U221+V221-W221&gt;0,OR('Debt strategy'!$D$12&gt;'Debt strategy'!$D$11,AND('Debt strategy'!$D$12='Debt strategy'!$D$11,3&lt;2))),1,0),IF(AND(AA221+AB221-AC221&gt;0,OR('Debt strategy'!$D$13&gt;'Debt strategy'!$D$11,AND('Debt strategy'!$D$13='Debt strategy'!$D$11,4&lt;2))),1,0)))</x:f>
        <x:v>99</x:v>
      </x:c>
      <x:c r="S221" s="6" t="n">
        <x:f>IF('Debt strategy'!$C$16&gt;0,0,MIN(O221+P221-Q221,MAX(0,'Debt strategy'!$C$5-SUM(E221,K221,Q221,W221,AC221)-SUM(IF(F221&lt;R221,C221+D221-E221,0),IF(L221&lt;R221,I221+J221-K221,0),IF(X221&lt;R221,U221+V221-W221,0),IF(AD221&lt;R221,AA221+AB221-AC221,0)))))</x:f>
        <x:v>0</x:v>
      </x:c>
      <x:c r="T221" s="6" t="n">
        <x:f>ROUND(MAX(0,O221+P221-Q221-S221),2)</x:f>
        <x:v>0</x:v>
      </x:c>
      <x:c r="U221" s="6" t="n">
        <x:f>Z220</x:f>
        <x:v>0</x:v>
      </x:c>
      <x:c r="V221" s="6" t="n">
        <x:f>ROUND(U221*'Debt strategy'!$D$12/12,2)</x:f>
        <x:v>0</x:v>
      </x:c>
      <x:c r="W221" s="6" t="n">
        <x:f>MIN(U221+V221,'Debt strategy'!$E$12)</x:f>
        <x:v>0</x:v>
      </x:c>
      <x:c r="X221" s="27" t="n">
        <x:f>IF(U221+V221-W221&lt;=0,99,1+SUM(IF(AND(C221+D221-E221&gt;0,OR('Debt strategy'!$D$9&gt;'Debt strategy'!$D$12,AND('Debt strategy'!$D$9='Debt strategy'!$D$12,0&lt;3))),1,0),IF(AND(I221+J221-K221&gt;0,OR('Debt strategy'!$D$10&gt;'Debt strategy'!$D$12,AND('Debt strategy'!$D$10='Debt strategy'!$D$12,1&lt;3))),1,0),IF(AND(O221+P221-Q221&gt;0,OR('Debt strategy'!$D$11&gt;'Debt strategy'!$D$12,AND('Debt strategy'!$D$11='Debt strategy'!$D$12,2&lt;3))),1,0),IF(AND(AA221+AB221-AC221&gt;0,OR('Debt strategy'!$D$13&gt;'Debt strategy'!$D$12,AND('Debt strategy'!$D$13='Debt strategy'!$D$12,4&lt;3))),1,0)))</x:f>
        <x:v>99</x:v>
      </x:c>
      <x:c r="Y221" s="6" t="n">
        <x:f>IF('Debt strategy'!$C$16&gt;0,0,MIN(U221+V221-W221,MAX(0,'Debt strategy'!$C$5-SUM(E221,K221,Q221,W221,AC221)-SUM(IF(F221&lt;X221,C221+D221-E221,0),IF(L221&lt;X221,I221+J221-K221,0),IF(R221&lt;X221,O221+P221-Q221,0),IF(AD221&lt;X221,AA221+AB221-AC221,0)))))</x:f>
        <x:v>0</x:v>
      </x:c>
      <x:c r="Z221" s="6" t="n">
        <x:f>ROUND(MAX(0,U221+V221-W221-Y221),2)</x:f>
        <x:v>0</x:v>
      </x:c>
      <x:c r="AA221" s="6" t="n">
        <x:f>AF220</x:f>
        <x:v>0</x:v>
      </x:c>
      <x:c r="AB221" s="6" t="n">
        <x:f>ROUND(AA221*'Debt strategy'!$D$13/12,2)</x:f>
        <x:v>0</x:v>
      </x:c>
      <x:c r="AC221" s="6" t="n">
        <x:f>MIN(AA221+AB221,'Debt strategy'!$E$13)</x:f>
        <x:v>0</x:v>
      </x:c>
      <x:c r="AD221" s="27" t="n">
        <x:f>IF(AA221+AB221-AC221&lt;=0,99,1+SUM(IF(AND(C221+D221-E221&gt;0,OR('Debt strategy'!$D$9&gt;'Debt strategy'!$D$13,AND('Debt strategy'!$D$9='Debt strategy'!$D$13,0&lt;4))),1,0),IF(AND(I221+J221-K221&gt;0,OR('Debt strategy'!$D$10&gt;'Debt strategy'!$D$13,AND('Debt strategy'!$D$10='Debt strategy'!$D$13,1&lt;4))),1,0),IF(AND(O221+P221-Q221&gt;0,OR('Debt strategy'!$D$11&gt;'Debt strategy'!$D$13,AND('Debt strategy'!$D$11='Debt strategy'!$D$13,2&lt;4))),1,0),IF(AND(U221+V221-W221&gt;0,OR('Debt strategy'!$D$12&gt;'Debt strategy'!$D$13,AND('Debt strategy'!$D$12='Debt strategy'!$D$13,3&lt;4))),1,0)))</x:f>
        <x:v>99</x:v>
      </x:c>
      <x:c r="AE221" s="6" t="n">
        <x:f>IF('Debt strategy'!$C$16&gt;0,0,MIN(AA221+AB221-AC221,MAX(0,'Debt strategy'!$C$5-SUM(E221,K221,Q221,W221,AC221)-SUM(IF(F221&lt;AD221,C221+D221-E221,0),IF(L221&lt;AD221,I221+J221-K221,0),IF(R221&lt;AD221,O221+P221-Q221,0),IF(X221&lt;AD221,U221+V221-W221,0)))))</x:f>
        <x:v>0</x:v>
      </x:c>
      <x:c r="AF221" s="6" t="n">
        <x:f>ROUND(MAX(0,AA221+AB221-AC221-AE221),2)</x:f>
        <x:v>0</x:v>
      </x:c>
      <x:c r="AG221" s="6" t="n">
        <x:f>SUM(H221,N221,T221,Z221,AF221)</x:f>
        <x:v>0</x:v>
      </x:c>
      <x:c r="AH221" s="6" t="n">
        <x:f>SUM(D221,J221,P221,V221,AB221)+AH220</x:f>
        <x:v>1220.8400000000001</x:v>
      </x:c>
      <x:c r="AI221" s="2"/>
    </x:row>
    <x:row r="222" ht="23" customHeight="1">
      <x:c r="B222" s="2" t="n">
        <x:f>214</x:f>
        <x:v>214</x:v>
      </x:c>
      <x:c r="C222" s="6" t="n">
        <x:f>H221</x:f>
        <x:v>0</x:v>
      </x:c>
      <x:c r="D222" s="6" t="n">
        <x:f>ROUND(C222*'Debt strategy'!$D$9/12,2)</x:f>
        <x:v>0</x:v>
      </x:c>
      <x:c r="E222" s="6" t="n">
        <x:f>MIN(C222+D222,'Debt strategy'!$E$9)</x:f>
        <x:v>0</x:v>
      </x:c>
      <x:c r="F222" s="27" t="n">
        <x:f>IF(C222+D222-E222&lt;=0,99,1+SUM(IF(AND(I222+J222-K222&gt;0,OR('Debt strategy'!$D$10&gt;'Debt strategy'!$D$9,AND('Debt strategy'!$D$10='Debt strategy'!$D$9,1&lt;0))),1,0),IF(AND(O222+P222-Q222&gt;0,OR('Debt strategy'!$D$11&gt;'Debt strategy'!$D$9,AND('Debt strategy'!$D$11='Debt strategy'!$D$9,2&lt;0))),1,0),IF(AND(U222+V222-W222&gt;0,OR('Debt strategy'!$D$12&gt;'Debt strategy'!$D$9,AND('Debt strategy'!$D$12='Debt strategy'!$D$9,3&lt;0))),1,0),IF(AND(AA222+AB222-AC222&gt;0,OR('Debt strategy'!$D$13&gt;'Debt strategy'!$D$9,AND('Debt strategy'!$D$13='Debt strategy'!$D$9,4&lt;0))),1,0)))</x:f>
        <x:v>99</x:v>
      </x:c>
      <x:c r="G222" s="6" t="n">
        <x:f>IF('Debt strategy'!$C$16&gt;0,0,MIN(C222+D222-E222,MAX(0,'Debt strategy'!$C$5-SUM(E222,K222,Q222,W222,AC222)-SUM(IF(L222&lt;F222,I222+J222-K222,0),IF(R222&lt;F222,O222+P222-Q222,0),IF(X222&lt;F222,U222+V222-W222,0),IF(AD222&lt;F222,AA222+AB222-AC222,0)))))</x:f>
        <x:v>0</x:v>
      </x:c>
      <x:c r="H222" s="6" t="n">
        <x:f>ROUND(MAX(0,C222+D222-E222-G222),2)</x:f>
        <x:v>0</x:v>
      </x:c>
      <x:c r="I222" s="6" t="n">
        <x:f>N221</x:f>
        <x:v>0</x:v>
      </x:c>
      <x:c r="J222" s="6" t="n">
        <x:f>ROUND(I222*'Debt strategy'!$D$10/12,2)</x:f>
        <x:v>0</x:v>
      </x:c>
      <x:c r="K222" s="6" t="n">
        <x:f>MIN(I222+J222,'Debt strategy'!$E$10)</x:f>
        <x:v>0</x:v>
      </x:c>
      <x:c r="L222" s="27" t="n">
        <x:f>IF(I222+J222-K222&lt;=0,99,1+SUM(IF(AND(C222+D222-E222&gt;0,OR('Debt strategy'!$D$9&gt;'Debt strategy'!$D$10,AND('Debt strategy'!$D$9='Debt strategy'!$D$10,0&lt;1))),1,0),IF(AND(O222+P222-Q222&gt;0,OR('Debt strategy'!$D$11&gt;'Debt strategy'!$D$10,AND('Debt strategy'!$D$11='Debt strategy'!$D$10,2&lt;1))),1,0),IF(AND(U222+V222-W222&gt;0,OR('Debt strategy'!$D$12&gt;'Debt strategy'!$D$10,AND('Debt strategy'!$D$12='Debt strategy'!$D$10,3&lt;1))),1,0),IF(AND(AA222+AB222-AC222&gt;0,OR('Debt strategy'!$D$13&gt;'Debt strategy'!$D$10,AND('Debt strategy'!$D$13='Debt strategy'!$D$10,4&lt;1))),1,0)))</x:f>
        <x:v>99</x:v>
      </x:c>
      <x:c r="M222" s="6" t="n">
        <x:f>IF('Debt strategy'!$C$16&gt;0,0,MIN(I222+J222-K222,MAX(0,'Debt strategy'!$C$5-SUM(E222,K222,Q222,W222,AC222)-SUM(IF(F222&lt;L222,C222+D222-E222,0),IF(R222&lt;L222,O222+P222-Q222,0),IF(X222&lt;L222,U222+V222-W222,0),IF(AD222&lt;L222,AA222+AB222-AC222,0)))))</x:f>
        <x:v>0</x:v>
      </x:c>
      <x:c r="N222" s="6" t="n">
        <x:f>ROUND(MAX(0,I222+J222-K222-M222),2)</x:f>
        <x:v>0</x:v>
      </x:c>
      <x:c r="O222" s="6" t="n">
        <x:f>T221</x:f>
        <x:v>0</x:v>
      </x:c>
      <x:c r="P222" s="6" t="n">
        <x:f>ROUND(O222*'Debt strategy'!$D$11/12,2)</x:f>
        <x:v>0</x:v>
      </x:c>
      <x:c r="Q222" s="6" t="n">
        <x:f>MIN(O222+P222,'Debt strategy'!$E$11)</x:f>
        <x:v>0</x:v>
      </x:c>
      <x:c r="R222" s="27" t="n">
        <x:f>IF(O222+P222-Q222&lt;=0,99,1+SUM(IF(AND(C222+D222-E222&gt;0,OR('Debt strategy'!$D$9&gt;'Debt strategy'!$D$11,AND('Debt strategy'!$D$9='Debt strategy'!$D$11,0&lt;2))),1,0),IF(AND(I222+J222-K222&gt;0,OR('Debt strategy'!$D$10&gt;'Debt strategy'!$D$11,AND('Debt strategy'!$D$10='Debt strategy'!$D$11,1&lt;2))),1,0),IF(AND(U222+V222-W222&gt;0,OR('Debt strategy'!$D$12&gt;'Debt strategy'!$D$11,AND('Debt strategy'!$D$12='Debt strategy'!$D$11,3&lt;2))),1,0),IF(AND(AA222+AB222-AC222&gt;0,OR('Debt strategy'!$D$13&gt;'Debt strategy'!$D$11,AND('Debt strategy'!$D$13='Debt strategy'!$D$11,4&lt;2))),1,0)))</x:f>
        <x:v>99</x:v>
      </x:c>
      <x:c r="S222" s="6" t="n">
        <x:f>IF('Debt strategy'!$C$16&gt;0,0,MIN(O222+P222-Q222,MAX(0,'Debt strategy'!$C$5-SUM(E222,K222,Q222,W222,AC222)-SUM(IF(F222&lt;R222,C222+D222-E222,0),IF(L222&lt;R222,I222+J222-K222,0),IF(X222&lt;R222,U222+V222-W222,0),IF(AD222&lt;R222,AA222+AB222-AC222,0)))))</x:f>
        <x:v>0</x:v>
      </x:c>
      <x:c r="T222" s="6" t="n">
        <x:f>ROUND(MAX(0,O222+P222-Q222-S222),2)</x:f>
        <x:v>0</x:v>
      </x:c>
      <x:c r="U222" s="6" t="n">
        <x:f>Z221</x:f>
        <x:v>0</x:v>
      </x:c>
      <x:c r="V222" s="6" t="n">
        <x:f>ROUND(U222*'Debt strategy'!$D$12/12,2)</x:f>
        <x:v>0</x:v>
      </x:c>
      <x:c r="W222" s="6" t="n">
        <x:f>MIN(U222+V222,'Debt strategy'!$E$12)</x:f>
        <x:v>0</x:v>
      </x:c>
      <x:c r="X222" s="27" t="n">
        <x:f>IF(U222+V222-W222&lt;=0,99,1+SUM(IF(AND(C222+D222-E222&gt;0,OR('Debt strategy'!$D$9&gt;'Debt strategy'!$D$12,AND('Debt strategy'!$D$9='Debt strategy'!$D$12,0&lt;3))),1,0),IF(AND(I222+J222-K222&gt;0,OR('Debt strategy'!$D$10&gt;'Debt strategy'!$D$12,AND('Debt strategy'!$D$10='Debt strategy'!$D$12,1&lt;3))),1,0),IF(AND(O222+P222-Q222&gt;0,OR('Debt strategy'!$D$11&gt;'Debt strategy'!$D$12,AND('Debt strategy'!$D$11='Debt strategy'!$D$12,2&lt;3))),1,0),IF(AND(AA222+AB222-AC222&gt;0,OR('Debt strategy'!$D$13&gt;'Debt strategy'!$D$12,AND('Debt strategy'!$D$13='Debt strategy'!$D$12,4&lt;3))),1,0)))</x:f>
        <x:v>99</x:v>
      </x:c>
      <x:c r="Y222" s="6" t="n">
        <x:f>IF('Debt strategy'!$C$16&gt;0,0,MIN(U222+V222-W222,MAX(0,'Debt strategy'!$C$5-SUM(E222,K222,Q222,W222,AC222)-SUM(IF(F222&lt;X222,C222+D222-E222,0),IF(L222&lt;X222,I222+J222-K222,0),IF(R222&lt;X222,O222+P222-Q222,0),IF(AD222&lt;X222,AA222+AB222-AC222,0)))))</x:f>
        <x:v>0</x:v>
      </x:c>
      <x:c r="Z222" s="6" t="n">
        <x:f>ROUND(MAX(0,U222+V222-W222-Y222),2)</x:f>
        <x:v>0</x:v>
      </x:c>
      <x:c r="AA222" s="6" t="n">
        <x:f>AF221</x:f>
        <x:v>0</x:v>
      </x:c>
      <x:c r="AB222" s="6" t="n">
        <x:f>ROUND(AA222*'Debt strategy'!$D$13/12,2)</x:f>
        <x:v>0</x:v>
      </x:c>
      <x:c r="AC222" s="6" t="n">
        <x:f>MIN(AA222+AB222,'Debt strategy'!$E$13)</x:f>
        <x:v>0</x:v>
      </x:c>
      <x:c r="AD222" s="27" t="n">
        <x:f>IF(AA222+AB222-AC222&lt;=0,99,1+SUM(IF(AND(C222+D222-E222&gt;0,OR('Debt strategy'!$D$9&gt;'Debt strategy'!$D$13,AND('Debt strategy'!$D$9='Debt strategy'!$D$13,0&lt;4))),1,0),IF(AND(I222+J222-K222&gt;0,OR('Debt strategy'!$D$10&gt;'Debt strategy'!$D$13,AND('Debt strategy'!$D$10='Debt strategy'!$D$13,1&lt;4))),1,0),IF(AND(O222+P222-Q222&gt;0,OR('Debt strategy'!$D$11&gt;'Debt strategy'!$D$13,AND('Debt strategy'!$D$11='Debt strategy'!$D$13,2&lt;4))),1,0),IF(AND(U222+V222-W222&gt;0,OR('Debt strategy'!$D$12&gt;'Debt strategy'!$D$13,AND('Debt strategy'!$D$12='Debt strategy'!$D$13,3&lt;4))),1,0)))</x:f>
        <x:v>99</x:v>
      </x:c>
      <x:c r="AE222" s="6" t="n">
        <x:f>IF('Debt strategy'!$C$16&gt;0,0,MIN(AA222+AB222-AC222,MAX(0,'Debt strategy'!$C$5-SUM(E222,K222,Q222,W222,AC222)-SUM(IF(F222&lt;AD222,C222+D222-E222,0),IF(L222&lt;AD222,I222+J222-K222,0),IF(R222&lt;AD222,O222+P222-Q222,0),IF(X222&lt;AD222,U222+V222-W222,0)))))</x:f>
        <x:v>0</x:v>
      </x:c>
      <x:c r="AF222" s="6" t="n">
        <x:f>ROUND(MAX(0,AA222+AB222-AC222-AE222),2)</x:f>
        <x:v>0</x:v>
      </x:c>
      <x:c r="AG222" s="6" t="n">
        <x:f>SUM(H222,N222,T222,Z222,AF222)</x:f>
        <x:v>0</x:v>
      </x:c>
      <x:c r="AH222" s="6" t="n">
        <x:f>SUM(D222,J222,P222,V222,AB222)+AH221</x:f>
        <x:v>1220.8400000000001</x:v>
      </x:c>
      <x:c r="AI222" s="2"/>
    </x:row>
    <x:row r="223" ht="23" customHeight="1">
      <x:c r="B223" s="2" t="n">
        <x:f>215</x:f>
        <x:v>215</x:v>
      </x:c>
      <x:c r="C223" s="6" t="n">
        <x:f>H222</x:f>
        <x:v>0</x:v>
      </x:c>
      <x:c r="D223" s="6" t="n">
        <x:f>ROUND(C223*'Debt strategy'!$D$9/12,2)</x:f>
        <x:v>0</x:v>
      </x:c>
      <x:c r="E223" s="6" t="n">
        <x:f>MIN(C223+D223,'Debt strategy'!$E$9)</x:f>
        <x:v>0</x:v>
      </x:c>
      <x:c r="F223" s="27" t="n">
        <x:f>IF(C223+D223-E223&lt;=0,99,1+SUM(IF(AND(I223+J223-K223&gt;0,OR('Debt strategy'!$D$10&gt;'Debt strategy'!$D$9,AND('Debt strategy'!$D$10='Debt strategy'!$D$9,1&lt;0))),1,0),IF(AND(O223+P223-Q223&gt;0,OR('Debt strategy'!$D$11&gt;'Debt strategy'!$D$9,AND('Debt strategy'!$D$11='Debt strategy'!$D$9,2&lt;0))),1,0),IF(AND(U223+V223-W223&gt;0,OR('Debt strategy'!$D$12&gt;'Debt strategy'!$D$9,AND('Debt strategy'!$D$12='Debt strategy'!$D$9,3&lt;0))),1,0),IF(AND(AA223+AB223-AC223&gt;0,OR('Debt strategy'!$D$13&gt;'Debt strategy'!$D$9,AND('Debt strategy'!$D$13='Debt strategy'!$D$9,4&lt;0))),1,0)))</x:f>
        <x:v>99</x:v>
      </x:c>
      <x:c r="G223" s="6" t="n">
        <x:f>IF('Debt strategy'!$C$16&gt;0,0,MIN(C223+D223-E223,MAX(0,'Debt strategy'!$C$5-SUM(E223,K223,Q223,W223,AC223)-SUM(IF(L223&lt;F223,I223+J223-K223,0),IF(R223&lt;F223,O223+P223-Q223,0),IF(X223&lt;F223,U223+V223-W223,0),IF(AD223&lt;F223,AA223+AB223-AC223,0)))))</x:f>
        <x:v>0</x:v>
      </x:c>
      <x:c r="H223" s="6" t="n">
        <x:f>ROUND(MAX(0,C223+D223-E223-G223),2)</x:f>
        <x:v>0</x:v>
      </x:c>
      <x:c r="I223" s="6" t="n">
        <x:f>N222</x:f>
        <x:v>0</x:v>
      </x:c>
      <x:c r="J223" s="6" t="n">
        <x:f>ROUND(I223*'Debt strategy'!$D$10/12,2)</x:f>
        <x:v>0</x:v>
      </x:c>
      <x:c r="K223" s="6" t="n">
        <x:f>MIN(I223+J223,'Debt strategy'!$E$10)</x:f>
        <x:v>0</x:v>
      </x:c>
      <x:c r="L223" s="27" t="n">
        <x:f>IF(I223+J223-K223&lt;=0,99,1+SUM(IF(AND(C223+D223-E223&gt;0,OR('Debt strategy'!$D$9&gt;'Debt strategy'!$D$10,AND('Debt strategy'!$D$9='Debt strategy'!$D$10,0&lt;1))),1,0),IF(AND(O223+P223-Q223&gt;0,OR('Debt strategy'!$D$11&gt;'Debt strategy'!$D$10,AND('Debt strategy'!$D$11='Debt strategy'!$D$10,2&lt;1))),1,0),IF(AND(U223+V223-W223&gt;0,OR('Debt strategy'!$D$12&gt;'Debt strategy'!$D$10,AND('Debt strategy'!$D$12='Debt strategy'!$D$10,3&lt;1))),1,0),IF(AND(AA223+AB223-AC223&gt;0,OR('Debt strategy'!$D$13&gt;'Debt strategy'!$D$10,AND('Debt strategy'!$D$13='Debt strategy'!$D$10,4&lt;1))),1,0)))</x:f>
        <x:v>99</x:v>
      </x:c>
      <x:c r="M223" s="6" t="n">
        <x:f>IF('Debt strategy'!$C$16&gt;0,0,MIN(I223+J223-K223,MAX(0,'Debt strategy'!$C$5-SUM(E223,K223,Q223,W223,AC223)-SUM(IF(F223&lt;L223,C223+D223-E223,0),IF(R223&lt;L223,O223+P223-Q223,0),IF(X223&lt;L223,U223+V223-W223,0),IF(AD223&lt;L223,AA223+AB223-AC223,0)))))</x:f>
        <x:v>0</x:v>
      </x:c>
      <x:c r="N223" s="6" t="n">
        <x:f>ROUND(MAX(0,I223+J223-K223-M223),2)</x:f>
        <x:v>0</x:v>
      </x:c>
      <x:c r="O223" s="6" t="n">
        <x:f>T222</x:f>
        <x:v>0</x:v>
      </x:c>
      <x:c r="P223" s="6" t="n">
        <x:f>ROUND(O223*'Debt strategy'!$D$11/12,2)</x:f>
        <x:v>0</x:v>
      </x:c>
      <x:c r="Q223" s="6" t="n">
        <x:f>MIN(O223+P223,'Debt strategy'!$E$11)</x:f>
        <x:v>0</x:v>
      </x:c>
      <x:c r="R223" s="27" t="n">
        <x:f>IF(O223+P223-Q223&lt;=0,99,1+SUM(IF(AND(C223+D223-E223&gt;0,OR('Debt strategy'!$D$9&gt;'Debt strategy'!$D$11,AND('Debt strategy'!$D$9='Debt strategy'!$D$11,0&lt;2))),1,0),IF(AND(I223+J223-K223&gt;0,OR('Debt strategy'!$D$10&gt;'Debt strategy'!$D$11,AND('Debt strategy'!$D$10='Debt strategy'!$D$11,1&lt;2))),1,0),IF(AND(U223+V223-W223&gt;0,OR('Debt strategy'!$D$12&gt;'Debt strategy'!$D$11,AND('Debt strategy'!$D$12='Debt strategy'!$D$11,3&lt;2))),1,0),IF(AND(AA223+AB223-AC223&gt;0,OR('Debt strategy'!$D$13&gt;'Debt strategy'!$D$11,AND('Debt strategy'!$D$13='Debt strategy'!$D$11,4&lt;2))),1,0)))</x:f>
        <x:v>99</x:v>
      </x:c>
      <x:c r="S223" s="6" t="n">
        <x:f>IF('Debt strategy'!$C$16&gt;0,0,MIN(O223+P223-Q223,MAX(0,'Debt strategy'!$C$5-SUM(E223,K223,Q223,W223,AC223)-SUM(IF(F223&lt;R223,C223+D223-E223,0),IF(L223&lt;R223,I223+J223-K223,0),IF(X223&lt;R223,U223+V223-W223,0),IF(AD223&lt;R223,AA223+AB223-AC223,0)))))</x:f>
        <x:v>0</x:v>
      </x:c>
      <x:c r="T223" s="6" t="n">
        <x:f>ROUND(MAX(0,O223+P223-Q223-S223),2)</x:f>
        <x:v>0</x:v>
      </x:c>
      <x:c r="U223" s="6" t="n">
        <x:f>Z222</x:f>
        <x:v>0</x:v>
      </x:c>
      <x:c r="V223" s="6" t="n">
        <x:f>ROUND(U223*'Debt strategy'!$D$12/12,2)</x:f>
        <x:v>0</x:v>
      </x:c>
      <x:c r="W223" s="6" t="n">
        <x:f>MIN(U223+V223,'Debt strategy'!$E$12)</x:f>
        <x:v>0</x:v>
      </x:c>
      <x:c r="X223" s="27" t="n">
        <x:f>IF(U223+V223-W223&lt;=0,99,1+SUM(IF(AND(C223+D223-E223&gt;0,OR('Debt strategy'!$D$9&gt;'Debt strategy'!$D$12,AND('Debt strategy'!$D$9='Debt strategy'!$D$12,0&lt;3))),1,0),IF(AND(I223+J223-K223&gt;0,OR('Debt strategy'!$D$10&gt;'Debt strategy'!$D$12,AND('Debt strategy'!$D$10='Debt strategy'!$D$12,1&lt;3))),1,0),IF(AND(O223+P223-Q223&gt;0,OR('Debt strategy'!$D$11&gt;'Debt strategy'!$D$12,AND('Debt strategy'!$D$11='Debt strategy'!$D$12,2&lt;3))),1,0),IF(AND(AA223+AB223-AC223&gt;0,OR('Debt strategy'!$D$13&gt;'Debt strategy'!$D$12,AND('Debt strategy'!$D$13='Debt strategy'!$D$12,4&lt;3))),1,0)))</x:f>
        <x:v>99</x:v>
      </x:c>
      <x:c r="Y223" s="6" t="n">
        <x:f>IF('Debt strategy'!$C$16&gt;0,0,MIN(U223+V223-W223,MAX(0,'Debt strategy'!$C$5-SUM(E223,K223,Q223,W223,AC223)-SUM(IF(F223&lt;X223,C223+D223-E223,0),IF(L223&lt;X223,I223+J223-K223,0),IF(R223&lt;X223,O223+P223-Q223,0),IF(AD223&lt;X223,AA223+AB223-AC223,0)))))</x:f>
        <x:v>0</x:v>
      </x:c>
      <x:c r="Z223" s="6" t="n">
        <x:f>ROUND(MAX(0,U223+V223-W223-Y223),2)</x:f>
        <x:v>0</x:v>
      </x:c>
      <x:c r="AA223" s="6" t="n">
        <x:f>AF222</x:f>
        <x:v>0</x:v>
      </x:c>
      <x:c r="AB223" s="6" t="n">
        <x:f>ROUND(AA223*'Debt strategy'!$D$13/12,2)</x:f>
        <x:v>0</x:v>
      </x:c>
      <x:c r="AC223" s="6" t="n">
        <x:f>MIN(AA223+AB223,'Debt strategy'!$E$13)</x:f>
        <x:v>0</x:v>
      </x:c>
      <x:c r="AD223" s="27" t="n">
        <x:f>IF(AA223+AB223-AC223&lt;=0,99,1+SUM(IF(AND(C223+D223-E223&gt;0,OR('Debt strategy'!$D$9&gt;'Debt strategy'!$D$13,AND('Debt strategy'!$D$9='Debt strategy'!$D$13,0&lt;4))),1,0),IF(AND(I223+J223-K223&gt;0,OR('Debt strategy'!$D$10&gt;'Debt strategy'!$D$13,AND('Debt strategy'!$D$10='Debt strategy'!$D$13,1&lt;4))),1,0),IF(AND(O223+P223-Q223&gt;0,OR('Debt strategy'!$D$11&gt;'Debt strategy'!$D$13,AND('Debt strategy'!$D$11='Debt strategy'!$D$13,2&lt;4))),1,0),IF(AND(U223+V223-W223&gt;0,OR('Debt strategy'!$D$12&gt;'Debt strategy'!$D$13,AND('Debt strategy'!$D$12='Debt strategy'!$D$13,3&lt;4))),1,0)))</x:f>
        <x:v>99</x:v>
      </x:c>
      <x:c r="AE223" s="6" t="n">
        <x:f>IF('Debt strategy'!$C$16&gt;0,0,MIN(AA223+AB223-AC223,MAX(0,'Debt strategy'!$C$5-SUM(E223,K223,Q223,W223,AC223)-SUM(IF(F223&lt;AD223,C223+D223-E223,0),IF(L223&lt;AD223,I223+J223-K223,0),IF(R223&lt;AD223,O223+P223-Q223,0),IF(X223&lt;AD223,U223+V223-W223,0)))))</x:f>
        <x:v>0</x:v>
      </x:c>
      <x:c r="AF223" s="6" t="n">
        <x:f>ROUND(MAX(0,AA223+AB223-AC223-AE223),2)</x:f>
        <x:v>0</x:v>
      </x:c>
      <x:c r="AG223" s="6" t="n">
        <x:f>SUM(H223,N223,T223,Z223,AF223)</x:f>
        <x:v>0</x:v>
      </x:c>
      <x:c r="AH223" s="6" t="n">
        <x:f>SUM(D223,J223,P223,V223,AB223)+AH222</x:f>
        <x:v>1220.8400000000001</x:v>
      </x:c>
      <x:c r="AI223" s="2"/>
    </x:row>
    <x:row r="224" ht="23" customHeight="1">
      <x:c r="B224" s="2" t="n">
        <x:f>216</x:f>
        <x:v>216</x:v>
      </x:c>
      <x:c r="C224" s="6" t="n">
        <x:f>H223</x:f>
        <x:v>0</x:v>
      </x:c>
      <x:c r="D224" s="6" t="n">
        <x:f>ROUND(C224*'Debt strategy'!$D$9/12,2)</x:f>
        <x:v>0</x:v>
      </x:c>
      <x:c r="E224" s="6" t="n">
        <x:f>MIN(C224+D224,'Debt strategy'!$E$9)</x:f>
        <x:v>0</x:v>
      </x:c>
      <x:c r="F224" s="27" t="n">
        <x:f>IF(C224+D224-E224&lt;=0,99,1+SUM(IF(AND(I224+J224-K224&gt;0,OR('Debt strategy'!$D$10&gt;'Debt strategy'!$D$9,AND('Debt strategy'!$D$10='Debt strategy'!$D$9,1&lt;0))),1,0),IF(AND(O224+P224-Q224&gt;0,OR('Debt strategy'!$D$11&gt;'Debt strategy'!$D$9,AND('Debt strategy'!$D$11='Debt strategy'!$D$9,2&lt;0))),1,0),IF(AND(U224+V224-W224&gt;0,OR('Debt strategy'!$D$12&gt;'Debt strategy'!$D$9,AND('Debt strategy'!$D$12='Debt strategy'!$D$9,3&lt;0))),1,0),IF(AND(AA224+AB224-AC224&gt;0,OR('Debt strategy'!$D$13&gt;'Debt strategy'!$D$9,AND('Debt strategy'!$D$13='Debt strategy'!$D$9,4&lt;0))),1,0)))</x:f>
        <x:v>99</x:v>
      </x:c>
      <x:c r="G224" s="6" t="n">
        <x:f>IF('Debt strategy'!$C$16&gt;0,0,MIN(C224+D224-E224,MAX(0,'Debt strategy'!$C$5-SUM(E224,K224,Q224,W224,AC224)-SUM(IF(L224&lt;F224,I224+J224-K224,0),IF(R224&lt;F224,O224+P224-Q224,0),IF(X224&lt;F224,U224+V224-W224,0),IF(AD224&lt;F224,AA224+AB224-AC224,0)))))</x:f>
        <x:v>0</x:v>
      </x:c>
      <x:c r="H224" s="6" t="n">
        <x:f>ROUND(MAX(0,C224+D224-E224-G224),2)</x:f>
        <x:v>0</x:v>
      </x:c>
      <x:c r="I224" s="6" t="n">
        <x:f>N223</x:f>
        <x:v>0</x:v>
      </x:c>
      <x:c r="J224" s="6" t="n">
        <x:f>ROUND(I224*'Debt strategy'!$D$10/12,2)</x:f>
        <x:v>0</x:v>
      </x:c>
      <x:c r="K224" s="6" t="n">
        <x:f>MIN(I224+J224,'Debt strategy'!$E$10)</x:f>
        <x:v>0</x:v>
      </x:c>
      <x:c r="L224" s="27" t="n">
        <x:f>IF(I224+J224-K224&lt;=0,99,1+SUM(IF(AND(C224+D224-E224&gt;0,OR('Debt strategy'!$D$9&gt;'Debt strategy'!$D$10,AND('Debt strategy'!$D$9='Debt strategy'!$D$10,0&lt;1))),1,0),IF(AND(O224+P224-Q224&gt;0,OR('Debt strategy'!$D$11&gt;'Debt strategy'!$D$10,AND('Debt strategy'!$D$11='Debt strategy'!$D$10,2&lt;1))),1,0),IF(AND(U224+V224-W224&gt;0,OR('Debt strategy'!$D$12&gt;'Debt strategy'!$D$10,AND('Debt strategy'!$D$12='Debt strategy'!$D$10,3&lt;1))),1,0),IF(AND(AA224+AB224-AC224&gt;0,OR('Debt strategy'!$D$13&gt;'Debt strategy'!$D$10,AND('Debt strategy'!$D$13='Debt strategy'!$D$10,4&lt;1))),1,0)))</x:f>
        <x:v>99</x:v>
      </x:c>
      <x:c r="M224" s="6" t="n">
        <x:f>IF('Debt strategy'!$C$16&gt;0,0,MIN(I224+J224-K224,MAX(0,'Debt strategy'!$C$5-SUM(E224,K224,Q224,W224,AC224)-SUM(IF(F224&lt;L224,C224+D224-E224,0),IF(R224&lt;L224,O224+P224-Q224,0),IF(X224&lt;L224,U224+V224-W224,0),IF(AD224&lt;L224,AA224+AB224-AC224,0)))))</x:f>
        <x:v>0</x:v>
      </x:c>
      <x:c r="N224" s="6" t="n">
        <x:f>ROUND(MAX(0,I224+J224-K224-M224),2)</x:f>
        <x:v>0</x:v>
      </x:c>
      <x:c r="O224" s="6" t="n">
        <x:f>T223</x:f>
        <x:v>0</x:v>
      </x:c>
      <x:c r="P224" s="6" t="n">
        <x:f>ROUND(O224*'Debt strategy'!$D$11/12,2)</x:f>
        <x:v>0</x:v>
      </x:c>
      <x:c r="Q224" s="6" t="n">
        <x:f>MIN(O224+P224,'Debt strategy'!$E$11)</x:f>
        <x:v>0</x:v>
      </x:c>
      <x:c r="R224" s="27" t="n">
        <x:f>IF(O224+P224-Q224&lt;=0,99,1+SUM(IF(AND(C224+D224-E224&gt;0,OR('Debt strategy'!$D$9&gt;'Debt strategy'!$D$11,AND('Debt strategy'!$D$9='Debt strategy'!$D$11,0&lt;2))),1,0),IF(AND(I224+J224-K224&gt;0,OR('Debt strategy'!$D$10&gt;'Debt strategy'!$D$11,AND('Debt strategy'!$D$10='Debt strategy'!$D$11,1&lt;2))),1,0),IF(AND(U224+V224-W224&gt;0,OR('Debt strategy'!$D$12&gt;'Debt strategy'!$D$11,AND('Debt strategy'!$D$12='Debt strategy'!$D$11,3&lt;2))),1,0),IF(AND(AA224+AB224-AC224&gt;0,OR('Debt strategy'!$D$13&gt;'Debt strategy'!$D$11,AND('Debt strategy'!$D$13='Debt strategy'!$D$11,4&lt;2))),1,0)))</x:f>
        <x:v>99</x:v>
      </x:c>
      <x:c r="S224" s="6" t="n">
        <x:f>IF('Debt strategy'!$C$16&gt;0,0,MIN(O224+P224-Q224,MAX(0,'Debt strategy'!$C$5-SUM(E224,K224,Q224,W224,AC224)-SUM(IF(F224&lt;R224,C224+D224-E224,0),IF(L224&lt;R224,I224+J224-K224,0),IF(X224&lt;R224,U224+V224-W224,0),IF(AD224&lt;R224,AA224+AB224-AC224,0)))))</x:f>
        <x:v>0</x:v>
      </x:c>
      <x:c r="T224" s="6" t="n">
        <x:f>ROUND(MAX(0,O224+P224-Q224-S224),2)</x:f>
        <x:v>0</x:v>
      </x:c>
      <x:c r="U224" s="6" t="n">
        <x:f>Z223</x:f>
        <x:v>0</x:v>
      </x:c>
      <x:c r="V224" s="6" t="n">
        <x:f>ROUND(U224*'Debt strategy'!$D$12/12,2)</x:f>
        <x:v>0</x:v>
      </x:c>
      <x:c r="W224" s="6" t="n">
        <x:f>MIN(U224+V224,'Debt strategy'!$E$12)</x:f>
        <x:v>0</x:v>
      </x:c>
      <x:c r="X224" s="27" t="n">
        <x:f>IF(U224+V224-W224&lt;=0,99,1+SUM(IF(AND(C224+D224-E224&gt;0,OR('Debt strategy'!$D$9&gt;'Debt strategy'!$D$12,AND('Debt strategy'!$D$9='Debt strategy'!$D$12,0&lt;3))),1,0),IF(AND(I224+J224-K224&gt;0,OR('Debt strategy'!$D$10&gt;'Debt strategy'!$D$12,AND('Debt strategy'!$D$10='Debt strategy'!$D$12,1&lt;3))),1,0),IF(AND(O224+P224-Q224&gt;0,OR('Debt strategy'!$D$11&gt;'Debt strategy'!$D$12,AND('Debt strategy'!$D$11='Debt strategy'!$D$12,2&lt;3))),1,0),IF(AND(AA224+AB224-AC224&gt;0,OR('Debt strategy'!$D$13&gt;'Debt strategy'!$D$12,AND('Debt strategy'!$D$13='Debt strategy'!$D$12,4&lt;3))),1,0)))</x:f>
        <x:v>99</x:v>
      </x:c>
      <x:c r="Y224" s="6" t="n">
        <x:f>IF('Debt strategy'!$C$16&gt;0,0,MIN(U224+V224-W224,MAX(0,'Debt strategy'!$C$5-SUM(E224,K224,Q224,W224,AC224)-SUM(IF(F224&lt;X224,C224+D224-E224,0),IF(L224&lt;X224,I224+J224-K224,0),IF(R224&lt;X224,O224+P224-Q224,0),IF(AD224&lt;X224,AA224+AB224-AC224,0)))))</x:f>
        <x:v>0</x:v>
      </x:c>
      <x:c r="Z224" s="6" t="n">
        <x:f>ROUND(MAX(0,U224+V224-W224-Y224),2)</x:f>
        <x:v>0</x:v>
      </x:c>
      <x:c r="AA224" s="6" t="n">
        <x:f>AF223</x:f>
        <x:v>0</x:v>
      </x:c>
      <x:c r="AB224" s="6" t="n">
        <x:f>ROUND(AA224*'Debt strategy'!$D$13/12,2)</x:f>
        <x:v>0</x:v>
      </x:c>
      <x:c r="AC224" s="6" t="n">
        <x:f>MIN(AA224+AB224,'Debt strategy'!$E$13)</x:f>
        <x:v>0</x:v>
      </x:c>
      <x:c r="AD224" s="27" t="n">
        <x:f>IF(AA224+AB224-AC224&lt;=0,99,1+SUM(IF(AND(C224+D224-E224&gt;0,OR('Debt strategy'!$D$9&gt;'Debt strategy'!$D$13,AND('Debt strategy'!$D$9='Debt strategy'!$D$13,0&lt;4))),1,0),IF(AND(I224+J224-K224&gt;0,OR('Debt strategy'!$D$10&gt;'Debt strategy'!$D$13,AND('Debt strategy'!$D$10='Debt strategy'!$D$13,1&lt;4))),1,0),IF(AND(O224+P224-Q224&gt;0,OR('Debt strategy'!$D$11&gt;'Debt strategy'!$D$13,AND('Debt strategy'!$D$11='Debt strategy'!$D$13,2&lt;4))),1,0),IF(AND(U224+V224-W224&gt;0,OR('Debt strategy'!$D$12&gt;'Debt strategy'!$D$13,AND('Debt strategy'!$D$12='Debt strategy'!$D$13,3&lt;4))),1,0)))</x:f>
        <x:v>99</x:v>
      </x:c>
      <x:c r="AE224" s="6" t="n">
        <x:f>IF('Debt strategy'!$C$16&gt;0,0,MIN(AA224+AB224-AC224,MAX(0,'Debt strategy'!$C$5-SUM(E224,K224,Q224,W224,AC224)-SUM(IF(F224&lt;AD224,C224+D224-E224,0),IF(L224&lt;AD224,I224+J224-K224,0),IF(R224&lt;AD224,O224+P224-Q224,0),IF(X224&lt;AD224,U224+V224-W224,0)))))</x:f>
        <x:v>0</x:v>
      </x:c>
      <x:c r="AF224" s="6" t="n">
        <x:f>ROUND(MAX(0,AA224+AB224-AC224-AE224),2)</x:f>
        <x:v>0</x:v>
      </x:c>
      <x:c r="AG224" s="6" t="n">
        <x:f>SUM(H224,N224,T224,Z224,AF224)</x:f>
        <x:v>0</x:v>
      </x:c>
      <x:c r="AH224" s="6" t="n">
        <x:f>SUM(D224,J224,P224,V224,AB224)+AH223</x:f>
        <x:v>1220.8400000000001</x:v>
      </x:c>
      <x:c r="AI224" s="2"/>
    </x:row>
    <x:row r="225" ht="23" customHeight="1">
      <x:c r="B225" s="2" t="n">
        <x:f>217</x:f>
        <x:v>217</x:v>
      </x:c>
      <x:c r="C225" s="6" t="n">
        <x:f>H224</x:f>
        <x:v>0</x:v>
      </x:c>
      <x:c r="D225" s="6" t="n">
        <x:f>ROUND(C225*'Debt strategy'!$D$9/12,2)</x:f>
        <x:v>0</x:v>
      </x:c>
      <x:c r="E225" s="6" t="n">
        <x:f>MIN(C225+D225,'Debt strategy'!$E$9)</x:f>
        <x:v>0</x:v>
      </x:c>
      <x:c r="F225" s="27" t="n">
        <x:f>IF(C225+D225-E225&lt;=0,99,1+SUM(IF(AND(I225+J225-K225&gt;0,OR('Debt strategy'!$D$10&gt;'Debt strategy'!$D$9,AND('Debt strategy'!$D$10='Debt strategy'!$D$9,1&lt;0))),1,0),IF(AND(O225+P225-Q225&gt;0,OR('Debt strategy'!$D$11&gt;'Debt strategy'!$D$9,AND('Debt strategy'!$D$11='Debt strategy'!$D$9,2&lt;0))),1,0),IF(AND(U225+V225-W225&gt;0,OR('Debt strategy'!$D$12&gt;'Debt strategy'!$D$9,AND('Debt strategy'!$D$12='Debt strategy'!$D$9,3&lt;0))),1,0),IF(AND(AA225+AB225-AC225&gt;0,OR('Debt strategy'!$D$13&gt;'Debt strategy'!$D$9,AND('Debt strategy'!$D$13='Debt strategy'!$D$9,4&lt;0))),1,0)))</x:f>
        <x:v>99</x:v>
      </x:c>
      <x:c r="G225" s="6" t="n">
        <x:f>IF('Debt strategy'!$C$16&gt;0,0,MIN(C225+D225-E225,MAX(0,'Debt strategy'!$C$5-SUM(E225,K225,Q225,W225,AC225)-SUM(IF(L225&lt;F225,I225+J225-K225,0),IF(R225&lt;F225,O225+P225-Q225,0),IF(X225&lt;F225,U225+V225-W225,0),IF(AD225&lt;F225,AA225+AB225-AC225,0)))))</x:f>
        <x:v>0</x:v>
      </x:c>
      <x:c r="H225" s="6" t="n">
        <x:f>ROUND(MAX(0,C225+D225-E225-G225),2)</x:f>
        <x:v>0</x:v>
      </x:c>
      <x:c r="I225" s="6" t="n">
        <x:f>N224</x:f>
        <x:v>0</x:v>
      </x:c>
      <x:c r="J225" s="6" t="n">
        <x:f>ROUND(I225*'Debt strategy'!$D$10/12,2)</x:f>
        <x:v>0</x:v>
      </x:c>
      <x:c r="K225" s="6" t="n">
        <x:f>MIN(I225+J225,'Debt strategy'!$E$10)</x:f>
        <x:v>0</x:v>
      </x:c>
      <x:c r="L225" s="27" t="n">
        <x:f>IF(I225+J225-K225&lt;=0,99,1+SUM(IF(AND(C225+D225-E225&gt;0,OR('Debt strategy'!$D$9&gt;'Debt strategy'!$D$10,AND('Debt strategy'!$D$9='Debt strategy'!$D$10,0&lt;1))),1,0),IF(AND(O225+P225-Q225&gt;0,OR('Debt strategy'!$D$11&gt;'Debt strategy'!$D$10,AND('Debt strategy'!$D$11='Debt strategy'!$D$10,2&lt;1))),1,0),IF(AND(U225+V225-W225&gt;0,OR('Debt strategy'!$D$12&gt;'Debt strategy'!$D$10,AND('Debt strategy'!$D$12='Debt strategy'!$D$10,3&lt;1))),1,0),IF(AND(AA225+AB225-AC225&gt;0,OR('Debt strategy'!$D$13&gt;'Debt strategy'!$D$10,AND('Debt strategy'!$D$13='Debt strategy'!$D$10,4&lt;1))),1,0)))</x:f>
        <x:v>99</x:v>
      </x:c>
      <x:c r="M225" s="6" t="n">
        <x:f>IF('Debt strategy'!$C$16&gt;0,0,MIN(I225+J225-K225,MAX(0,'Debt strategy'!$C$5-SUM(E225,K225,Q225,W225,AC225)-SUM(IF(F225&lt;L225,C225+D225-E225,0),IF(R225&lt;L225,O225+P225-Q225,0),IF(X225&lt;L225,U225+V225-W225,0),IF(AD225&lt;L225,AA225+AB225-AC225,0)))))</x:f>
        <x:v>0</x:v>
      </x:c>
      <x:c r="N225" s="6" t="n">
        <x:f>ROUND(MAX(0,I225+J225-K225-M225),2)</x:f>
        <x:v>0</x:v>
      </x:c>
      <x:c r="O225" s="6" t="n">
        <x:f>T224</x:f>
        <x:v>0</x:v>
      </x:c>
      <x:c r="P225" s="6" t="n">
        <x:f>ROUND(O225*'Debt strategy'!$D$11/12,2)</x:f>
        <x:v>0</x:v>
      </x:c>
      <x:c r="Q225" s="6" t="n">
        <x:f>MIN(O225+P225,'Debt strategy'!$E$11)</x:f>
        <x:v>0</x:v>
      </x:c>
      <x:c r="R225" s="27" t="n">
        <x:f>IF(O225+P225-Q225&lt;=0,99,1+SUM(IF(AND(C225+D225-E225&gt;0,OR('Debt strategy'!$D$9&gt;'Debt strategy'!$D$11,AND('Debt strategy'!$D$9='Debt strategy'!$D$11,0&lt;2))),1,0),IF(AND(I225+J225-K225&gt;0,OR('Debt strategy'!$D$10&gt;'Debt strategy'!$D$11,AND('Debt strategy'!$D$10='Debt strategy'!$D$11,1&lt;2))),1,0),IF(AND(U225+V225-W225&gt;0,OR('Debt strategy'!$D$12&gt;'Debt strategy'!$D$11,AND('Debt strategy'!$D$12='Debt strategy'!$D$11,3&lt;2))),1,0),IF(AND(AA225+AB225-AC225&gt;0,OR('Debt strategy'!$D$13&gt;'Debt strategy'!$D$11,AND('Debt strategy'!$D$13='Debt strategy'!$D$11,4&lt;2))),1,0)))</x:f>
        <x:v>99</x:v>
      </x:c>
      <x:c r="S225" s="6" t="n">
        <x:f>IF('Debt strategy'!$C$16&gt;0,0,MIN(O225+P225-Q225,MAX(0,'Debt strategy'!$C$5-SUM(E225,K225,Q225,W225,AC225)-SUM(IF(F225&lt;R225,C225+D225-E225,0),IF(L225&lt;R225,I225+J225-K225,0),IF(X225&lt;R225,U225+V225-W225,0),IF(AD225&lt;R225,AA225+AB225-AC225,0)))))</x:f>
        <x:v>0</x:v>
      </x:c>
      <x:c r="T225" s="6" t="n">
        <x:f>ROUND(MAX(0,O225+P225-Q225-S225),2)</x:f>
        <x:v>0</x:v>
      </x:c>
      <x:c r="U225" s="6" t="n">
        <x:f>Z224</x:f>
        <x:v>0</x:v>
      </x:c>
      <x:c r="V225" s="6" t="n">
        <x:f>ROUND(U225*'Debt strategy'!$D$12/12,2)</x:f>
        <x:v>0</x:v>
      </x:c>
      <x:c r="W225" s="6" t="n">
        <x:f>MIN(U225+V225,'Debt strategy'!$E$12)</x:f>
        <x:v>0</x:v>
      </x:c>
      <x:c r="X225" s="27" t="n">
        <x:f>IF(U225+V225-W225&lt;=0,99,1+SUM(IF(AND(C225+D225-E225&gt;0,OR('Debt strategy'!$D$9&gt;'Debt strategy'!$D$12,AND('Debt strategy'!$D$9='Debt strategy'!$D$12,0&lt;3))),1,0),IF(AND(I225+J225-K225&gt;0,OR('Debt strategy'!$D$10&gt;'Debt strategy'!$D$12,AND('Debt strategy'!$D$10='Debt strategy'!$D$12,1&lt;3))),1,0),IF(AND(O225+P225-Q225&gt;0,OR('Debt strategy'!$D$11&gt;'Debt strategy'!$D$12,AND('Debt strategy'!$D$11='Debt strategy'!$D$12,2&lt;3))),1,0),IF(AND(AA225+AB225-AC225&gt;0,OR('Debt strategy'!$D$13&gt;'Debt strategy'!$D$12,AND('Debt strategy'!$D$13='Debt strategy'!$D$12,4&lt;3))),1,0)))</x:f>
        <x:v>99</x:v>
      </x:c>
      <x:c r="Y225" s="6" t="n">
        <x:f>IF('Debt strategy'!$C$16&gt;0,0,MIN(U225+V225-W225,MAX(0,'Debt strategy'!$C$5-SUM(E225,K225,Q225,W225,AC225)-SUM(IF(F225&lt;X225,C225+D225-E225,0),IF(L225&lt;X225,I225+J225-K225,0),IF(R225&lt;X225,O225+P225-Q225,0),IF(AD225&lt;X225,AA225+AB225-AC225,0)))))</x:f>
        <x:v>0</x:v>
      </x:c>
      <x:c r="Z225" s="6" t="n">
        <x:f>ROUND(MAX(0,U225+V225-W225-Y225),2)</x:f>
        <x:v>0</x:v>
      </x:c>
      <x:c r="AA225" s="6" t="n">
        <x:f>AF224</x:f>
        <x:v>0</x:v>
      </x:c>
      <x:c r="AB225" s="6" t="n">
        <x:f>ROUND(AA225*'Debt strategy'!$D$13/12,2)</x:f>
        <x:v>0</x:v>
      </x:c>
      <x:c r="AC225" s="6" t="n">
        <x:f>MIN(AA225+AB225,'Debt strategy'!$E$13)</x:f>
        <x:v>0</x:v>
      </x:c>
      <x:c r="AD225" s="27" t="n">
        <x:f>IF(AA225+AB225-AC225&lt;=0,99,1+SUM(IF(AND(C225+D225-E225&gt;0,OR('Debt strategy'!$D$9&gt;'Debt strategy'!$D$13,AND('Debt strategy'!$D$9='Debt strategy'!$D$13,0&lt;4))),1,0),IF(AND(I225+J225-K225&gt;0,OR('Debt strategy'!$D$10&gt;'Debt strategy'!$D$13,AND('Debt strategy'!$D$10='Debt strategy'!$D$13,1&lt;4))),1,0),IF(AND(O225+P225-Q225&gt;0,OR('Debt strategy'!$D$11&gt;'Debt strategy'!$D$13,AND('Debt strategy'!$D$11='Debt strategy'!$D$13,2&lt;4))),1,0),IF(AND(U225+V225-W225&gt;0,OR('Debt strategy'!$D$12&gt;'Debt strategy'!$D$13,AND('Debt strategy'!$D$12='Debt strategy'!$D$13,3&lt;4))),1,0)))</x:f>
        <x:v>99</x:v>
      </x:c>
      <x:c r="AE225" s="6" t="n">
        <x:f>IF('Debt strategy'!$C$16&gt;0,0,MIN(AA225+AB225-AC225,MAX(0,'Debt strategy'!$C$5-SUM(E225,K225,Q225,W225,AC225)-SUM(IF(F225&lt;AD225,C225+D225-E225,0),IF(L225&lt;AD225,I225+J225-K225,0),IF(R225&lt;AD225,O225+P225-Q225,0),IF(X225&lt;AD225,U225+V225-W225,0)))))</x:f>
        <x:v>0</x:v>
      </x:c>
      <x:c r="AF225" s="6" t="n">
        <x:f>ROUND(MAX(0,AA225+AB225-AC225-AE225),2)</x:f>
        <x:v>0</x:v>
      </x:c>
      <x:c r="AG225" s="6" t="n">
        <x:f>SUM(H225,N225,T225,Z225,AF225)</x:f>
        <x:v>0</x:v>
      </x:c>
      <x:c r="AH225" s="6" t="n">
        <x:f>SUM(D225,J225,P225,V225,AB225)+AH224</x:f>
        <x:v>1220.8400000000001</x:v>
      </x:c>
      <x:c r="AI225" s="2"/>
    </x:row>
    <x:row r="226" ht="23" customHeight="1">
      <x:c r="B226" s="2" t="n">
        <x:f>218</x:f>
        <x:v>218</x:v>
      </x:c>
      <x:c r="C226" s="6" t="n">
        <x:f>H225</x:f>
        <x:v>0</x:v>
      </x:c>
      <x:c r="D226" s="6" t="n">
        <x:f>ROUND(C226*'Debt strategy'!$D$9/12,2)</x:f>
        <x:v>0</x:v>
      </x:c>
      <x:c r="E226" s="6" t="n">
        <x:f>MIN(C226+D226,'Debt strategy'!$E$9)</x:f>
        <x:v>0</x:v>
      </x:c>
      <x:c r="F226" s="27" t="n">
        <x:f>IF(C226+D226-E226&lt;=0,99,1+SUM(IF(AND(I226+J226-K226&gt;0,OR('Debt strategy'!$D$10&gt;'Debt strategy'!$D$9,AND('Debt strategy'!$D$10='Debt strategy'!$D$9,1&lt;0))),1,0),IF(AND(O226+P226-Q226&gt;0,OR('Debt strategy'!$D$11&gt;'Debt strategy'!$D$9,AND('Debt strategy'!$D$11='Debt strategy'!$D$9,2&lt;0))),1,0),IF(AND(U226+V226-W226&gt;0,OR('Debt strategy'!$D$12&gt;'Debt strategy'!$D$9,AND('Debt strategy'!$D$12='Debt strategy'!$D$9,3&lt;0))),1,0),IF(AND(AA226+AB226-AC226&gt;0,OR('Debt strategy'!$D$13&gt;'Debt strategy'!$D$9,AND('Debt strategy'!$D$13='Debt strategy'!$D$9,4&lt;0))),1,0)))</x:f>
        <x:v>99</x:v>
      </x:c>
      <x:c r="G226" s="6" t="n">
        <x:f>IF('Debt strategy'!$C$16&gt;0,0,MIN(C226+D226-E226,MAX(0,'Debt strategy'!$C$5-SUM(E226,K226,Q226,W226,AC226)-SUM(IF(L226&lt;F226,I226+J226-K226,0),IF(R226&lt;F226,O226+P226-Q226,0),IF(X226&lt;F226,U226+V226-W226,0),IF(AD226&lt;F226,AA226+AB226-AC226,0)))))</x:f>
        <x:v>0</x:v>
      </x:c>
      <x:c r="H226" s="6" t="n">
        <x:f>ROUND(MAX(0,C226+D226-E226-G226),2)</x:f>
        <x:v>0</x:v>
      </x:c>
      <x:c r="I226" s="6" t="n">
        <x:f>N225</x:f>
        <x:v>0</x:v>
      </x:c>
      <x:c r="J226" s="6" t="n">
        <x:f>ROUND(I226*'Debt strategy'!$D$10/12,2)</x:f>
        <x:v>0</x:v>
      </x:c>
      <x:c r="K226" s="6" t="n">
        <x:f>MIN(I226+J226,'Debt strategy'!$E$10)</x:f>
        <x:v>0</x:v>
      </x:c>
      <x:c r="L226" s="27" t="n">
        <x:f>IF(I226+J226-K226&lt;=0,99,1+SUM(IF(AND(C226+D226-E226&gt;0,OR('Debt strategy'!$D$9&gt;'Debt strategy'!$D$10,AND('Debt strategy'!$D$9='Debt strategy'!$D$10,0&lt;1))),1,0),IF(AND(O226+P226-Q226&gt;0,OR('Debt strategy'!$D$11&gt;'Debt strategy'!$D$10,AND('Debt strategy'!$D$11='Debt strategy'!$D$10,2&lt;1))),1,0),IF(AND(U226+V226-W226&gt;0,OR('Debt strategy'!$D$12&gt;'Debt strategy'!$D$10,AND('Debt strategy'!$D$12='Debt strategy'!$D$10,3&lt;1))),1,0),IF(AND(AA226+AB226-AC226&gt;0,OR('Debt strategy'!$D$13&gt;'Debt strategy'!$D$10,AND('Debt strategy'!$D$13='Debt strategy'!$D$10,4&lt;1))),1,0)))</x:f>
        <x:v>99</x:v>
      </x:c>
      <x:c r="M226" s="6" t="n">
        <x:f>IF('Debt strategy'!$C$16&gt;0,0,MIN(I226+J226-K226,MAX(0,'Debt strategy'!$C$5-SUM(E226,K226,Q226,W226,AC226)-SUM(IF(F226&lt;L226,C226+D226-E226,0),IF(R226&lt;L226,O226+P226-Q226,0),IF(X226&lt;L226,U226+V226-W226,0),IF(AD226&lt;L226,AA226+AB226-AC226,0)))))</x:f>
        <x:v>0</x:v>
      </x:c>
      <x:c r="N226" s="6" t="n">
        <x:f>ROUND(MAX(0,I226+J226-K226-M226),2)</x:f>
        <x:v>0</x:v>
      </x:c>
      <x:c r="O226" s="6" t="n">
        <x:f>T225</x:f>
        <x:v>0</x:v>
      </x:c>
      <x:c r="P226" s="6" t="n">
        <x:f>ROUND(O226*'Debt strategy'!$D$11/12,2)</x:f>
        <x:v>0</x:v>
      </x:c>
      <x:c r="Q226" s="6" t="n">
        <x:f>MIN(O226+P226,'Debt strategy'!$E$11)</x:f>
        <x:v>0</x:v>
      </x:c>
      <x:c r="R226" s="27" t="n">
        <x:f>IF(O226+P226-Q226&lt;=0,99,1+SUM(IF(AND(C226+D226-E226&gt;0,OR('Debt strategy'!$D$9&gt;'Debt strategy'!$D$11,AND('Debt strategy'!$D$9='Debt strategy'!$D$11,0&lt;2))),1,0),IF(AND(I226+J226-K226&gt;0,OR('Debt strategy'!$D$10&gt;'Debt strategy'!$D$11,AND('Debt strategy'!$D$10='Debt strategy'!$D$11,1&lt;2))),1,0),IF(AND(U226+V226-W226&gt;0,OR('Debt strategy'!$D$12&gt;'Debt strategy'!$D$11,AND('Debt strategy'!$D$12='Debt strategy'!$D$11,3&lt;2))),1,0),IF(AND(AA226+AB226-AC226&gt;0,OR('Debt strategy'!$D$13&gt;'Debt strategy'!$D$11,AND('Debt strategy'!$D$13='Debt strategy'!$D$11,4&lt;2))),1,0)))</x:f>
        <x:v>99</x:v>
      </x:c>
      <x:c r="S226" s="6" t="n">
        <x:f>IF('Debt strategy'!$C$16&gt;0,0,MIN(O226+P226-Q226,MAX(0,'Debt strategy'!$C$5-SUM(E226,K226,Q226,W226,AC226)-SUM(IF(F226&lt;R226,C226+D226-E226,0),IF(L226&lt;R226,I226+J226-K226,0),IF(X226&lt;R226,U226+V226-W226,0),IF(AD226&lt;R226,AA226+AB226-AC226,0)))))</x:f>
        <x:v>0</x:v>
      </x:c>
      <x:c r="T226" s="6" t="n">
        <x:f>ROUND(MAX(0,O226+P226-Q226-S226),2)</x:f>
        <x:v>0</x:v>
      </x:c>
      <x:c r="U226" s="6" t="n">
        <x:f>Z225</x:f>
        <x:v>0</x:v>
      </x:c>
      <x:c r="V226" s="6" t="n">
        <x:f>ROUND(U226*'Debt strategy'!$D$12/12,2)</x:f>
        <x:v>0</x:v>
      </x:c>
      <x:c r="W226" s="6" t="n">
        <x:f>MIN(U226+V226,'Debt strategy'!$E$12)</x:f>
        <x:v>0</x:v>
      </x:c>
      <x:c r="X226" s="27" t="n">
        <x:f>IF(U226+V226-W226&lt;=0,99,1+SUM(IF(AND(C226+D226-E226&gt;0,OR('Debt strategy'!$D$9&gt;'Debt strategy'!$D$12,AND('Debt strategy'!$D$9='Debt strategy'!$D$12,0&lt;3))),1,0),IF(AND(I226+J226-K226&gt;0,OR('Debt strategy'!$D$10&gt;'Debt strategy'!$D$12,AND('Debt strategy'!$D$10='Debt strategy'!$D$12,1&lt;3))),1,0),IF(AND(O226+P226-Q226&gt;0,OR('Debt strategy'!$D$11&gt;'Debt strategy'!$D$12,AND('Debt strategy'!$D$11='Debt strategy'!$D$12,2&lt;3))),1,0),IF(AND(AA226+AB226-AC226&gt;0,OR('Debt strategy'!$D$13&gt;'Debt strategy'!$D$12,AND('Debt strategy'!$D$13='Debt strategy'!$D$12,4&lt;3))),1,0)))</x:f>
        <x:v>99</x:v>
      </x:c>
      <x:c r="Y226" s="6" t="n">
        <x:f>IF('Debt strategy'!$C$16&gt;0,0,MIN(U226+V226-W226,MAX(0,'Debt strategy'!$C$5-SUM(E226,K226,Q226,W226,AC226)-SUM(IF(F226&lt;X226,C226+D226-E226,0),IF(L226&lt;X226,I226+J226-K226,0),IF(R226&lt;X226,O226+P226-Q226,0),IF(AD226&lt;X226,AA226+AB226-AC226,0)))))</x:f>
        <x:v>0</x:v>
      </x:c>
      <x:c r="Z226" s="6" t="n">
        <x:f>ROUND(MAX(0,U226+V226-W226-Y226),2)</x:f>
        <x:v>0</x:v>
      </x:c>
      <x:c r="AA226" s="6" t="n">
        <x:f>AF225</x:f>
        <x:v>0</x:v>
      </x:c>
      <x:c r="AB226" s="6" t="n">
        <x:f>ROUND(AA226*'Debt strategy'!$D$13/12,2)</x:f>
        <x:v>0</x:v>
      </x:c>
      <x:c r="AC226" s="6" t="n">
        <x:f>MIN(AA226+AB226,'Debt strategy'!$E$13)</x:f>
        <x:v>0</x:v>
      </x:c>
      <x:c r="AD226" s="27" t="n">
        <x:f>IF(AA226+AB226-AC226&lt;=0,99,1+SUM(IF(AND(C226+D226-E226&gt;0,OR('Debt strategy'!$D$9&gt;'Debt strategy'!$D$13,AND('Debt strategy'!$D$9='Debt strategy'!$D$13,0&lt;4))),1,0),IF(AND(I226+J226-K226&gt;0,OR('Debt strategy'!$D$10&gt;'Debt strategy'!$D$13,AND('Debt strategy'!$D$10='Debt strategy'!$D$13,1&lt;4))),1,0),IF(AND(O226+P226-Q226&gt;0,OR('Debt strategy'!$D$11&gt;'Debt strategy'!$D$13,AND('Debt strategy'!$D$11='Debt strategy'!$D$13,2&lt;4))),1,0),IF(AND(U226+V226-W226&gt;0,OR('Debt strategy'!$D$12&gt;'Debt strategy'!$D$13,AND('Debt strategy'!$D$12='Debt strategy'!$D$13,3&lt;4))),1,0)))</x:f>
        <x:v>99</x:v>
      </x:c>
      <x:c r="AE226" s="6" t="n">
        <x:f>IF('Debt strategy'!$C$16&gt;0,0,MIN(AA226+AB226-AC226,MAX(0,'Debt strategy'!$C$5-SUM(E226,K226,Q226,W226,AC226)-SUM(IF(F226&lt;AD226,C226+D226-E226,0),IF(L226&lt;AD226,I226+J226-K226,0),IF(R226&lt;AD226,O226+P226-Q226,0),IF(X226&lt;AD226,U226+V226-W226,0)))))</x:f>
        <x:v>0</x:v>
      </x:c>
      <x:c r="AF226" s="6" t="n">
        <x:f>ROUND(MAX(0,AA226+AB226-AC226-AE226),2)</x:f>
        <x:v>0</x:v>
      </x:c>
      <x:c r="AG226" s="6" t="n">
        <x:f>SUM(H226,N226,T226,Z226,AF226)</x:f>
        <x:v>0</x:v>
      </x:c>
      <x:c r="AH226" s="6" t="n">
        <x:f>SUM(D226,J226,P226,V226,AB226)+AH225</x:f>
        <x:v>1220.8400000000001</x:v>
      </x:c>
      <x:c r="AI226" s="2"/>
    </x:row>
    <x:row r="227" ht="23" customHeight="1">
      <x:c r="B227" s="2" t="n">
        <x:f>219</x:f>
        <x:v>219</x:v>
      </x:c>
      <x:c r="C227" s="6" t="n">
        <x:f>H226</x:f>
        <x:v>0</x:v>
      </x:c>
      <x:c r="D227" s="6" t="n">
        <x:f>ROUND(C227*'Debt strategy'!$D$9/12,2)</x:f>
        <x:v>0</x:v>
      </x:c>
      <x:c r="E227" s="6" t="n">
        <x:f>MIN(C227+D227,'Debt strategy'!$E$9)</x:f>
        <x:v>0</x:v>
      </x:c>
      <x:c r="F227" s="27" t="n">
        <x:f>IF(C227+D227-E227&lt;=0,99,1+SUM(IF(AND(I227+J227-K227&gt;0,OR('Debt strategy'!$D$10&gt;'Debt strategy'!$D$9,AND('Debt strategy'!$D$10='Debt strategy'!$D$9,1&lt;0))),1,0),IF(AND(O227+P227-Q227&gt;0,OR('Debt strategy'!$D$11&gt;'Debt strategy'!$D$9,AND('Debt strategy'!$D$11='Debt strategy'!$D$9,2&lt;0))),1,0),IF(AND(U227+V227-W227&gt;0,OR('Debt strategy'!$D$12&gt;'Debt strategy'!$D$9,AND('Debt strategy'!$D$12='Debt strategy'!$D$9,3&lt;0))),1,0),IF(AND(AA227+AB227-AC227&gt;0,OR('Debt strategy'!$D$13&gt;'Debt strategy'!$D$9,AND('Debt strategy'!$D$13='Debt strategy'!$D$9,4&lt;0))),1,0)))</x:f>
        <x:v>99</x:v>
      </x:c>
      <x:c r="G227" s="6" t="n">
        <x:f>IF('Debt strategy'!$C$16&gt;0,0,MIN(C227+D227-E227,MAX(0,'Debt strategy'!$C$5-SUM(E227,K227,Q227,W227,AC227)-SUM(IF(L227&lt;F227,I227+J227-K227,0),IF(R227&lt;F227,O227+P227-Q227,0),IF(X227&lt;F227,U227+V227-W227,0),IF(AD227&lt;F227,AA227+AB227-AC227,0)))))</x:f>
        <x:v>0</x:v>
      </x:c>
      <x:c r="H227" s="6" t="n">
        <x:f>ROUND(MAX(0,C227+D227-E227-G227),2)</x:f>
        <x:v>0</x:v>
      </x:c>
      <x:c r="I227" s="6" t="n">
        <x:f>N226</x:f>
        <x:v>0</x:v>
      </x:c>
      <x:c r="J227" s="6" t="n">
        <x:f>ROUND(I227*'Debt strategy'!$D$10/12,2)</x:f>
        <x:v>0</x:v>
      </x:c>
      <x:c r="K227" s="6" t="n">
        <x:f>MIN(I227+J227,'Debt strategy'!$E$10)</x:f>
        <x:v>0</x:v>
      </x:c>
      <x:c r="L227" s="27" t="n">
        <x:f>IF(I227+J227-K227&lt;=0,99,1+SUM(IF(AND(C227+D227-E227&gt;0,OR('Debt strategy'!$D$9&gt;'Debt strategy'!$D$10,AND('Debt strategy'!$D$9='Debt strategy'!$D$10,0&lt;1))),1,0),IF(AND(O227+P227-Q227&gt;0,OR('Debt strategy'!$D$11&gt;'Debt strategy'!$D$10,AND('Debt strategy'!$D$11='Debt strategy'!$D$10,2&lt;1))),1,0),IF(AND(U227+V227-W227&gt;0,OR('Debt strategy'!$D$12&gt;'Debt strategy'!$D$10,AND('Debt strategy'!$D$12='Debt strategy'!$D$10,3&lt;1))),1,0),IF(AND(AA227+AB227-AC227&gt;0,OR('Debt strategy'!$D$13&gt;'Debt strategy'!$D$10,AND('Debt strategy'!$D$13='Debt strategy'!$D$10,4&lt;1))),1,0)))</x:f>
        <x:v>99</x:v>
      </x:c>
      <x:c r="M227" s="6" t="n">
        <x:f>IF('Debt strategy'!$C$16&gt;0,0,MIN(I227+J227-K227,MAX(0,'Debt strategy'!$C$5-SUM(E227,K227,Q227,W227,AC227)-SUM(IF(F227&lt;L227,C227+D227-E227,0),IF(R227&lt;L227,O227+P227-Q227,0),IF(X227&lt;L227,U227+V227-W227,0),IF(AD227&lt;L227,AA227+AB227-AC227,0)))))</x:f>
        <x:v>0</x:v>
      </x:c>
      <x:c r="N227" s="6" t="n">
        <x:f>ROUND(MAX(0,I227+J227-K227-M227),2)</x:f>
        <x:v>0</x:v>
      </x:c>
      <x:c r="O227" s="6" t="n">
        <x:f>T226</x:f>
        <x:v>0</x:v>
      </x:c>
      <x:c r="P227" s="6" t="n">
        <x:f>ROUND(O227*'Debt strategy'!$D$11/12,2)</x:f>
        <x:v>0</x:v>
      </x:c>
      <x:c r="Q227" s="6" t="n">
        <x:f>MIN(O227+P227,'Debt strategy'!$E$11)</x:f>
        <x:v>0</x:v>
      </x:c>
      <x:c r="R227" s="27" t="n">
        <x:f>IF(O227+P227-Q227&lt;=0,99,1+SUM(IF(AND(C227+D227-E227&gt;0,OR('Debt strategy'!$D$9&gt;'Debt strategy'!$D$11,AND('Debt strategy'!$D$9='Debt strategy'!$D$11,0&lt;2))),1,0),IF(AND(I227+J227-K227&gt;0,OR('Debt strategy'!$D$10&gt;'Debt strategy'!$D$11,AND('Debt strategy'!$D$10='Debt strategy'!$D$11,1&lt;2))),1,0),IF(AND(U227+V227-W227&gt;0,OR('Debt strategy'!$D$12&gt;'Debt strategy'!$D$11,AND('Debt strategy'!$D$12='Debt strategy'!$D$11,3&lt;2))),1,0),IF(AND(AA227+AB227-AC227&gt;0,OR('Debt strategy'!$D$13&gt;'Debt strategy'!$D$11,AND('Debt strategy'!$D$13='Debt strategy'!$D$11,4&lt;2))),1,0)))</x:f>
        <x:v>99</x:v>
      </x:c>
      <x:c r="S227" s="6" t="n">
        <x:f>IF('Debt strategy'!$C$16&gt;0,0,MIN(O227+P227-Q227,MAX(0,'Debt strategy'!$C$5-SUM(E227,K227,Q227,W227,AC227)-SUM(IF(F227&lt;R227,C227+D227-E227,0),IF(L227&lt;R227,I227+J227-K227,0),IF(X227&lt;R227,U227+V227-W227,0),IF(AD227&lt;R227,AA227+AB227-AC227,0)))))</x:f>
        <x:v>0</x:v>
      </x:c>
      <x:c r="T227" s="6" t="n">
        <x:f>ROUND(MAX(0,O227+P227-Q227-S227),2)</x:f>
        <x:v>0</x:v>
      </x:c>
      <x:c r="U227" s="6" t="n">
        <x:f>Z226</x:f>
        <x:v>0</x:v>
      </x:c>
      <x:c r="V227" s="6" t="n">
        <x:f>ROUND(U227*'Debt strategy'!$D$12/12,2)</x:f>
        <x:v>0</x:v>
      </x:c>
      <x:c r="W227" s="6" t="n">
        <x:f>MIN(U227+V227,'Debt strategy'!$E$12)</x:f>
        <x:v>0</x:v>
      </x:c>
      <x:c r="X227" s="27" t="n">
        <x:f>IF(U227+V227-W227&lt;=0,99,1+SUM(IF(AND(C227+D227-E227&gt;0,OR('Debt strategy'!$D$9&gt;'Debt strategy'!$D$12,AND('Debt strategy'!$D$9='Debt strategy'!$D$12,0&lt;3))),1,0),IF(AND(I227+J227-K227&gt;0,OR('Debt strategy'!$D$10&gt;'Debt strategy'!$D$12,AND('Debt strategy'!$D$10='Debt strategy'!$D$12,1&lt;3))),1,0),IF(AND(O227+P227-Q227&gt;0,OR('Debt strategy'!$D$11&gt;'Debt strategy'!$D$12,AND('Debt strategy'!$D$11='Debt strategy'!$D$12,2&lt;3))),1,0),IF(AND(AA227+AB227-AC227&gt;0,OR('Debt strategy'!$D$13&gt;'Debt strategy'!$D$12,AND('Debt strategy'!$D$13='Debt strategy'!$D$12,4&lt;3))),1,0)))</x:f>
        <x:v>99</x:v>
      </x:c>
      <x:c r="Y227" s="6" t="n">
        <x:f>IF('Debt strategy'!$C$16&gt;0,0,MIN(U227+V227-W227,MAX(0,'Debt strategy'!$C$5-SUM(E227,K227,Q227,W227,AC227)-SUM(IF(F227&lt;X227,C227+D227-E227,0),IF(L227&lt;X227,I227+J227-K227,0),IF(R227&lt;X227,O227+P227-Q227,0),IF(AD227&lt;X227,AA227+AB227-AC227,0)))))</x:f>
        <x:v>0</x:v>
      </x:c>
      <x:c r="Z227" s="6" t="n">
        <x:f>ROUND(MAX(0,U227+V227-W227-Y227),2)</x:f>
        <x:v>0</x:v>
      </x:c>
      <x:c r="AA227" s="6" t="n">
        <x:f>AF226</x:f>
        <x:v>0</x:v>
      </x:c>
      <x:c r="AB227" s="6" t="n">
        <x:f>ROUND(AA227*'Debt strategy'!$D$13/12,2)</x:f>
        <x:v>0</x:v>
      </x:c>
      <x:c r="AC227" s="6" t="n">
        <x:f>MIN(AA227+AB227,'Debt strategy'!$E$13)</x:f>
        <x:v>0</x:v>
      </x:c>
      <x:c r="AD227" s="27" t="n">
        <x:f>IF(AA227+AB227-AC227&lt;=0,99,1+SUM(IF(AND(C227+D227-E227&gt;0,OR('Debt strategy'!$D$9&gt;'Debt strategy'!$D$13,AND('Debt strategy'!$D$9='Debt strategy'!$D$13,0&lt;4))),1,0),IF(AND(I227+J227-K227&gt;0,OR('Debt strategy'!$D$10&gt;'Debt strategy'!$D$13,AND('Debt strategy'!$D$10='Debt strategy'!$D$13,1&lt;4))),1,0),IF(AND(O227+P227-Q227&gt;0,OR('Debt strategy'!$D$11&gt;'Debt strategy'!$D$13,AND('Debt strategy'!$D$11='Debt strategy'!$D$13,2&lt;4))),1,0),IF(AND(U227+V227-W227&gt;0,OR('Debt strategy'!$D$12&gt;'Debt strategy'!$D$13,AND('Debt strategy'!$D$12='Debt strategy'!$D$13,3&lt;4))),1,0)))</x:f>
        <x:v>99</x:v>
      </x:c>
      <x:c r="AE227" s="6" t="n">
        <x:f>IF('Debt strategy'!$C$16&gt;0,0,MIN(AA227+AB227-AC227,MAX(0,'Debt strategy'!$C$5-SUM(E227,K227,Q227,W227,AC227)-SUM(IF(F227&lt;AD227,C227+D227-E227,0),IF(L227&lt;AD227,I227+J227-K227,0),IF(R227&lt;AD227,O227+P227-Q227,0),IF(X227&lt;AD227,U227+V227-W227,0)))))</x:f>
        <x:v>0</x:v>
      </x:c>
      <x:c r="AF227" s="6" t="n">
        <x:f>ROUND(MAX(0,AA227+AB227-AC227-AE227),2)</x:f>
        <x:v>0</x:v>
      </x:c>
      <x:c r="AG227" s="6" t="n">
        <x:f>SUM(H227,N227,T227,Z227,AF227)</x:f>
        <x:v>0</x:v>
      </x:c>
      <x:c r="AH227" s="6" t="n">
        <x:f>SUM(D227,J227,P227,V227,AB227)+AH226</x:f>
        <x:v>1220.8400000000001</x:v>
      </x:c>
      <x:c r="AI227" s="2"/>
    </x:row>
    <x:row r="228" ht="23" customHeight="1">
      <x:c r="B228" s="2" t="n">
        <x:f>220</x:f>
        <x:v>220</x:v>
      </x:c>
      <x:c r="C228" s="6" t="n">
        <x:f>H227</x:f>
        <x:v>0</x:v>
      </x:c>
      <x:c r="D228" s="6" t="n">
        <x:f>ROUND(C228*'Debt strategy'!$D$9/12,2)</x:f>
        <x:v>0</x:v>
      </x:c>
      <x:c r="E228" s="6" t="n">
        <x:f>MIN(C228+D228,'Debt strategy'!$E$9)</x:f>
        <x:v>0</x:v>
      </x:c>
      <x:c r="F228" s="27" t="n">
        <x:f>IF(C228+D228-E228&lt;=0,99,1+SUM(IF(AND(I228+J228-K228&gt;0,OR('Debt strategy'!$D$10&gt;'Debt strategy'!$D$9,AND('Debt strategy'!$D$10='Debt strategy'!$D$9,1&lt;0))),1,0),IF(AND(O228+P228-Q228&gt;0,OR('Debt strategy'!$D$11&gt;'Debt strategy'!$D$9,AND('Debt strategy'!$D$11='Debt strategy'!$D$9,2&lt;0))),1,0),IF(AND(U228+V228-W228&gt;0,OR('Debt strategy'!$D$12&gt;'Debt strategy'!$D$9,AND('Debt strategy'!$D$12='Debt strategy'!$D$9,3&lt;0))),1,0),IF(AND(AA228+AB228-AC228&gt;0,OR('Debt strategy'!$D$13&gt;'Debt strategy'!$D$9,AND('Debt strategy'!$D$13='Debt strategy'!$D$9,4&lt;0))),1,0)))</x:f>
        <x:v>99</x:v>
      </x:c>
      <x:c r="G228" s="6" t="n">
        <x:f>IF('Debt strategy'!$C$16&gt;0,0,MIN(C228+D228-E228,MAX(0,'Debt strategy'!$C$5-SUM(E228,K228,Q228,W228,AC228)-SUM(IF(L228&lt;F228,I228+J228-K228,0),IF(R228&lt;F228,O228+P228-Q228,0),IF(X228&lt;F228,U228+V228-W228,0),IF(AD228&lt;F228,AA228+AB228-AC228,0)))))</x:f>
        <x:v>0</x:v>
      </x:c>
      <x:c r="H228" s="6" t="n">
        <x:f>ROUND(MAX(0,C228+D228-E228-G228),2)</x:f>
        <x:v>0</x:v>
      </x:c>
      <x:c r="I228" s="6" t="n">
        <x:f>N227</x:f>
        <x:v>0</x:v>
      </x:c>
      <x:c r="J228" s="6" t="n">
        <x:f>ROUND(I228*'Debt strategy'!$D$10/12,2)</x:f>
        <x:v>0</x:v>
      </x:c>
      <x:c r="K228" s="6" t="n">
        <x:f>MIN(I228+J228,'Debt strategy'!$E$10)</x:f>
        <x:v>0</x:v>
      </x:c>
      <x:c r="L228" s="27" t="n">
        <x:f>IF(I228+J228-K228&lt;=0,99,1+SUM(IF(AND(C228+D228-E228&gt;0,OR('Debt strategy'!$D$9&gt;'Debt strategy'!$D$10,AND('Debt strategy'!$D$9='Debt strategy'!$D$10,0&lt;1))),1,0),IF(AND(O228+P228-Q228&gt;0,OR('Debt strategy'!$D$11&gt;'Debt strategy'!$D$10,AND('Debt strategy'!$D$11='Debt strategy'!$D$10,2&lt;1))),1,0),IF(AND(U228+V228-W228&gt;0,OR('Debt strategy'!$D$12&gt;'Debt strategy'!$D$10,AND('Debt strategy'!$D$12='Debt strategy'!$D$10,3&lt;1))),1,0),IF(AND(AA228+AB228-AC228&gt;0,OR('Debt strategy'!$D$13&gt;'Debt strategy'!$D$10,AND('Debt strategy'!$D$13='Debt strategy'!$D$10,4&lt;1))),1,0)))</x:f>
        <x:v>99</x:v>
      </x:c>
      <x:c r="M228" s="6" t="n">
        <x:f>IF('Debt strategy'!$C$16&gt;0,0,MIN(I228+J228-K228,MAX(0,'Debt strategy'!$C$5-SUM(E228,K228,Q228,W228,AC228)-SUM(IF(F228&lt;L228,C228+D228-E228,0),IF(R228&lt;L228,O228+P228-Q228,0),IF(X228&lt;L228,U228+V228-W228,0),IF(AD228&lt;L228,AA228+AB228-AC228,0)))))</x:f>
        <x:v>0</x:v>
      </x:c>
      <x:c r="N228" s="6" t="n">
        <x:f>ROUND(MAX(0,I228+J228-K228-M228),2)</x:f>
        <x:v>0</x:v>
      </x:c>
      <x:c r="O228" s="6" t="n">
        <x:f>T227</x:f>
        <x:v>0</x:v>
      </x:c>
      <x:c r="P228" s="6" t="n">
        <x:f>ROUND(O228*'Debt strategy'!$D$11/12,2)</x:f>
        <x:v>0</x:v>
      </x:c>
      <x:c r="Q228" s="6" t="n">
        <x:f>MIN(O228+P228,'Debt strategy'!$E$11)</x:f>
        <x:v>0</x:v>
      </x:c>
      <x:c r="R228" s="27" t="n">
        <x:f>IF(O228+P228-Q228&lt;=0,99,1+SUM(IF(AND(C228+D228-E228&gt;0,OR('Debt strategy'!$D$9&gt;'Debt strategy'!$D$11,AND('Debt strategy'!$D$9='Debt strategy'!$D$11,0&lt;2))),1,0),IF(AND(I228+J228-K228&gt;0,OR('Debt strategy'!$D$10&gt;'Debt strategy'!$D$11,AND('Debt strategy'!$D$10='Debt strategy'!$D$11,1&lt;2))),1,0),IF(AND(U228+V228-W228&gt;0,OR('Debt strategy'!$D$12&gt;'Debt strategy'!$D$11,AND('Debt strategy'!$D$12='Debt strategy'!$D$11,3&lt;2))),1,0),IF(AND(AA228+AB228-AC228&gt;0,OR('Debt strategy'!$D$13&gt;'Debt strategy'!$D$11,AND('Debt strategy'!$D$13='Debt strategy'!$D$11,4&lt;2))),1,0)))</x:f>
        <x:v>99</x:v>
      </x:c>
      <x:c r="S228" s="6" t="n">
        <x:f>IF('Debt strategy'!$C$16&gt;0,0,MIN(O228+P228-Q228,MAX(0,'Debt strategy'!$C$5-SUM(E228,K228,Q228,W228,AC228)-SUM(IF(F228&lt;R228,C228+D228-E228,0),IF(L228&lt;R228,I228+J228-K228,0),IF(X228&lt;R228,U228+V228-W228,0),IF(AD228&lt;R228,AA228+AB228-AC228,0)))))</x:f>
        <x:v>0</x:v>
      </x:c>
      <x:c r="T228" s="6" t="n">
        <x:f>ROUND(MAX(0,O228+P228-Q228-S228),2)</x:f>
        <x:v>0</x:v>
      </x:c>
      <x:c r="U228" s="6" t="n">
        <x:f>Z227</x:f>
        <x:v>0</x:v>
      </x:c>
      <x:c r="V228" s="6" t="n">
        <x:f>ROUND(U228*'Debt strategy'!$D$12/12,2)</x:f>
        <x:v>0</x:v>
      </x:c>
      <x:c r="W228" s="6" t="n">
        <x:f>MIN(U228+V228,'Debt strategy'!$E$12)</x:f>
        <x:v>0</x:v>
      </x:c>
      <x:c r="X228" s="27" t="n">
        <x:f>IF(U228+V228-W228&lt;=0,99,1+SUM(IF(AND(C228+D228-E228&gt;0,OR('Debt strategy'!$D$9&gt;'Debt strategy'!$D$12,AND('Debt strategy'!$D$9='Debt strategy'!$D$12,0&lt;3))),1,0),IF(AND(I228+J228-K228&gt;0,OR('Debt strategy'!$D$10&gt;'Debt strategy'!$D$12,AND('Debt strategy'!$D$10='Debt strategy'!$D$12,1&lt;3))),1,0),IF(AND(O228+P228-Q228&gt;0,OR('Debt strategy'!$D$11&gt;'Debt strategy'!$D$12,AND('Debt strategy'!$D$11='Debt strategy'!$D$12,2&lt;3))),1,0),IF(AND(AA228+AB228-AC228&gt;0,OR('Debt strategy'!$D$13&gt;'Debt strategy'!$D$12,AND('Debt strategy'!$D$13='Debt strategy'!$D$12,4&lt;3))),1,0)))</x:f>
        <x:v>99</x:v>
      </x:c>
      <x:c r="Y228" s="6" t="n">
        <x:f>IF('Debt strategy'!$C$16&gt;0,0,MIN(U228+V228-W228,MAX(0,'Debt strategy'!$C$5-SUM(E228,K228,Q228,W228,AC228)-SUM(IF(F228&lt;X228,C228+D228-E228,0),IF(L228&lt;X228,I228+J228-K228,0),IF(R228&lt;X228,O228+P228-Q228,0),IF(AD228&lt;X228,AA228+AB228-AC228,0)))))</x:f>
        <x:v>0</x:v>
      </x:c>
      <x:c r="Z228" s="6" t="n">
        <x:f>ROUND(MAX(0,U228+V228-W228-Y228),2)</x:f>
        <x:v>0</x:v>
      </x:c>
      <x:c r="AA228" s="6" t="n">
        <x:f>AF227</x:f>
        <x:v>0</x:v>
      </x:c>
      <x:c r="AB228" s="6" t="n">
        <x:f>ROUND(AA228*'Debt strategy'!$D$13/12,2)</x:f>
        <x:v>0</x:v>
      </x:c>
      <x:c r="AC228" s="6" t="n">
        <x:f>MIN(AA228+AB228,'Debt strategy'!$E$13)</x:f>
        <x:v>0</x:v>
      </x:c>
      <x:c r="AD228" s="27" t="n">
        <x:f>IF(AA228+AB228-AC228&lt;=0,99,1+SUM(IF(AND(C228+D228-E228&gt;0,OR('Debt strategy'!$D$9&gt;'Debt strategy'!$D$13,AND('Debt strategy'!$D$9='Debt strategy'!$D$13,0&lt;4))),1,0),IF(AND(I228+J228-K228&gt;0,OR('Debt strategy'!$D$10&gt;'Debt strategy'!$D$13,AND('Debt strategy'!$D$10='Debt strategy'!$D$13,1&lt;4))),1,0),IF(AND(O228+P228-Q228&gt;0,OR('Debt strategy'!$D$11&gt;'Debt strategy'!$D$13,AND('Debt strategy'!$D$11='Debt strategy'!$D$13,2&lt;4))),1,0),IF(AND(U228+V228-W228&gt;0,OR('Debt strategy'!$D$12&gt;'Debt strategy'!$D$13,AND('Debt strategy'!$D$12='Debt strategy'!$D$13,3&lt;4))),1,0)))</x:f>
        <x:v>99</x:v>
      </x:c>
      <x:c r="AE228" s="6" t="n">
        <x:f>IF('Debt strategy'!$C$16&gt;0,0,MIN(AA228+AB228-AC228,MAX(0,'Debt strategy'!$C$5-SUM(E228,K228,Q228,W228,AC228)-SUM(IF(F228&lt;AD228,C228+D228-E228,0),IF(L228&lt;AD228,I228+J228-K228,0),IF(R228&lt;AD228,O228+P228-Q228,0),IF(X228&lt;AD228,U228+V228-W228,0)))))</x:f>
        <x:v>0</x:v>
      </x:c>
      <x:c r="AF228" s="6" t="n">
        <x:f>ROUND(MAX(0,AA228+AB228-AC228-AE228),2)</x:f>
        <x:v>0</x:v>
      </x:c>
      <x:c r="AG228" s="6" t="n">
        <x:f>SUM(H228,N228,T228,Z228,AF228)</x:f>
        <x:v>0</x:v>
      </x:c>
      <x:c r="AH228" s="6" t="n">
        <x:f>SUM(D228,J228,P228,V228,AB228)+AH227</x:f>
        <x:v>1220.8400000000001</x:v>
      </x:c>
      <x:c r="AI228" s="2"/>
    </x:row>
    <x:row r="229" ht="23" customHeight="1">
      <x:c r="B229" s="2" t="n">
        <x:f>221</x:f>
        <x:v>221</x:v>
      </x:c>
      <x:c r="C229" s="6" t="n">
        <x:f>H228</x:f>
        <x:v>0</x:v>
      </x:c>
      <x:c r="D229" s="6" t="n">
        <x:f>ROUND(C229*'Debt strategy'!$D$9/12,2)</x:f>
        <x:v>0</x:v>
      </x:c>
      <x:c r="E229" s="6" t="n">
        <x:f>MIN(C229+D229,'Debt strategy'!$E$9)</x:f>
        <x:v>0</x:v>
      </x:c>
      <x:c r="F229" s="27" t="n">
        <x:f>IF(C229+D229-E229&lt;=0,99,1+SUM(IF(AND(I229+J229-K229&gt;0,OR('Debt strategy'!$D$10&gt;'Debt strategy'!$D$9,AND('Debt strategy'!$D$10='Debt strategy'!$D$9,1&lt;0))),1,0),IF(AND(O229+P229-Q229&gt;0,OR('Debt strategy'!$D$11&gt;'Debt strategy'!$D$9,AND('Debt strategy'!$D$11='Debt strategy'!$D$9,2&lt;0))),1,0),IF(AND(U229+V229-W229&gt;0,OR('Debt strategy'!$D$12&gt;'Debt strategy'!$D$9,AND('Debt strategy'!$D$12='Debt strategy'!$D$9,3&lt;0))),1,0),IF(AND(AA229+AB229-AC229&gt;0,OR('Debt strategy'!$D$13&gt;'Debt strategy'!$D$9,AND('Debt strategy'!$D$13='Debt strategy'!$D$9,4&lt;0))),1,0)))</x:f>
        <x:v>99</x:v>
      </x:c>
      <x:c r="G229" s="6" t="n">
        <x:f>IF('Debt strategy'!$C$16&gt;0,0,MIN(C229+D229-E229,MAX(0,'Debt strategy'!$C$5-SUM(E229,K229,Q229,W229,AC229)-SUM(IF(L229&lt;F229,I229+J229-K229,0),IF(R229&lt;F229,O229+P229-Q229,0),IF(X229&lt;F229,U229+V229-W229,0),IF(AD229&lt;F229,AA229+AB229-AC229,0)))))</x:f>
        <x:v>0</x:v>
      </x:c>
      <x:c r="H229" s="6" t="n">
        <x:f>ROUND(MAX(0,C229+D229-E229-G229),2)</x:f>
        <x:v>0</x:v>
      </x:c>
      <x:c r="I229" s="6" t="n">
        <x:f>N228</x:f>
        <x:v>0</x:v>
      </x:c>
      <x:c r="J229" s="6" t="n">
        <x:f>ROUND(I229*'Debt strategy'!$D$10/12,2)</x:f>
        <x:v>0</x:v>
      </x:c>
      <x:c r="K229" s="6" t="n">
        <x:f>MIN(I229+J229,'Debt strategy'!$E$10)</x:f>
        <x:v>0</x:v>
      </x:c>
      <x:c r="L229" s="27" t="n">
        <x:f>IF(I229+J229-K229&lt;=0,99,1+SUM(IF(AND(C229+D229-E229&gt;0,OR('Debt strategy'!$D$9&gt;'Debt strategy'!$D$10,AND('Debt strategy'!$D$9='Debt strategy'!$D$10,0&lt;1))),1,0),IF(AND(O229+P229-Q229&gt;0,OR('Debt strategy'!$D$11&gt;'Debt strategy'!$D$10,AND('Debt strategy'!$D$11='Debt strategy'!$D$10,2&lt;1))),1,0),IF(AND(U229+V229-W229&gt;0,OR('Debt strategy'!$D$12&gt;'Debt strategy'!$D$10,AND('Debt strategy'!$D$12='Debt strategy'!$D$10,3&lt;1))),1,0),IF(AND(AA229+AB229-AC229&gt;0,OR('Debt strategy'!$D$13&gt;'Debt strategy'!$D$10,AND('Debt strategy'!$D$13='Debt strategy'!$D$10,4&lt;1))),1,0)))</x:f>
        <x:v>99</x:v>
      </x:c>
      <x:c r="M229" s="6" t="n">
        <x:f>IF('Debt strategy'!$C$16&gt;0,0,MIN(I229+J229-K229,MAX(0,'Debt strategy'!$C$5-SUM(E229,K229,Q229,W229,AC229)-SUM(IF(F229&lt;L229,C229+D229-E229,0),IF(R229&lt;L229,O229+P229-Q229,0),IF(X229&lt;L229,U229+V229-W229,0),IF(AD229&lt;L229,AA229+AB229-AC229,0)))))</x:f>
        <x:v>0</x:v>
      </x:c>
      <x:c r="N229" s="6" t="n">
        <x:f>ROUND(MAX(0,I229+J229-K229-M229),2)</x:f>
        <x:v>0</x:v>
      </x:c>
      <x:c r="O229" s="6" t="n">
        <x:f>T228</x:f>
        <x:v>0</x:v>
      </x:c>
      <x:c r="P229" s="6" t="n">
        <x:f>ROUND(O229*'Debt strategy'!$D$11/12,2)</x:f>
        <x:v>0</x:v>
      </x:c>
      <x:c r="Q229" s="6" t="n">
        <x:f>MIN(O229+P229,'Debt strategy'!$E$11)</x:f>
        <x:v>0</x:v>
      </x:c>
      <x:c r="R229" s="27" t="n">
        <x:f>IF(O229+P229-Q229&lt;=0,99,1+SUM(IF(AND(C229+D229-E229&gt;0,OR('Debt strategy'!$D$9&gt;'Debt strategy'!$D$11,AND('Debt strategy'!$D$9='Debt strategy'!$D$11,0&lt;2))),1,0),IF(AND(I229+J229-K229&gt;0,OR('Debt strategy'!$D$10&gt;'Debt strategy'!$D$11,AND('Debt strategy'!$D$10='Debt strategy'!$D$11,1&lt;2))),1,0),IF(AND(U229+V229-W229&gt;0,OR('Debt strategy'!$D$12&gt;'Debt strategy'!$D$11,AND('Debt strategy'!$D$12='Debt strategy'!$D$11,3&lt;2))),1,0),IF(AND(AA229+AB229-AC229&gt;0,OR('Debt strategy'!$D$13&gt;'Debt strategy'!$D$11,AND('Debt strategy'!$D$13='Debt strategy'!$D$11,4&lt;2))),1,0)))</x:f>
        <x:v>99</x:v>
      </x:c>
      <x:c r="S229" s="6" t="n">
        <x:f>IF('Debt strategy'!$C$16&gt;0,0,MIN(O229+P229-Q229,MAX(0,'Debt strategy'!$C$5-SUM(E229,K229,Q229,W229,AC229)-SUM(IF(F229&lt;R229,C229+D229-E229,0),IF(L229&lt;R229,I229+J229-K229,0),IF(X229&lt;R229,U229+V229-W229,0),IF(AD229&lt;R229,AA229+AB229-AC229,0)))))</x:f>
        <x:v>0</x:v>
      </x:c>
      <x:c r="T229" s="6" t="n">
        <x:f>ROUND(MAX(0,O229+P229-Q229-S229),2)</x:f>
        <x:v>0</x:v>
      </x:c>
      <x:c r="U229" s="6" t="n">
        <x:f>Z228</x:f>
        <x:v>0</x:v>
      </x:c>
      <x:c r="V229" s="6" t="n">
        <x:f>ROUND(U229*'Debt strategy'!$D$12/12,2)</x:f>
        <x:v>0</x:v>
      </x:c>
      <x:c r="W229" s="6" t="n">
        <x:f>MIN(U229+V229,'Debt strategy'!$E$12)</x:f>
        <x:v>0</x:v>
      </x:c>
      <x:c r="X229" s="27" t="n">
        <x:f>IF(U229+V229-W229&lt;=0,99,1+SUM(IF(AND(C229+D229-E229&gt;0,OR('Debt strategy'!$D$9&gt;'Debt strategy'!$D$12,AND('Debt strategy'!$D$9='Debt strategy'!$D$12,0&lt;3))),1,0),IF(AND(I229+J229-K229&gt;0,OR('Debt strategy'!$D$10&gt;'Debt strategy'!$D$12,AND('Debt strategy'!$D$10='Debt strategy'!$D$12,1&lt;3))),1,0),IF(AND(O229+P229-Q229&gt;0,OR('Debt strategy'!$D$11&gt;'Debt strategy'!$D$12,AND('Debt strategy'!$D$11='Debt strategy'!$D$12,2&lt;3))),1,0),IF(AND(AA229+AB229-AC229&gt;0,OR('Debt strategy'!$D$13&gt;'Debt strategy'!$D$12,AND('Debt strategy'!$D$13='Debt strategy'!$D$12,4&lt;3))),1,0)))</x:f>
        <x:v>99</x:v>
      </x:c>
      <x:c r="Y229" s="6" t="n">
        <x:f>IF('Debt strategy'!$C$16&gt;0,0,MIN(U229+V229-W229,MAX(0,'Debt strategy'!$C$5-SUM(E229,K229,Q229,W229,AC229)-SUM(IF(F229&lt;X229,C229+D229-E229,0),IF(L229&lt;X229,I229+J229-K229,0),IF(R229&lt;X229,O229+P229-Q229,0),IF(AD229&lt;X229,AA229+AB229-AC229,0)))))</x:f>
        <x:v>0</x:v>
      </x:c>
      <x:c r="Z229" s="6" t="n">
        <x:f>ROUND(MAX(0,U229+V229-W229-Y229),2)</x:f>
        <x:v>0</x:v>
      </x:c>
      <x:c r="AA229" s="6" t="n">
        <x:f>AF228</x:f>
        <x:v>0</x:v>
      </x:c>
      <x:c r="AB229" s="6" t="n">
        <x:f>ROUND(AA229*'Debt strategy'!$D$13/12,2)</x:f>
        <x:v>0</x:v>
      </x:c>
      <x:c r="AC229" s="6" t="n">
        <x:f>MIN(AA229+AB229,'Debt strategy'!$E$13)</x:f>
        <x:v>0</x:v>
      </x:c>
      <x:c r="AD229" s="27" t="n">
        <x:f>IF(AA229+AB229-AC229&lt;=0,99,1+SUM(IF(AND(C229+D229-E229&gt;0,OR('Debt strategy'!$D$9&gt;'Debt strategy'!$D$13,AND('Debt strategy'!$D$9='Debt strategy'!$D$13,0&lt;4))),1,0),IF(AND(I229+J229-K229&gt;0,OR('Debt strategy'!$D$10&gt;'Debt strategy'!$D$13,AND('Debt strategy'!$D$10='Debt strategy'!$D$13,1&lt;4))),1,0),IF(AND(O229+P229-Q229&gt;0,OR('Debt strategy'!$D$11&gt;'Debt strategy'!$D$13,AND('Debt strategy'!$D$11='Debt strategy'!$D$13,2&lt;4))),1,0),IF(AND(U229+V229-W229&gt;0,OR('Debt strategy'!$D$12&gt;'Debt strategy'!$D$13,AND('Debt strategy'!$D$12='Debt strategy'!$D$13,3&lt;4))),1,0)))</x:f>
        <x:v>99</x:v>
      </x:c>
      <x:c r="AE229" s="6" t="n">
        <x:f>IF('Debt strategy'!$C$16&gt;0,0,MIN(AA229+AB229-AC229,MAX(0,'Debt strategy'!$C$5-SUM(E229,K229,Q229,W229,AC229)-SUM(IF(F229&lt;AD229,C229+D229-E229,0),IF(L229&lt;AD229,I229+J229-K229,0),IF(R229&lt;AD229,O229+P229-Q229,0),IF(X229&lt;AD229,U229+V229-W229,0)))))</x:f>
        <x:v>0</x:v>
      </x:c>
      <x:c r="AF229" s="6" t="n">
        <x:f>ROUND(MAX(0,AA229+AB229-AC229-AE229),2)</x:f>
        <x:v>0</x:v>
      </x:c>
      <x:c r="AG229" s="6" t="n">
        <x:f>SUM(H229,N229,T229,Z229,AF229)</x:f>
        <x:v>0</x:v>
      </x:c>
      <x:c r="AH229" s="6" t="n">
        <x:f>SUM(D229,J229,P229,V229,AB229)+AH228</x:f>
        <x:v>1220.8400000000001</x:v>
      </x:c>
      <x:c r="AI229" s="2"/>
    </x:row>
    <x:row r="230" ht="23" customHeight="1">
      <x:c r="B230" s="2" t="n">
        <x:f>222</x:f>
        <x:v>222</x:v>
      </x:c>
      <x:c r="C230" s="6" t="n">
        <x:f>H229</x:f>
        <x:v>0</x:v>
      </x:c>
      <x:c r="D230" s="6" t="n">
        <x:f>ROUND(C230*'Debt strategy'!$D$9/12,2)</x:f>
        <x:v>0</x:v>
      </x:c>
      <x:c r="E230" s="6" t="n">
        <x:f>MIN(C230+D230,'Debt strategy'!$E$9)</x:f>
        <x:v>0</x:v>
      </x:c>
      <x:c r="F230" s="27" t="n">
        <x:f>IF(C230+D230-E230&lt;=0,99,1+SUM(IF(AND(I230+J230-K230&gt;0,OR('Debt strategy'!$D$10&gt;'Debt strategy'!$D$9,AND('Debt strategy'!$D$10='Debt strategy'!$D$9,1&lt;0))),1,0),IF(AND(O230+P230-Q230&gt;0,OR('Debt strategy'!$D$11&gt;'Debt strategy'!$D$9,AND('Debt strategy'!$D$11='Debt strategy'!$D$9,2&lt;0))),1,0),IF(AND(U230+V230-W230&gt;0,OR('Debt strategy'!$D$12&gt;'Debt strategy'!$D$9,AND('Debt strategy'!$D$12='Debt strategy'!$D$9,3&lt;0))),1,0),IF(AND(AA230+AB230-AC230&gt;0,OR('Debt strategy'!$D$13&gt;'Debt strategy'!$D$9,AND('Debt strategy'!$D$13='Debt strategy'!$D$9,4&lt;0))),1,0)))</x:f>
        <x:v>99</x:v>
      </x:c>
      <x:c r="G230" s="6" t="n">
        <x:f>IF('Debt strategy'!$C$16&gt;0,0,MIN(C230+D230-E230,MAX(0,'Debt strategy'!$C$5-SUM(E230,K230,Q230,W230,AC230)-SUM(IF(L230&lt;F230,I230+J230-K230,0),IF(R230&lt;F230,O230+P230-Q230,0),IF(X230&lt;F230,U230+V230-W230,0),IF(AD230&lt;F230,AA230+AB230-AC230,0)))))</x:f>
        <x:v>0</x:v>
      </x:c>
      <x:c r="H230" s="6" t="n">
        <x:f>ROUND(MAX(0,C230+D230-E230-G230),2)</x:f>
        <x:v>0</x:v>
      </x:c>
      <x:c r="I230" s="6" t="n">
        <x:f>N229</x:f>
        <x:v>0</x:v>
      </x:c>
      <x:c r="J230" s="6" t="n">
        <x:f>ROUND(I230*'Debt strategy'!$D$10/12,2)</x:f>
        <x:v>0</x:v>
      </x:c>
      <x:c r="K230" s="6" t="n">
        <x:f>MIN(I230+J230,'Debt strategy'!$E$10)</x:f>
        <x:v>0</x:v>
      </x:c>
      <x:c r="L230" s="27" t="n">
        <x:f>IF(I230+J230-K230&lt;=0,99,1+SUM(IF(AND(C230+D230-E230&gt;0,OR('Debt strategy'!$D$9&gt;'Debt strategy'!$D$10,AND('Debt strategy'!$D$9='Debt strategy'!$D$10,0&lt;1))),1,0),IF(AND(O230+P230-Q230&gt;0,OR('Debt strategy'!$D$11&gt;'Debt strategy'!$D$10,AND('Debt strategy'!$D$11='Debt strategy'!$D$10,2&lt;1))),1,0),IF(AND(U230+V230-W230&gt;0,OR('Debt strategy'!$D$12&gt;'Debt strategy'!$D$10,AND('Debt strategy'!$D$12='Debt strategy'!$D$10,3&lt;1))),1,0),IF(AND(AA230+AB230-AC230&gt;0,OR('Debt strategy'!$D$13&gt;'Debt strategy'!$D$10,AND('Debt strategy'!$D$13='Debt strategy'!$D$10,4&lt;1))),1,0)))</x:f>
        <x:v>99</x:v>
      </x:c>
      <x:c r="M230" s="6" t="n">
        <x:f>IF('Debt strategy'!$C$16&gt;0,0,MIN(I230+J230-K230,MAX(0,'Debt strategy'!$C$5-SUM(E230,K230,Q230,W230,AC230)-SUM(IF(F230&lt;L230,C230+D230-E230,0),IF(R230&lt;L230,O230+P230-Q230,0),IF(X230&lt;L230,U230+V230-W230,0),IF(AD230&lt;L230,AA230+AB230-AC230,0)))))</x:f>
        <x:v>0</x:v>
      </x:c>
      <x:c r="N230" s="6" t="n">
        <x:f>ROUND(MAX(0,I230+J230-K230-M230),2)</x:f>
        <x:v>0</x:v>
      </x:c>
      <x:c r="O230" s="6" t="n">
        <x:f>T229</x:f>
        <x:v>0</x:v>
      </x:c>
      <x:c r="P230" s="6" t="n">
        <x:f>ROUND(O230*'Debt strategy'!$D$11/12,2)</x:f>
        <x:v>0</x:v>
      </x:c>
      <x:c r="Q230" s="6" t="n">
        <x:f>MIN(O230+P230,'Debt strategy'!$E$11)</x:f>
        <x:v>0</x:v>
      </x:c>
      <x:c r="R230" s="27" t="n">
        <x:f>IF(O230+P230-Q230&lt;=0,99,1+SUM(IF(AND(C230+D230-E230&gt;0,OR('Debt strategy'!$D$9&gt;'Debt strategy'!$D$11,AND('Debt strategy'!$D$9='Debt strategy'!$D$11,0&lt;2))),1,0),IF(AND(I230+J230-K230&gt;0,OR('Debt strategy'!$D$10&gt;'Debt strategy'!$D$11,AND('Debt strategy'!$D$10='Debt strategy'!$D$11,1&lt;2))),1,0),IF(AND(U230+V230-W230&gt;0,OR('Debt strategy'!$D$12&gt;'Debt strategy'!$D$11,AND('Debt strategy'!$D$12='Debt strategy'!$D$11,3&lt;2))),1,0),IF(AND(AA230+AB230-AC230&gt;0,OR('Debt strategy'!$D$13&gt;'Debt strategy'!$D$11,AND('Debt strategy'!$D$13='Debt strategy'!$D$11,4&lt;2))),1,0)))</x:f>
        <x:v>99</x:v>
      </x:c>
      <x:c r="S230" s="6" t="n">
        <x:f>IF('Debt strategy'!$C$16&gt;0,0,MIN(O230+P230-Q230,MAX(0,'Debt strategy'!$C$5-SUM(E230,K230,Q230,W230,AC230)-SUM(IF(F230&lt;R230,C230+D230-E230,0),IF(L230&lt;R230,I230+J230-K230,0),IF(X230&lt;R230,U230+V230-W230,0),IF(AD230&lt;R230,AA230+AB230-AC230,0)))))</x:f>
        <x:v>0</x:v>
      </x:c>
      <x:c r="T230" s="6" t="n">
        <x:f>ROUND(MAX(0,O230+P230-Q230-S230),2)</x:f>
        <x:v>0</x:v>
      </x:c>
      <x:c r="U230" s="6" t="n">
        <x:f>Z229</x:f>
        <x:v>0</x:v>
      </x:c>
      <x:c r="V230" s="6" t="n">
        <x:f>ROUND(U230*'Debt strategy'!$D$12/12,2)</x:f>
        <x:v>0</x:v>
      </x:c>
      <x:c r="W230" s="6" t="n">
        <x:f>MIN(U230+V230,'Debt strategy'!$E$12)</x:f>
        <x:v>0</x:v>
      </x:c>
      <x:c r="X230" s="27" t="n">
        <x:f>IF(U230+V230-W230&lt;=0,99,1+SUM(IF(AND(C230+D230-E230&gt;0,OR('Debt strategy'!$D$9&gt;'Debt strategy'!$D$12,AND('Debt strategy'!$D$9='Debt strategy'!$D$12,0&lt;3))),1,0),IF(AND(I230+J230-K230&gt;0,OR('Debt strategy'!$D$10&gt;'Debt strategy'!$D$12,AND('Debt strategy'!$D$10='Debt strategy'!$D$12,1&lt;3))),1,0),IF(AND(O230+P230-Q230&gt;0,OR('Debt strategy'!$D$11&gt;'Debt strategy'!$D$12,AND('Debt strategy'!$D$11='Debt strategy'!$D$12,2&lt;3))),1,0),IF(AND(AA230+AB230-AC230&gt;0,OR('Debt strategy'!$D$13&gt;'Debt strategy'!$D$12,AND('Debt strategy'!$D$13='Debt strategy'!$D$12,4&lt;3))),1,0)))</x:f>
        <x:v>99</x:v>
      </x:c>
      <x:c r="Y230" s="6" t="n">
        <x:f>IF('Debt strategy'!$C$16&gt;0,0,MIN(U230+V230-W230,MAX(0,'Debt strategy'!$C$5-SUM(E230,K230,Q230,W230,AC230)-SUM(IF(F230&lt;X230,C230+D230-E230,0),IF(L230&lt;X230,I230+J230-K230,0),IF(R230&lt;X230,O230+P230-Q230,0),IF(AD230&lt;X230,AA230+AB230-AC230,0)))))</x:f>
        <x:v>0</x:v>
      </x:c>
      <x:c r="Z230" s="6" t="n">
        <x:f>ROUND(MAX(0,U230+V230-W230-Y230),2)</x:f>
        <x:v>0</x:v>
      </x:c>
      <x:c r="AA230" s="6" t="n">
        <x:f>AF229</x:f>
        <x:v>0</x:v>
      </x:c>
      <x:c r="AB230" s="6" t="n">
        <x:f>ROUND(AA230*'Debt strategy'!$D$13/12,2)</x:f>
        <x:v>0</x:v>
      </x:c>
      <x:c r="AC230" s="6" t="n">
        <x:f>MIN(AA230+AB230,'Debt strategy'!$E$13)</x:f>
        <x:v>0</x:v>
      </x:c>
      <x:c r="AD230" s="27" t="n">
        <x:f>IF(AA230+AB230-AC230&lt;=0,99,1+SUM(IF(AND(C230+D230-E230&gt;0,OR('Debt strategy'!$D$9&gt;'Debt strategy'!$D$13,AND('Debt strategy'!$D$9='Debt strategy'!$D$13,0&lt;4))),1,0),IF(AND(I230+J230-K230&gt;0,OR('Debt strategy'!$D$10&gt;'Debt strategy'!$D$13,AND('Debt strategy'!$D$10='Debt strategy'!$D$13,1&lt;4))),1,0),IF(AND(O230+P230-Q230&gt;0,OR('Debt strategy'!$D$11&gt;'Debt strategy'!$D$13,AND('Debt strategy'!$D$11='Debt strategy'!$D$13,2&lt;4))),1,0),IF(AND(U230+V230-W230&gt;0,OR('Debt strategy'!$D$12&gt;'Debt strategy'!$D$13,AND('Debt strategy'!$D$12='Debt strategy'!$D$13,3&lt;4))),1,0)))</x:f>
        <x:v>99</x:v>
      </x:c>
      <x:c r="AE230" s="6" t="n">
        <x:f>IF('Debt strategy'!$C$16&gt;0,0,MIN(AA230+AB230-AC230,MAX(0,'Debt strategy'!$C$5-SUM(E230,K230,Q230,W230,AC230)-SUM(IF(F230&lt;AD230,C230+D230-E230,0),IF(L230&lt;AD230,I230+J230-K230,0),IF(R230&lt;AD230,O230+P230-Q230,0),IF(X230&lt;AD230,U230+V230-W230,0)))))</x:f>
        <x:v>0</x:v>
      </x:c>
      <x:c r="AF230" s="6" t="n">
        <x:f>ROUND(MAX(0,AA230+AB230-AC230-AE230),2)</x:f>
        <x:v>0</x:v>
      </x:c>
      <x:c r="AG230" s="6" t="n">
        <x:f>SUM(H230,N230,T230,Z230,AF230)</x:f>
        <x:v>0</x:v>
      </x:c>
      <x:c r="AH230" s="6" t="n">
        <x:f>SUM(D230,J230,P230,V230,AB230)+AH229</x:f>
        <x:v>1220.8400000000001</x:v>
      </x:c>
      <x:c r="AI230" s="2"/>
    </x:row>
    <x:row r="231" ht="23" customHeight="1">
      <x:c r="B231" s="2" t="n">
        <x:f>223</x:f>
        <x:v>223</x:v>
      </x:c>
      <x:c r="C231" s="6" t="n">
        <x:f>H230</x:f>
        <x:v>0</x:v>
      </x:c>
      <x:c r="D231" s="6" t="n">
        <x:f>ROUND(C231*'Debt strategy'!$D$9/12,2)</x:f>
        <x:v>0</x:v>
      </x:c>
      <x:c r="E231" s="6" t="n">
        <x:f>MIN(C231+D231,'Debt strategy'!$E$9)</x:f>
        <x:v>0</x:v>
      </x:c>
      <x:c r="F231" s="27" t="n">
        <x:f>IF(C231+D231-E231&lt;=0,99,1+SUM(IF(AND(I231+J231-K231&gt;0,OR('Debt strategy'!$D$10&gt;'Debt strategy'!$D$9,AND('Debt strategy'!$D$10='Debt strategy'!$D$9,1&lt;0))),1,0),IF(AND(O231+P231-Q231&gt;0,OR('Debt strategy'!$D$11&gt;'Debt strategy'!$D$9,AND('Debt strategy'!$D$11='Debt strategy'!$D$9,2&lt;0))),1,0),IF(AND(U231+V231-W231&gt;0,OR('Debt strategy'!$D$12&gt;'Debt strategy'!$D$9,AND('Debt strategy'!$D$12='Debt strategy'!$D$9,3&lt;0))),1,0),IF(AND(AA231+AB231-AC231&gt;0,OR('Debt strategy'!$D$13&gt;'Debt strategy'!$D$9,AND('Debt strategy'!$D$13='Debt strategy'!$D$9,4&lt;0))),1,0)))</x:f>
        <x:v>99</x:v>
      </x:c>
      <x:c r="G231" s="6" t="n">
        <x:f>IF('Debt strategy'!$C$16&gt;0,0,MIN(C231+D231-E231,MAX(0,'Debt strategy'!$C$5-SUM(E231,K231,Q231,W231,AC231)-SUM(IF(L231&lt;F231,I231+J231-K231,0),IF(R231&lt;F231,O231+P231-Q231,0),IF(X231&lt;F231,U231+V231-W231,0),IF(AD231&lt;F231,AA231+AB231-AC231,0)))))</x:f>
        <x:v>0</x:v>
      </x:c>
      <x:c r="H231" s="6" t="n">
        <x:f>ROUND(MAX(0,C231+D231-E231-G231),2)</x:f>
        <x:v>0</x:v>
      </x:c>
      <x:c r="I231" s="6" t="n">
        <x:f>N230</x:f>
        <x:v>0</x:v>
      </x:c>
      <x:c r="J231" s="6" t="n">
        <x:f>ROUND(I231*'Debt strategy'!$D$10/12,2)</x:f>
        <x:v>0</x:v>
      </x:c>
      <x:c r="K231" s="6" t="n">
        <x:f>MIN(I231+J231,'Debt strategy'!$E$10)</x:f>
        <x:v>0</x:v>
      </x:c>
      <x:c r="L231" s="27" t="n">
        <x:f>IF(I231+J231-K231&lt;=0,99,1+SUM(IF(AND(C231+D231-E231&gt;0,OR('Debt strategy'!$D$9&gt;'Debt strategy'!$D$10,AND('Debt strategy'!$D$9='Debt strategy'!$D$10,0&lt;1))),1,0),IF(AND(O231+P231-Q231&gt;0,OR('Debt strategy'!$D$11&gt;'Debt strategy'!$D$10,AND('Debt strategy'!$D$11='Debt strategy'!$D$10,2&lt;1))),1,0),IF(AND(U231+V231-W231&gt;0,OR('Debt strategy'!$D$12&gt;'Debt strategy'!$D$10,AND('Debt strategy'!$D$12='Debt strategy'!$D$10,3&lt;1))),1,0),IF(AND(AA231+AB231-AC231&gt;0,OR('Debt strategy'!$D$13&gt;'Debt strategy'!$D$10,AND('Debt strategy'!$D$13='Debt strategy'!$D$10,4&lt;1))),1,0)))</x:f>
        <x:v>99</x:v>
      </x:c>
      <x:c r="M231" s="6" t="n">
        <x:f>IF('Debt strategy'!$C$16&gt;0,0,MIN(I231+J231-K231,MAX(0,'Debt strategy'!$C$5-SUM(E231,K231,Q231,W231,AC231)-SUM(IF(F231&lt;L231,C231+D231-E231,0),IF(R231&lt;L231,O231+P231-Q231,0),IF(X231&lt;L231,U231+V231-W231,0),IF(AD231&lt;L231,AA231+AB231-AC231,0)))))</x:f>
        <x:v>0</x:v>
      </x:c>
      <x:c r="N231" s="6" t="n">
        <x:f>ROUND(MAX(0,I231+J231-K231-M231),2)</x:f>
        <x:v>0</x:v>
      </x:c>
      <x:c r="O231" s="6" t="n">
        <x:f>T230</x:f>
        <x:v>0</x:v>
      </x:c>
      <x:c r="P231" s="6" t="n">
        <x:f>ROUND(O231*'Debt strategy'!$D$11/12,2)</x:f>
        <x:v>0</x:v>
      </x:c>
      <x:c r="Q231" s="6" t="n">
        <x:f>MIN(O231+P231,'Debt strategy'!$E$11)</x:f>
        <x:v>0</x:v>
      </x:c>
      <x:c r="R231" s="27" t="n">
        <x:f>IF(O231+P231-Q231&lt;=0,99,1+SUM(IF(AND(C231+D231-E231&gt;0,OR('Debt strategy'!$D$9&gt;'Debt strategy'!$D$11,AND('Debt strategy'!$D$9='Debt strategy'!$D$11,0&lt;2))),1,0),IF(AND(I231+J231-K231&gt;0,OR('Debt strategy'!$D$10&gt;'Debt strategy'!$D$11,AND('Debt strategy'!$D$10='Debt strategy'!$D$11,1&lt;2))),1,0),IF(AND(U231+V231-W231&gt;0,OR('Debt strategy'!$D$12&gt;'Debt strategy'!$D$11,AND('Debt strategy'!$D$12='Debt strategy'!$D$11,3&lt;2))),1,0),IF(AND(AA231+AB231-AC231&gt;0,OR('Debt strategy'!$D$13&gt;'Debt strategy'!$D$11,AND('Debt strategy'!$D$13='Debt strategy'!$D$11,4&lt;2))),1,0)))</x:f>
        <x:v>99</x:v>
      </x:c>
      <x:c r="S231" s="6" t="n">
        <x:f>IF('Debt strategy'!$C$16&gt;0,0,MIN(O231+P231-Q231,MAX(0,'Debt strategy'!$C$5-SUM(E231,K231,Q231,W231,AC231)-SUM(IF(F231&lt;R231,C231+D231-E231,0),IF(L231&lt;R231,I231+J231-K231,0),IF(X231&lt;R231,U231+V231-W231,0),IF(AD231&lt;R231,AA231+AB231-AC231,0)))))</x:f>
        <x:v>0</x:v>
      </x:c>
      <x:c r="T231" s="6" t="n">
        <x:f>ROUND(MAX(0,O231+P231-Q231-S231),2)</x:f>
        <x:v>0</x:v>
      </x:c>
      <x:c r="U231" s="6" t="n">
        <x:f>Z230</x:f>
        <x:v>0</x:v>
      </x:c>
      <x:c r="V231" s="6" t="n">
        <x:f>ROUND(U231*'Debt strategy'!$D$12/12,2)</x:f>
        <x:v>0</x:v>
      </x:c>
      <x:c r="W231" s="6" t="n">
        <x:f>MIN(U231+V231,'Debt strategy'!$E$12)</x:f>
        <x:v>0</x:v>
      </x:c>
      <x:c r="X231" s="27" t="n">
        <x:f>IF(U231+V231-W231&lt;=0,99,1+SUM(IF(AND(C231+D231-E231&gt;0,OR('Debt strategy'!$D$9&gt;'Debt strategy'!$D$12,AND('Debt strategy'!$D$9='Debt strategy'!$D$12,0&lt;3))),1,0),IF(AND(I231+J231-K231&gt;0,OR('Debt strategy'!$D$10&gt;'Debt strategy'!$D$12,AND('Debt strategy'!$D$10='Debt strategy'!$D$12,1&lt;3))),1,0),IF(AND(O231+P231-Q231&gt;0,OR('Debt strategy'!$D$11&gt;'Debt strategy'!$D$12,AND('Debt strategy'!$D$11='Debt strategy'!$D$12,2&lt;3))),1,0),IF(AND(AA231+AB231-AC231&gt;0,OR('Debt strategy'!$D$13&gt;'Debt strategy'!$D$12,AND('Debt strategy'!$D$13='Debt strategy'!$D$12,4&lt;3))),1,0)))</x:f>
        <x:v>99</x:v>
      </x:c>
      <x:c r="Y231" s="6" t="n">
        <x:f>IF('Debt strategy'!$C$16&gt;0,0,MIN(U231+V231-W231,MAX(0,'Debt strategy'!$C$5-SUM(E231,K231,Q231,W231,AC231)-SUM(IF(F231&lt;X231,C231+D231-E231,0),IF(L231&lt;X231,I231+J231-K231,0),IF(R231&lt;X231,O231+P231-Q231,0),IF(AD231&lt;X231,AA231+AB231-AC231,0)))))</x:f>
        <x:v>0</x:v>
      </x:c>
      <x:c r="Z231" s="6" t="n">
        <x:f>ROUND(MAX(0,U231+V231-W231-Y231),2)</x:f>
        <x:v>0</x:v>
      </x:c>
      <x:c r="AA231" s="6" t="n">
        <x:f>AF230</x:f>
        <x:v>0</x:v>
      </x:c>
      <x:c r="AB231" s="6" t="n">
        <x:f>ROUND(AA231*'Debt strategy'!$D$13/12,2)</x:f>
        <x:v>0</x:v>
      </x:c>
      <x:c r="AC231" s="6" t="n">
        <x:f>MIN(AA231+AB231,'Debt strategy'!$E$13)</x:f>
        <x:v>0</x:v>
      </x:c>
      <x:c r="AD231" s="27" t="n">
        <x:f>IF(AA231+AB231-AC231&lt;=0,99,1+SUM(IF(AND(C231+D231-E231&gt;0,OR('Debt strategy'!$D$9&gt;'Debt strategy'!$D$13,AND('Debt strategy'!$D$9='Debt strategy'!$D$13,0&lt;4))),1,0),IF(AND(I231+J231-K231&gt;0,OR('Debt strategy'!$D$10&gt;'Debt strategy'!$D$13,AND('Debt strategy'!$D$10='Debt strategy'!$D$13,1&lt;4))),1,0),IF(AND(O231+P231-Q231&gt;0,OR('Debt strategy'!$D$11&gt;'Debt strategy'!$D$13,AND('Debt strategy'!$D$11='Debt strategy'!$D$13,2&lt;4))),1,0),IF(AND(U231+V231-W231&gt;0,OR('Debt strategy'!$D$12&gt;'Debt strategy'!$D$13,AND('Debt strategy'!$D$12='Debt strategy'!$D$13,3&lt;4))),1,0)))</x:f>
        <x:v>99</x:v>
      </x:c>
      <x:c r="AE231" s="6" t="n">
        <x:f>IF('Debt strategy'!$C$16&gt;0,0,MIN(AA231+AB231-AC231,MAX(0,'Debt strategy'!$C$5-SUM(E231,K231,Q231,W231,AC231)-SUM(IF(F231&lt;AD231,C231+D231-E231,0),IF(L231&lt;AD231,I231+J231-K231,0),IF(R231&lt;AD231,O231+P231-Q231,0),IF(X231&lt;AD231,U231+V231-W231,0)))))</x:f>
        <x:v>0</x:v>
      </x:c>
      <x:c r="AF231" s="6" t="n">
        <x:f>ROUND(MAX(0,AA231+AB231-AC231-AE231),2)</x:f>
        <x:v>0</x:v>
      </x:c>
      <x:c r="AG231" s="6" t="n">
        <x:f>SUM(H231,N231,T231,Z231,AF231)</x:f>
        <x:v>0</x:v>
      </x:c>
      <x:c r="AH231" s="6" t="n">
        <x:f>SUM(D231,J231,P231,V231,AB231)+AH230</x:f>
        <x:v>1220.8400000000001</x:v>
      </x:c>
      <x:c r="AI231" s="2"/>
    </x:row>
    <x:row r="232" ht="23" customHeight="1">
      <x:c r="B232" s="2" t="n">
        <x:f>224</x:f>
        <x:v>224</x:v>
      </x:c>
      <x:c r="C232" s="6" t="n">
        <x:f>H231</x:f>
        <x:v>0</x:v>
      </x:c>
      <x:c r="D232" s="6" t="n">
        <x:f>ROUND(C232*'Debt strategy'!$D$9/12,2)</x:f>
        <x:v>0</x:v>
      </x:c>
      <x:c r="E232" s="6" t="n">
        <x:f>MIN(C232+D232,'Debt strategy'!$E$9)</x:f>
        <x:v>0</x:v>
      </x:c>
      <x:c r="F232" s="27" t="n">
        <x:f>IF(C232+D232-E232&lt;=0,99,1+SUM(IF(AND(I232+J232-K232&gt;0,OR('Debt strategy'!$D$10&gt;'Debt strategy'!$D$9,AND('Debt strategy'!$D$10='Debt strategy'!$D$9,1&lt;0))),1,0),IF(AND(O232+P232-Q232&gt;0,OR('Debt strategy'!$D$11&gt;'Debt strategy'!$D$9,AND('Debt strategy'!$D$11='Debt strategy'!$D$9,2&lt;0))),1,0),IF(AND(U232+V232-W232&gt;0,OR('Debt strategy'!$D$12&gt;'Debt strategy'!$D$9,AND('Debt strategy'!$D$12='Debt strategy'!$D$9,3&lt;0))),1,0),IF(AND(AA232+AB232-AC232&gt;0,OR('Debt strategy'!$D$13&gt;'Debt strategy'!$D$9,AND('Debt strategy'!$D$13='Debt strategy'!$D$9,4&lt;0))),1,0)))</x:f>
        <x:v>99</x:v>
      </x:c>
      <x:c r="G232" s="6" t="n">
        <x:f>IF('Debt strategy'!$C$16&gt;0,0,MIN(C232+D232-E232,MAX(0,'Debt strategy'!$C$5-SUM(E232,K232,Q232,W232,AC232)-SUM(IF(L232&lt;F232,I232+J232-K232,0),IF(R232&lt;F232,O232+P232-Q232,0),IF(X232&lt;F232,U232+V232-W232,0),IF(AD232&lt;F232,AA232+AB232-AC232,0)))))</x:f>
        <x:v>0</x:v>
      </x:c>
      <x:c r="H232" s="6" t="n">
        <x:f>ROUND(MAX(0,C232+D232-E232-G232),2)</x:f>
        <x:v>0</x:v>
      </x:c>
      <x:c r="I232" s="6" t="n">
        <x:f>N231</x:f>
        <x:v>0</x:v>
      </x:c>
      <x:c r="J232" s="6" t="n">
        <x:f>ROUND(I232*'Debt strategy'!$D$10/12,2)</x:f>
        <x:v>0</x:v>
      </x:c>
      <x:c r="K232" s="6" t="n">
        <x:f>MIN(I232+J232,'Debt strategy'!$E$10)</x:f>
        <x:v>0</x:v>
      </x:c>
      <x:c r="L232" s="27" t="n">
        <x:f>IF(I232+J232-K232&lt;=0,99,1+SUM(IF(AND(C232+D232-E232&gt;0,OR('Debt strategy'!$D$9&gt;'Debt strategy'!$D$10,AND('Debt strategy'!$D$9='Debt strategy'!$D$10,0&lt;1))),1,0),IF(AND(O232+P232-Q232&gt;0,OR('Debt strategy'!$D$11&gt;'Debt strategy'!$D$10,AND('Debt strategy'!$D$11='Debt strategy'!$D$10,2&lt;1))),1,0),IF(AND(U232+V232-W232&gt;0,OR('Debt strategy'!$D$12&gt;'Debt strategy'!$D$10,AND('Debt strategy'!$D$12='Debt strategy'!$D$10,3&lt;1))),1,0),IF(AND(AA232+AB232-AC232&gt;0,OR('Debt strategy'!$D$13&gt;'Debt strategy'!$D$10,AND('Debt strategy'!$D$13='Debt strategy'!$D$10,4&lt;1))),1,0)))</x:f>
        <x:v>99</x:v>
      </x:c>
      <x:c r="M232" s="6" t="n">
        <x:f>IF('Debt strategy'!$C$16&gt;0,0,MIN(I232+J232-K232,MAX(0,'Debt strategy'!$C$5-SUM(E232,K232,Q232,W232,AC232)-SUM(IF(F232&lt;L232,C232+D232-E232,0),IF(R232&lt;L232,O232+P232-Q232,0),IF(X232&lt;L232,U232+V232-W232,0),IF(AD232&lt;L232,AA232+AB232-AC232,0)))))</x:f>
        <x:v>0</x:v>
      </x:c>
      <x:c r="N232" s="6" t="n">
        <x:f>ROUND(MAX(0,I232+J232-K232-M232),2)</x:f>
        <x:v>0</x:v>
      </x:c>
      <x:c r="O232" s="6" t="n">
        <x:f>T231</x:f>
        <x:v>0</x:v>
      </x:c>
      <x:c r="P232" s="6" t="n">
        <x:f>ROUND(O232*'Debt strategy'!$D$11/12,2)</x:f>
        <x:v>0</x:v>
      </x:c>
      <x:c r="Q232" s="6" t="n">
        <x:f>MIN(O232+P232,'Debt strategy'!$E$11)</x:f>
        <x:v>0</x:v>
      </x:c>
      <x:c r="R232" s="27" t="n">
        <x:f>IF(O232+P232-Q232&lt;=0,99,1+SUM(IF(AND(C232+D232-E232&gt;0,OR('Debt strategy'!$D$9&gt;'Debt strategy'!$D$11,AND('Debt strategy'!$D$9='Debt strategy'!$D$11,0&lt;2))),1,0),IF(AND(I232+J232-K232&gt;0,OR('Debt strategy'!$D$10&gt;'Debt strategy'!$D$11,AND('Debt strategy'!$D$10='Debt strategy'!$D$11,1&lt;2))),1,0),IF(AND(U232+V232-W232&gt;0,OR('Debt strategy'!$D$12&gt;'Debt strategy'!$D$11,AND('Debt strategy'!$D$12='Debt strategy'!$D$11,3&lt;2))),1,0),IF(AND(AA232+AB232-AC232&gt;0,OR('Debt strategy'!$D$13&gt;'Debt strategy'!$D$11,AND('Debt strategy'!$D$13='Debt strategy'!$D$11,4&lt;2))),1,0)))</x:f>
        <x:v>99</x:v>
      </x:c>
      <x:c r="S232" s="6" t="n">
        <x:f>IF('Debt strategy'!$C$16&gt;0,0,MIN(O232+P232-Q232,MAX(0,'Debt strategy'!$C$5-SUM(E232,K232,Q232,W232,AC232)-SUM(IF(F232&lt;R232,C232+D232-E232,0),IF(L232&lt;R232,I232+J232-K232,0),IF(X232&lt;R232,U232+V232-W232,0),IF(AD232&lt;R232,AA232+AB232-AC232,0)))))</x:f>
        <x:v>0</x:v>
      </x:c>
      <x:c r="T232" s="6" t="n">
        <x:f>ROUND(MAX(0,O232+P232-Q232-S232),2)</x:f>
        <x:v>0</x:v>
      </x:c>
      <x:c r="U232" s="6" t="n">
        <x:f>Z231</x:f>
        <x:v>0</x:v>
      </x:c>
      <x:c r="V232" s="6" t="n">
        <x:f>ROUND(U232*'Debt strategy'!$D$12/12,2)</x:f>
        <x:v>0</x:v>
      </x:c>
      <x:c r="W232" s="6" t="n">
        <x:f>MIN(U232+V232,'Debt strategy'!$E$12)</x:f>
        <x:v>0</x:v>
      </x:c>
      <x:c r="X232" s="27" t="n">
        <x:f>IF(U232+V232-W232&lt;=0,99,1+SUM(IF(AND(C232+D232-E232&gt;0,OR('Debt strategy'!$D$9&gt;'Debt strategy'!$D$12,AND('Debt strategy'!$D$9='Debt strategy'!$D$12,0&lt;3))),1,0),IF(AND(I232+J232-K232&gt;0,OR('Debt strategy'!$D$10&gt;'Debt strategy'!$D$12,AND('Debt strategy'!$D$10='Debt strategy'!$D$12,1&lt;3))),1,0),IF(AND(O232+P232-Q232&gt;0,OR('Debt strategy'!$D$11&gt;'Debt strategy'!$D$12,AND('Debt strategy'!$D$11='Debt strategy'!$D$12,2&lt;3))),1,0),IF(AND(AA232+AB232-AC232&gt;0,OR('Debt strategy'!$D$13&gt;'Debt strategy'!$D$12,AND('Debt strategy'!$D$13='Debt strategy'!$D$12,4&lt;3))),1,0)))</x:f>
        <x:v>99</x:v>
      </x:c>
      <x:c r="Y232" s="6" t="n">
        <x:f>IF('Debt strategy'!$C$16&gt;0,0,MIN(U232+V232-W232,MAX(0,'Debt strategy'!$C$5-SUM(E232,K232,Q232,W232,AC232)-SUM(IF(F232&lt;X232,C232+D232-E232,0),IF(L232&lt;X232,I232+J232-K232,0),IF(R232&lt;X232,O232+P232-Q232,0),IF(AD232&lt;X232,AA232+AB232-AC232,0)))))</x:f>
        <x:v>0</x:v>
      </x:c>
      <x:c r="Z232" s="6" t="n">
        <x:f>ROUND(MAX(0,U232+V232-W232-Y232),2)</x:f>
        <x:v>0</x:v>
      </x:c>
      <x:c r="AA232" s="6" t="n">
        <x:f>AF231</x:f>
        <x:v>0</x:v>
      </x:c>
      <x:c r="AB232" s="6" t="n">
        <x:f>ROUND(AA232*'Debt strategy'!$D$13/12,2)</x:f>
        <x:v>0</x:v>
      </x:c>
      <x:c r="AC232" s="6" t="n">
        <x:f>MIN(AA232+AB232,'Debt strategy'!$E$13)</x:f>
        <x:v>0</x:v>
      </x:c>
      <x:c r="AD232" s="27" t="n">
        <x:f>IF(AA232+AB232-AC232&lt;=0,99,1+SUM(IF(AND(C232+D232-E232&gt;0,OR('Debt strategy'!$D$9&gt;'Debt strategy'!$D$13,AND('Debt strategy'!$D$9='Debt strategy'!$D$13,0&lt;4))),1,0),IF(AND(I232+J232-K232&gt;0,OR('Debt strategy'!$D$10&gt;'Debt strategy'!$D$13,AND('Debt strategy'!$D$10='Debt strategy'!$D$13,1&lt;4))),1,0),IF(AND(O232+P232-Q232&gt;0,OR('Debt strategy'!$D$11&gt;'Debt strategy'!$D$13,AND('Debt strategy'!$D$11='Debt strategy'!$D$13,2&lt;4))),1,0),IF(AND(U232+V232-W232&gt;0,OR('Debt strategy'!$D$12&gt;'Debt strategy'!$D$13,AND('Debt strategy'!$D$12='Debt strategy'!$D$13,3&lt;4))),1,0)))</x:f>
        <x:v>99</x:v>
      </x:c>
      <x:c r="AE232" s="6" t="n">
        <x:f>IF('Debt strategy'!$C$16&gt;0,0,MIN(AA232+AB232-AC232,MAX(0,'Debt strategy'!$C$5-SUM(E232,K232,Q232,W232,AC232)-SUM(IF(F232&lt;AD232,C232+D232-E232,0),IF(L232&lt;AD232,I232+J232-K232,0),IF(R232&lt;AD232,O232+P232-Q232,0),IF(X232&lt;AD232,U232+V232-W232,0)))))</x:f>
        <x:v>0</x:v>
      </x:c>
      <x:c r="AF232" s="6" t="n">
        <x:f>ROUND(MAX(0,AA232+AB232-AC232-AE232),2)</x:f>
        <x:v>0</x:v>
      </x:c>
      <x:c r="AG232" s="6" t="n">
        <x:f>SUM(H232,N232,T232,Z232,AF232)</x:f>
        <x:v>0</x:v>
      </x:c>
      <x:c r="AH232" s="6" t="n">
        <x:f>SUM(D232,J232,P232,V232,AB232)+AH231</x:f>
        <x:v>1220.8400000000001</x:v>
      </x:c>
      <x:c r="AI232" s="2"/>
    </x:row>
    <x:row r="233" ht="23" customHeight="1">
      <x:c r="B233" s="2" t="n">
        <x:f>225</x:f>
        <x:v>225</x:v>
      </x:c>
      <x:c r="C233" s="6" t="n">
        <x:f>H232</x:f>
        <x:v>0</x:v>
      </x:c>
      <x:c r="D233" s="6" t="n">
        <x:f>ROUND(C233*'Debt strategy'!$D$9/12,2)</x:f>
        <x:v>0</x:v>
      </x:c>
      <x:c r="E233" s="6" t="n">
        <x:f>MIN(C233+D233,'Debt strategy'!$E$9)</x:f>
        <x:v>0</x:v>
      </x:c>
      <x:c r="F233" s="27" t="n">
        <x:f>IF(C233+D233-E233&lt;=0,99,1+SUM(IF(AND(I233+J233-K233&gt;0,OR('Debt strategy'!$D$10&gt;'Debt strategy'!$D$9,AND('Debt strategy'!$D$10='Debt strategy'!$D$9,1&lt;0))),1,0),IF(AND(O233+P233-Q233&gt;0,OR('Debt strategy'!$D$11&gt;'Debt strategy'!$D$9,AND('Debt strategy'!$D$11='Debt strategy'!$D$9,2&lt;0))),1,0),IF(AND(U233+V233-W233&gt;0,OR('Debt strategy'!$D$12&gt;'Debt strategy'!$D$9,AND('Debt strategy'!$D$12='Debt strategy'!$D$9,3&lt;0))),1,0),IF(AND(AA233+AB233-AC233&gt;0,OR('Debt strategy'!$D$13&gt;'Debt strategy'!$D$9,AND('Debt strategy'!$D$13='Debt strategy'!$D$9,4&lt;0))),1,0)))</x:f>
        <x:v>99</x:v>
      </x:c>
      <x:c r="G233" s="6" t="n">
        <x:f>IF('Debt strategy'!$C$16&gt;0,0,MIN(C233+D233-E233,MAX(0,'Debt strategy'!$C$5-SUM(E233,K233,Q233,W233,AC233)-SUM(IF(L233&lt;F233,I233+J233-K233,0),IF(R233&lt;F233,O233+P233-Q233,0),IF(X233&lt;F233,U233+V233-W233,0),IF(AD233&lt;F233,AA233+AB233-AC233,0)))))</x:f>
        <x:v>0</x:v>
      </x:c>
      <x:c r="H233" s="6" t="n">
        <x:f>ROUND(MAX(0,C233+D233-E233-G233),2)</x:f>
        <x:v>0</x:v>
      </x:c>
      <x:c r="I233" s="6" t="n">
        <x:f>N232</x:f>
        <x:v>0</x:v>
      </x:c>
      <x:c r="J233" s="6" t="n">
        <x:f>ROUND(I233*'Debt strategy'!$D$10/12,2)</x:f>
        <x:v>0</x:v>
      </x:c>
      <x:c r="K233" s="6" t="n">
        <x:f>MIN(I233+J233,'Debt strategy'!$E$10)</x:f>
        <x:v>0</x:v>
      </x:c>
      <x:c r="L233" s="27" t="n">
        <x:f>IF(I233+J233-K233&lt;=0,99,1+SUM(IF(AND(C233+D233-E233&gt;0,OR('Debt strategy'!$D$9&gt;'Debt strategy'!$D$10,AND('Debt strategy'!$D$9='Debt strategy'!$D$10,0&lt;1))),1,0),IF(AND(O233+P233-Q233&gt;0,OR('Debt strategy'!$D$11&gt;'Debt strategy'!$D$10,AND('Debt strategy'!$D$11='Debt strategy'!$D$10,2&lt;1))),1,0),IF(AND(U233+V233-W233&gt;0,OR('Debt strategy'!$D$12&gt;'Debt strategy'!$D$10,AND('Debt strategy'!$D$12='Debt strategy'!$D$10,3&lt;1))),1,0),IF(AND(AA233+AB233-AC233&gt;0,OR('Debt strategy'!$D$13&gt;'Debt strategy'!$D$10,AND('Debt strategy'!$D$13='Debt strategy'!$D$10,4&lt;1))),1,0)))</x:f>
        <x:v>99</x:v>
      </x:c>
      <x:c r="M233" s="6" t="n">
        <x:f>IF('Debt strategy'!$C$16&gt;0,0,MIN(I233+J233-K233,MAX(0,'Debt strategy'!$C$5-SUM(E233,K233,Q233,W233,AC233)-SUM(IF(F233&lt;L233,C233+D233-E233,0),IF(R233&lt;L233,O233+P233-Q233,0),IF(X233&lt;L233,U233+V233-W233,0),IF(AD233&lt;L233,AA233+AB233-AC233,0)))))</x:f>
        <x:v>0</x:v>
      </x:c>
      <x:c r="N233" s="6" t="n">
        <x:f>ROUND(MAX(0,I233+J233-K233-M233),2)</x:f>
        <x:v>0</x:v>
      </x:c>
      <x:c r="O233" s="6" t="n">
        <x:f>T232</x:f>
        <x:v>0</x:v>
      </x:c>
      <x:c r="P233" s="6" t="n">
        <x:f>ROUND(O233*'Debt strategy'!$D$11/12,2)</x:f>
        <x:v>0</x:v>
      </x:c>
      <x:c r="Q233" s="6" t="n">
        <x:f>MIN(O233+P233,'Debt strategy'!$E$11)</x:f>
        <x:v>0</x:v>
      </x:c>
      <x:c r="R233" s="27" t="n">
        <x:f>IF(O233+P233-Q233&lt;=0,99,1+SUM(IF(AND(C233+D233-E233&gt;0,OR('Debt strategy'!$D$9&gt;'Debt strategy'!$D$11,AND('Debt strategy'!$D$9='Debt strategy'!$D$11,0&lt;2))),1,0),IF(AND(I233+J233-K233&gt;0,OR('Debt strategy'!$D$10&gt;'Debt strategy'!$D$11,AND('Debt strategy'!$D$10='Debt strategy'!$D$11,1&lt;2))),1,0),IF(AND(U233+V233-W233&gt;0,OR('Debt strategy'!$D$12&gt;'Debt strategy'!$D$11,AND('Debt strategy'!$D$12='Debt strategy'!$D$11,3&lt;2))),1,0),IF(AND(AA233+AB233-AC233&gt;0,OR('Debt strategy'!$D$13&gt;'Debt strategy'!$D$11,AND('Debt strategy'!$D$13='Debt strategy'!$D$11,4&lt;2))),1,0)))</x:f>
        <x:v>99</x:v>
      </x:c>
      <x:c r="S233" s="6" t="n">
        <x:f>IF('Debt strategy'!$C$16&gt;0,0,MIN(O233+P233-Q233,MAX(0,'Debt strategy'!$C$5-SUM(E233,K233,Q233,W233,AC233)-SUM(IF(F233&lt;R233,C233+D233-E233,0),IF(L233&lt;R233,I233+J233-K233,0),IF(X233&lt;R233,U233+V233-W233,0),IF(AD233&lt;R233,AA233+AB233-AC233,0)))))</x:f>
        <x:v>0</x:v>
      </x:c>
      <x:c r="T233" s="6" t="n">
        <x:f>ROUND(MAX(0,O233+P233-Q233-S233),2)</x:f>
        <x:v>0</x:v>
      </x:c>
      <x:c r="U233" s="6" t="n">
        <x:f>Z232</x:f>
        <x:v>0</x:v>
      </x:c>
      <x:c r="V233" s="6" t="n">
        <x:f>ROUND(U233*'Debt strategy'!$D$12/12,2)</x:f>
        <x:v>0</x:v>
      </x:c>
      <x:c r="W233" s="6" t="n">
        <x:f>MIN(U233+V233,'Debt strategy'!$E$12)</x:f>
        <x:v>0</x:v>
      </x:c>
      <x:c r="X233" s="27" t="n">
        <x:f>IF(U233+V233-W233&lt;=0,99,1+SUM(IF(AND(C233+D233-E233&gt;0,OR('Debt strategy'!$D$9&gt;'Debt strategy'!$D$12,AND('Debt strategy'!$D$9='Debt strategy'!$D$12,0&lt;3))),1,0),IF(AND(I233+J233-K233&gt;0,OR('Debt strategy'!$D$10&gt;'Debt strategy'!$D$12,AND('Debt strategy'!$D$10='Debt strategy'!$D$12,1&lt;3))),1,0),IF(AND(O233+P233-Q233&gt;0,OR('Debt strategy'!$D$11&gt;'Debt strategy'!$D$12,AND('Debt strategy'!$D$11='Debt strategy'!$D$12,2&lt;3))),1,0),IF(AND(AA233+AB233-AC233&gt;0,OR('Debt strategy'!$D$13&gt;'Debt strategy'!$D$12,AND('Debt strategy'!$D$13='Debt strategy'!$D$12,4&lt;3))),1,0)))</x:f>
        <x:v>99</x:v>
      </x:c>
      <x:c r="Y233" s="6" t="n">
        <x:f>IF('Debt strategy'!$C$16&gt;0,0,MIN(U233+V233-W233,MAX(0,'Debt strategy'!$C$5-SUM(E233,K233,Q233,W233,AC233)-SUM(IF(F233&lt;X233,C233+D233-E233,0),IF(L233&lt;X233,I233+J233-K233,0),IF(R233&lt;X233,O233+P233-Q233,0),IF(AD233&lt;X233,AA233+AB233-AC233,0)))))</x:f>
        <x:v>0</x:v>
      </x:c>
      <x:c r="Z233" s="6" t="n">
        <x:f>ROUND(MAX(0,U233+V233-W233-Y233),2)</x:f>
        <x:v>0</x:v>
      </x:c>
      <x:c r="AA233" s="6" t="n">
        <x:f>AF232</x:f>
        <x:v>0</x:v>
      </x:c>
      <x:c r="AB233" s="6" t="n">
        <x:f>ROUND(AA233*'Debt strategy'!$D$13/12,2)</x:f>
        <x:v>0</x:v>
      </x:c>
      <x:c r="AC233" s="6" t="n">
        <x:f>MIN(AA233+AB233,'Debt strategy'!$E$13)</x:f>
        <x:v>0</x:v>
      </x:c>
      <x:c r="AD233" s="27" t="n">
        <x:f>IF(AA233+AB233-AC233&lt;=0,99,1+SUM(IF(AND(C233+D233-E233&gt;0,OR('Debt strategy'!$D$9&gt;'Debt strategy'!$D$13,AND('Debt strategy'!$D$9='Debt strategy'!$D$13,0&lt;4))),1,0),IF(AND(I233+J233-K233&gt;0,OR('Debt strategy'!$D$10&gt;'Debt strategy'!$D$13,AND('Debt strategy'!$D$10='Debt strategy'!$D$13,1&lt;4))),1,0),IF(AND(O233+P233-Q233&gt;0,OR('Debt strategy'!$D$11&gt;'Debt strategy'!$D$13,AND('Debt strategy'!$D$11='Debt strategy'!$D$13,2&lt;4))),1,0),IF(AND(U233+V233-W233&gt;0,OR('Debt strategy'!$D$12&gt;'Debt strategy'!$D$13,AND('Debt strategy'!$D$12='Debt strategy'!$D$13,3&lt;4))),1,0)))</x:f>
        <x:v>99</x:v>
      </x:c>
      <x:c r="AE233" s="6" t="n">
        <x:f>IF('Debt strategy'!$C$16&gt;0,0,MIN(AA233+AB233-AC233,MAX(0,'Debt strategy'!$C$5-SUM(E233,K233,Q233,W233,AC233)-SUM(IF(F233&lt;AD233,C233+D233-E233,0),IF(L233&lt;AD233,I233+J233-K233,0),IF(R233&lt;AD233,O233+P233-Q233,0),IF(X233&lt;AD233,U233+V233-W233,0)))))</x:f>
        <x:v>0</x:v>
      </x:c>
      <x:c r="AF233" s="6" t="n">
        <x:f>ROUND(MAX(0,AA233+AB233-AC233-AE233),2)</x:f>
        <x:v>0</x:v>
      </x:c>
      <x:c r="AG233" s="6" t="n">
        <x:f>SUM(H233,N233,T233,Z233,AF233)</x:f>
        <x:v>0</x:v>
      </x:c>
      <x:c r="AH233" s="6" t="n">
        <x:f>SUM(D233,J233,P233,V233,AB233)+AH232</x:f>
        <x:v>1220.8400000000001</x:v>
      </x:c>
      <x:c r="AI233" s="2"/>
    </x:row>
    <x:row r="234" ht="23" customHeight="1">
      <x:c r="B234" s="2" t="n">
        <x:f>226</x:f>
        <x:v>226</x:v>
      </x:c>
      <x:c r="C234" s="6" t="n">
        <x:f>H233</x:f>
        <x:v>0</x:v>
      </x:c>
      <x:c r="D234" s="6" t="n">
        <x:f>ROUND(C234*'Debt strategy'!$D$9/12,2)</x:f>
        <x:v>0</x:v>
      </x:c>
      <x:c r="E234" s="6" t="n">
        <x:f>MIN(C234+D234,'Debt strategy'!$E$9)</x:f>
        <x:v>0</x:v>
      </x:c>
      <x:c r="F234" s="27" t="n">
        <x:f>IF(C234+D234-E234&lt;=0,99,1+SUM(IF(AND(I234+J234-K234&gt;0,OR('Debt strategy'!$D$10&gt;'Debt strategy'!$D$9,AND('Debt strategy'!$D$10='Debt strategy'!$D$9,1&lt;0))),1,0),IF(AND(O234+P234-Q234&gt;0,OR('Debt strategy'!$D$11&gt;'Debt strategy'!$D$9,AND('Debt strategy'!$D$11='Debt strategy'!$D$9,2&lt;0))),1,0),IF(AND(U234+V234-W234&gt;0,OR('Debt strategy'!$D$12&gt;'Debt strategy'!$D$9,AND('Debt strategy'!$D$12='Debt strategy'!$D$9,3&lt;0))),1,0),IF(AND(AA234+AB234-AC234&gt;0,OR('Debt strategy'!$D$13&gt;'Debt strategy'!$D$9,AND('Debt strategy'!$D$13='Debt strategy'!$D$9,4&lt;0))),1,0)))</x:f>
        <x:v>99</x:v>
      </x:c>
      <x:c r="G234" s="6" t="n">
        <x:f>IF('Debt strategy'!$C$16&gt;0,0,MIN(C234+D234-E234,MAX(0,'Debt strategy'!$C$5-SUM(E234,K234,Q234,W234,AC234)-SUM(IF(L234&lt;F234,I234+J234-K234,0),IF(R234&lt;F234,O234+P234-Q234,0),IF(X234&lt;F234,U234+V234-W234,0),IF(AD234&lt;F234,AA234+AB234-AC234,0)))))</x:f>
        <x:v>0</x:v>
      </x:c>
      <x:c r="H234" s="6" t="n">
        <x:f>ROUND(MAX(0,C234+D234-E234-G234),2)</x:f>
        <x:v>0</x:v>
      </x:c>
      <x:c r="I234" s="6" t="n">
        <x:f>N233</x:f>
        <x:v>0</x:v>
      </x:c>
      <x:c r="J234" s="6" t="n">
        <x:f>ROUND(I234*'Debt strategy'!$D$10/12,2)</x:f>
        <x:v>0</x:v>
      </x:c>
      <x:c r="K234" s="6" t="n">
        <x:f>MIN(I234+J234,'Debt strategy'!$E$10)</x:f>
        <x:v>0</x:v>
      </x:c>
      <x:c r="L234" s="27" t="n">
        <x:f>IF(I234+J234-K234&lt;=0,99,1+SUM(IF(AND(C234+D234-E234&gt;0,OR('Debt strategy'!$D$9&gt;'Debt strategy'!$D$10,AND('Debt strategy'!$D$9='Debt strategy'!$D$10,0&lt;1))),1,0),IF(AND(O234+P234-Q234&gt;0,OR('Debt strategy'!$D$11&gt;'Debt strategy'!$D$10,AND('Debt strategy'!$D$11='Debt strategy'!$D$10,2&lt;1))),1,0),IF(AND(U234+V234-W234&gt;0,OR('Debt strategy'!$D$12&gt;'Debt strategy'!$D$10,AND('Debt strategy'!$D$12='Debt strategy'!$D$10,3&lt;1))),1,0),IF(AND(AA234+AB234-AC234&gt;0,OR('Debt strategy'!$D$13&gt;'Debt strategy'!$D$10,AND('Debt strategy'!$D$13='Debt strategy'!$D$10,4&lt;1))),1,0)))</x:f>
        <x:v>99</x:v>
      </x:c>
      <x:c r="M234" s="6" t="n">
        <x:f>IF('Debt strategy'!$C$16&gt;0,0,MIN(I234+J234-K234,MAX(0,'Debt strategy'!$C$5-SUM(E234,K234,Q234,W234,AC234)-SUM(IF(F234&lt;L234,C234+D234-E234,0),IF(R234&lt;L234,O234+P234-Q234,0),IF(X234&lt;L234,U234+V234-W234,0),IF(AD234&lt;L234,AA234+AB234-AC234,0)))))</x:f>
        <x:v>0</x:v>
      </x:c>
      <x:c r="N234" s="6" t="n">
        <x:f>ROUND(MAX(0,I234+J234-K234-M234),2)</x:f>
        <x:v>0</x:v>
      </x:c>
      <x:c r="O234" s="6" t="n">
        <x:f>T233</x:f>
        <x:v>0</x:v>
      </x:c>
      <x:c r="P234" s="6" t="n">
        <x:f>ROUND(O234*'Debt strategy'!$D$11/12,2)</x:f>
        <x:v>0</x:v>
      </x:c>
      <x:c r="Q234" s="6" t="n">
        <x:f>MIN(O234+P234,'Debt strategy'!$E$11)</x:f>
        <x:v>0</x:v>
      </x:c>
      <x:c r="R234" s="27" t="n">
        <x:f>IF(O234+P234-Q234&lt;=0,99,1+SUM(IF(AND(C234+D234-E234&gt;0,OR('Debt strategy'!$D$9&gt;'Debt strategy'!$D$11,AND('Debt strategy'!$D$9='Debt strategy'!$D$11,0&lt;2))),1,0),IF(AND(I234+J234-K234&gt;0,OR('Debt strategy'!$D$10&gt;'Debt strategy'!$D$11,AND('Debt strategy'!$D$10='Debt strategy'!$D$11,1&lt;2))),1,0),IF(AND(U234+V234-W234&gt;0,OR('Debt strategy'!$D$12&gt;'Debt strategy'!$D$11,AND('Debt strategy'!$D$12='Debt strategy'!$D$11,3&lt;2))),1,0),IF(AND(AA234+AB234-AC234&gt;0,OR('Debt strategy'!$D$13&gt;'Debt strategy'!$D$11,AND('Debt strategy'!$D$13='Debt strategy'!$D$11,4&lt;2))),1,0)))</x:f>
        <x:v>99</x:v>
      </x:c>
      <x:c r="S234" s="6" t="n">
        <x:f>IF('Debt strategy'!$C$16&gt;0,0,MIN(O234+P234-Q234,MAX(0,'Debt strategy'!$C$5-SUM(E234,K234,Q234,W234,AC234)-SUM(IF(F234&lt;R234,C234+D234-E234,0),IF(L234&lt;R234,I234+J234-K234,0),IF(X234&lt;R234,U234+V234-W234,0),IF(AD234&lt;R234,AA234+AB234-AC234,0)))))</x:f>
        <x:v>0</x:v>
      </x:c>
      <x:c r="T234" s="6" t="n">
        <x:f>ROUND(MAX(0,O234+P234-Q234-S234),2)</x:f>
        <x:v>0</x:v>
      </x:c>
      <x:c r="U234" s="6" t="n">
        <x:f>Z233</x:f>
        <x:v>0</x:v>
      </x:c>
      <x:c r="V234" s="6" t="n">
        <x:f>ROUND(U234*'Debt strategy'!$D$12/12,2)</x:f>
        <x:v>0</x:v>
      </x:c>
      <x:c r="W234" s="6" t="n">
        <x:f>MIN(U234+V234,'Debt strategy'!$E$12)</x:f>
        <x:v>0</x:v>
      </x:c>
      <x:c r="X234" s="27" t="n">
        <x:f>IF(U234+V234-W234&lt;=0,99,1+SUM(IF(AND(C234+D234-E234&gt;0,OR('Debt strategy'!$D$9&gt;'Debt strategy'!$D$12,AND('Debt strategy'!$D$9='Debt strategy'!$D$12,0&lt;3))),1,0),IF(AND(I234+J234-K234&gt;0,OR('Debt strategy'!$D$10&gt;'Debt strategy'!$D$12,AND('Debt strategy'!$D$10='Debt strategy'!$D$12,1&lt;3))),1,0),IF(AND(O234+P234-Q234&gt;0,OR('Debt strategy'!$D$11&gt;'Debt strategy'!$D$12,AND('Debt strategy'!$D$11='Debt strategy'!$D$12,2&lt;3))),1,0),IF(AND(AA234+AB234-AC234&gt;0,OR('Debt strategy'!$D$13&gt;'Debt strategy'!$D$12,AND('Debt strategy'!$D$13='Debt strategy'!$D$12,4&lt;3))),1,0)))</x:f>
        <x:v>99</x:v>
      </x:c>
      <x:c r="Y234" s="6" t="n">
        <x:f>IF('Debt strategy'!$C$16&gt;0,0,MIN(U234+V234-W234,MAX(0,'Debt strategy'!$C$5-SUM(E234,K234,Q234,W234,AC234)-SUM(IF(F234&lt;X234,C234+D234-E234,0),IF(L234&lt;X234,I234+J234-K234,0),IF(R234&lt;X234,O234+P234-Q234,0),IF(AD234&lt;X234,AA234+AB234-AC234,0)))))</x:f>
        <x:v>0</x:v>
      </x:c>
      <x:c r="Z234" s="6" t="n">
        <x:f>ROUND(MAX(0,U234+V234-W234-Y234),2)</x:f>
        <x:v>0</x:v>
      </x:c>
      <x:c r="AA234" s="6" t="n">
        <x:f>AF233</x:f>
        <x:v>0</x:v>
      </x:c>
      <x:c r="AB234" s="6" t="n">
        <x:f>ROUND(AA234*'Debt strategy'!$D$13/12,2)</x:f>
        <x:v>0</x:v>
      </x:c>
      <x:c r="AC234" s="6" t="n">
        <x:f>MIN(AA234+AB234,'Debt strategy'!$E$13)</x:f>
        <x:v>0</x:v>
      </x:c>
      <x:c r="AD234" s="27" t="n">
        <x:f>IF(AA234+AB234-AC234&lt;=0,99,1+SUM(IF(AND(C234+D234-E234&gt;0,OR('Debt strategy'!$D$9&gt;'Debt strategy'!$D$13,AND('Debt strategy'!$D$9='Debt strategy'!$D$13,0&lt;4))),1,0),IF(AND(I234+J234-K234&gt;0,OR('Debt strategy'!$D$10&gt;'Debt strategy'!$D$13,AND('Debt strategy'!$D$10='Debt strategy'!$D$13,1&lt;4))),1,0),IF(AND(O234+P234-Q234&gt;0,OR('Debt strategy'!$D$11&gt;'Debt strategy'!$D$13,AND('Debt strategy'!$D$11='Debt strategy'!$D$13,2&lt;4))),1,0),IF(AND(U234+V234-W234&gt;0,OR('Debt strategy'!$D$12&gt;'Debt strategy'!$D$13,AND('Debt strategy'!$D$12='Debt strategy'!$D$13,3&lt;4))),1,0)))</x:f>
        <x:v>99</x:v>
      </x:c>
      <x:c r="AE234" s="6" t="n">
        <x:f>IF('Debt strategy'!$C$16&gt;0,0,MIN(AA234+AB234-AC234,MAX(0,'Debt strategy'!$C$5-SUM(E234,K234,Q234,W234,AC234)-SUM(IF(F234&lt;AD234,C234+D234-E234,0),IF(L234&lt;AD234,I234+J234-K234,0),IF(R234&lt;AD234,O234+P234-Q234,0),IF(X234&lt;AD234,U234+V234-W234,0)))))</x:f>
        <x:v>0</x:v>
      </x:c>
      <x:c r="AF234" s="6" t="n">
        <x:f>ROUND(MAX(0,AA234+AB234-AC234-AE234),2)</x:f>
        <x:v>0</x:v>
      </x:c>
      <x:c r="AG234" s="6" t="n">
        <x:f>SUM(H234,N234,T234,Z234,AF234)</x:f>
        <x:v>0</x:v>
      </x:c>
      <x:c r="AH234" s="6" t="n">
        <x:f>SUM(D234,J234,P234,V234,AB234)+AH233</x:f>
        <x:v>1220.8400000000001</x:v>
      </x:c>
      <x:c r="AI234" s="2"/>
    </x:row>
    <x:row r="235" ht="23" customHeight="1">
      <x:c r="B235" s="2" t="n">
        <x:f>227</x:f>
        <x:v>227</x:v>
      </x:c>
      <x:c r="C235" s="6" t="n">
        <x:f>H234</x:f>
        <x:v>0</x:v>
      </x:c>
      <x:c r="D235" s="6" t="n">
        <x:f>ROUND(C235*'Debt strategy'!$D$9/12,2)</x:f>
        <x:v>0</x:v>
      </x:c>
      <x:c r="E235" s="6" t="n">
        <x:f>MIN(C235+D235,'Debt strategy'!$E$9)</x:f>
        <x:v>0</x:v>
      </x:c>
      <x:c r="F235" s="27" t="n">
        <x:f>IF(C235+D235-E235&lt;=0,99,1+SUM(IF(AND(I235+J235-K235&gt;0,OR('Debt strategy'!$D$10&gt;'Debt strategy'!$D$9,AND('Debt strategy'!$D$10='Debt strategy'!$D$9,1&lt;0))),1,0),IF(AND(O235+P235-Q235&gt;0,OR('Debt strategy'!$D$11&gt;'Debt strategy'!$D$9,AND('Debt strategy'!$D$11='Debt strategy'!$D$9,2&lt;0))),1,0),IF(AND(U235+V235-W235&gt;0,OR('Debt strategy'!$D$12&gt;'Debt strategy'!$D$9,AND('Debt strategy'!$D$12='Debt strategy'!$D$9,3&lt;0))),1,0),IF(AND(AA235+AB235-AC235&gt;0,OR('Debt strategy'!$D$13&gt;'Debt strategy'!$D$9,AND('Debt strategy'!$D$13='Debt strategy'!$D$9,4&lt;0))),1,0)))</x:f>
        <x:v>99</x:v>
      </x:c>
      <x:c r="G235" s="6" t="n">
        <x:f>IF('Debt strategy'!$C$16&gt;0,0,MIN(C235+D235-E235,MAX(0,'Debt strategy'!$C$5-SUM(E235,K235,Q235,W235,AC235)-SUM(IF(L235&lt;F235,I235+J235-K235,0),IF(R235&lt;F235,O235+P235-Q235,0),IF(X235&lt;F235,U235+V235-W235,0),IF(AD235&lt;F235,AA235+AB235-AC235,0)))))</x:f>
        <x:v>0</x:v>
      </x:c>
      <x:c r="H235" s="6" t="n">
        <x:f>ROUND(MAX(0,C235+D235-E235-G235),2)</x:f>
        <x:v>0</x:v>
      </x:c>
      <x:c r="I235" s="6" t="n">
        <x:f>N234</x:f>
        <x:v>0</x:v>
      </x:c>
      <x:c r="J235" s="6" t="n">
        <x:f>ROUND(I235*'Debt strategy'!$D$10/12,2)</x:f>
        <x:v>0</x:v>
      </x:c>
      <x:c r="K235" s="6" t="n">
        <x:f>MIN(I235+J235,'Debt strategy'!$E$10)</x:f>
        <x:v>0</x:v>
      </x:c>
      <x:c r="L235" s="27" t="n">
        <x:f>IF(I235+J235-K235&lt;=0,99,1+SUM(IF(AND(C235+D235-E235&gt;0,OR('Debt strategy'!$D$9&gt;'Debt strategy'!$D$10,AND('Debt strategy'!$D$9='Debt strategy'!$D$10,0&lt;1))),1,0),IF(AND(O235+P235-Q235&gt;0,OR('Debt strategy'!$D$11&gt;'Debt strategy'!$D$10,AND('Debt strategy'!$D$11='Debt strategy'!$D$10,2&lt;1))),1,0),IF(AND(U235+V235-W235&gt;0,OR('Debt strategy'!$D$12&gt;'Debt strategy'!$D$10,AND('Debt strategy'!$D$12='Debt strategy'!$D$10,3&lt;1))),1,0),IF(AND(AA235+AB235-AC235&gt;0,OR('Debt strategy'!$D$13&gt;'Debt strategy'!$D$10,AND('Debt strategy'!$D$13='Debt strategy'!$D$10,4&lt;1))),1,0)))</x:f>
        <x:v>99</x:v>
      </x:c>
      <x:c r="M235" s="6" t="n">
        <x:f>IF('Debt strategy'!$C$16&gt;0,0,MIN(I235+J235-K235,MAX(0,'Debt strategy'!$C$5-SUM(E235,K235,Q235,W235,AC235)-SUM(IF(F235&lt;L235,C235+D235-E235,0),IF(R235&lt;L235,O235+P235-Q235,0),IF(X235&lt;L235,U235+V235-W235,0),IF(AD235&lt;L235,AA235+AB235-AC235,0)))))</x:f>
        <x:v>0</x:v>
      </x:c>
      <x:c r="N235" s="6" t="n">
        <x:f>ROUND(MAX(0,I235+J235-K235-M235),2)</x:f>
        <x:v>0</x:v>
      </x:c>
      <x:c r="O235" s="6" t="n">
        <x:f>T234</x:f>
        <x:v>0</x:v>
      </x:c>
      <x:c r="P235" s="6" t="n">
        <x:f>ROUND(O235*'Debt strategy'!$D$11/12,2)</x:f>
        <x:v>0</x:v>
      </x:c>
      <x:c r="Q235" s="6" t="n">
        <x:f>MIN(O235+P235,'Debt strategy'!$E$11)</x:f>
        <x:v>0</x:v>
      </x:c>
      <x:c r="R235" s="27" t="n">
        <x:f>IF(O235+P235-Q235&lt;=0,99,1+SUM(IF(AND(C235+D235-E235&gt;0,OR('Debt strategy'!$D$9&gt;'Debt strategy'!$D$11,AND('Debt strategy'!$D$9='Debt strategy'!$D$11,0&lt;2))),1,0),IF(AND(I235+J235-K235&gt;0,OR('Debt strategy'!$D$10&gt;'Debt strategy'!$D$11,AND('Debt strategy'!$D$10='Debt strategy'!$D$11,1&lt;2))),1,0),IF(AND(U235+V235-W235&gt;0,OR('Debt strategy'!$D$12&gt;'Debt strategy'!$D$11,AND('Debt strategy'!$D$12='Debt strategy'!$D$11,3&lt;2))),1,0),IF(AND(AA235+AB235-AC235&gt;0,OR('Debt strategy'!$D$13&gt;'Debt strategy'!$D$11,AND('Debt strategy'!$D$13='Debt strategy'!$D$11,4&lt;2))),1,0)))</x:f>
        <x:v>99</x:v>
      </x:c>
      <x:c r="S235" s="6" t="n">
        <x:f>IF('Debt strategy'!$C$16&gt;0,0,MIN(O235+P235-Q235,MAX(0,'Debt strategy'!$C$5-SUM(E235,K235,Q235,W235,AC235)-SUM(IF(F235&lt;R235,C235+D235-E235,0),IF(L235&lt;R235,I235+J235-K235,0),IF(X235&lt;R235,U235+V235-W235,0),IF(AD235&lt;R235,AA235+AB235-AC235,0)))))</x:f>
        <x:v>0</x:v>
      </x:c>
      <x:c r="T235" s="6" t="n">
        <x:f>ROUND(MAX(0,O235+P235-Q235-S235),2)</x:f>
        <x:v>0</x:v>
      </x:c>
      <x:c r="U235" s="6" t="n">
        <x:f>Z234</x:f>
        <x:v>0</x:v>
      </x:c>
      <x:c r="V235" s="6" t="n">
        <x:f>ROUND(U235*'Debt strategy'!$D$12/12,2)</x:f>
        <x:v>0</x:v>
      </x:c>
      <x:c r="W235" s="6" t="n">
        <x:f>MIN(U235+V235,'Debt strategy'!$E$12)</x:f>
        <x:v>0</x:v>
      </x:c>
      <x:c r="X235" s="27" t="n">
        <x:f>IF(U235+V235-W235&lt;=0,99,1+SUM(IF(AND(C235+D235-E235&gt;0,OR('Debt strategy'!$D$9&gt;'Debt strategy'!$D$12,AND('Debt strategy'!$D$9='Debt strategy'!$D$12,0&lt;3))),1,0),IF(AND(I235+J235-K235&gt;0,OR('Debt strategy'!$D$10&gt;'Debt strategy'!$D$12,AND('Debt strategy'!$D$10='Debt strategy'!$D$12,1&lt;3))),1,0),IF(AND(O235+P235-Q235&gt;0,OR('Debt strategy'!$D$11&gt;'Debt strategy'!$D$12,AND('Debt strategy'!$D$11='Debt strategy'!$D$12,2&lt;3))),1,0),IF(AND(AA235+AB235-AC235&gt;0,OR('Debt strategy'!$D$13&gt;'Debt strategy'!$D$12,AND('Debt strategy'!$D$13='Debt strategy'!$D$12,4&lt;3))),1,0)))</x:f>
        <x:v>99</x:v>
      </x:c>
      <x:c r="Y235" s="6" t="n">
        <x:f>IF('Debt strategy'!$C$16&gt;0,0,MIN(U235+V235-W235,MAX(0,'Debt strategy'!$C$5-SUM(E235,K235,Q235,W235,AC235)-SUM(IF(F235&lt;X235,C235+D235-E235,0),IF(L235&lt;X235,I235+J235-K235,0),IF(R235&lt;X235,O235+P235-Q235,0),IF(AD235&lt;X235,AA235+AB235-AC235,0)))))</x:f>
        <x:v>0</x:v>
      </x:c>
      <x:c r="Z235" s="6" t="n">
        <x:f>ROUND(MAX(0,U235+V235-W235-Y235),2)</x:f>
        <x:v>0</x:v>
      </x:c>
      <x:c r="AA235" s="6" t="n">
        <x:f>AF234</x:f>
        <x:v>0</x:v>
      </x:c>
      <x:c r="AB235" s="6" t="n">
        <x:f>ROUND(AA235*'Debt strategy'!$D$13/12,2)</x:f>
        <x:v>0</x:v>
      </x:c>
      <x:c r="AC235" s="6" t="n">
        <x:f>MIN(AA235+AB235,'Debt strategy'!$E$13)</x:f>
        <x:v>0</x:v>
      </x:c>
      <x:c r="AD235" s="27" t="n">
        <x:f>IF(AA235+AB235-AC235&lt;=0,99,1+SUM(IF(AND(C235+D235-E235&gt;0,OR('Debt strategy'!$D$9&gt;'Debt strategy'!$D$13,AND('Debt strategy'!$D$9='Debt strategy'!$D$13,0&lt;4))),1,0),IF(AND(I235+J235-K235&gt;0,OR('Debt strategy'!$D$10&gt;'Debt strategy'!$D$13,AND('Debt strategy'!$D$10='Debt strategy'!$D$13,1&lt;4))),1,0),IF(AND(O235+P235-Q235&gt;0,OR('Debt strategy'!$D$11&gt;'Debt strategy'!$D$13,AND('Debt strategy'!$D$11='Debt strategy'!$D$13,2&lt;4))),1,0),IF(AND(U235+V235-W235&gt;0,OR('Debt strategy'!$D$12&gt;'Debt strategy'!$D$13,AND('Debt strategy'!$D$12='Debt strategy'!$D$13,3&lt;4))),1,0)))</x:f>
        <x:v>99</x:v>
      </x:c>
      <x:c r="AE235" s="6" t="n">
        <x:f>IF('Debt strategy'!$C$16&gt;0,0,MIN(AA235+AB235-AC235,MAX(0,'Debt strategy'!$C$5-SUM(E235,K235,Q235,W235,AC235)-SUM(IF(F235&lt;AD235,C235+D235-E235,0),IF(L235&lt;AD235,I235+J235-K235,0),IF(R235&lt;AD235,O235+P235-Q235,0),IF(X235&lt;AD235,U235+V235-W235,0)))))</x:f>
        <x:v>0</x:v>
      </x:c>
      <x:c r="AF235" s="6" t="n">
        <x:f>ROUND(MAX(0,AA235+AB235-AC235-AE235),2)</x:f>
        <x:v>0</x:v>
      </x:c>
      <x:c r="AG235" s="6" t="n">
        <x:f>SUM(H235,N235,T235,Z235,AF235)</x:f>
        <x:v>0</x:v>
      </x:c>
      <x:c r="AH235" s="6" t="n">
        <x:f>SUM(D235,J235,P235,V235,AB235)+AH234</x:f>
        <x:v>1220.8400000000001</x:v>
      </x:c>
      <x:c r="AI235" s="2"/>
    </x:row>
    <x:row r="236" ht="23" customHeight="1">
      <x:c r="B236" s="2" t="n">
        <x:f>228</x:f>
        <x:v>228</x:v>
      </x:c>
      <x:c r="C236" s="6" t="n">
        <x:f>H235</x:f>
        <x:v>0</x:v>
      </x:c>
      <x:c r="D236" s="6" t="n">
        <x:f>ROUND(C236*'Debt strategy'!$D$9/12,2)</x:f>
        <x:v>0</x:v>
      </x:c>
      <x:c r="E236" s="6" t="n">
        <x:f>MIN(C236+D236,'Debt strategy'!$E$9)</x:f>
        <x:v>0</x:v>
      </x:c>
      <x:c r="F236" s="27" t="n">
        <x:f>IF(C236+D236-E236&lt;=0,99,1+SUM(IF(AND(I236+J236-K236&gt;0,OR('Debt strategy'!$D$10&gt;'Debt strategy'!$D$9,AND('Debt strategy'!$D$10='Debt strategy'!$D$9,1&lt;0))),1,0),IF(AND(O236+P236-Q236&gt;0,OR('Debt strategy'!$D$11&gt;'Debt strategy'!$D$9,AND('Debt strategy'!$D$11='Debt strategy'!$D$9,2&lt;0))),1,0),IF(AND(U236+V236-W236&gt;0,OR('Debt strategy'!$D$12&gt;'Debt strategy'!$D$9,AND('Debt strategy'!$D$12='Debt strategy'!$D$9,3&lt;0))),1,0),IF(AND(AA236+AB236-AC236&gt;0,OR('Debt strategy'!$D$13&gt;'Debt strategy'!$D$9,AND('Debt strategy'!$D$13='Debt strategy'!$D$9,4&lt;0))),1,0)))</x:f>
        <x:v>99</x:v>
      </x:c>
      <x:c r="G236" s="6" t="n">
        <x:f>IF('Debt strategy'!$C$16&gt;0,0,MIN(C236+D236-E236,MAX(0,'Debt strategy'!$C$5-SUM(E236,K236,Q236,W236,AC236)-SUM(IF(L236&lt;F236,I236+J236-K236,0),IF(R236&lt;F236,O236+P236-Q236,0),IF(X236&lt;F236,U236+V236-W236,0),IF(AD236&lt;F236,AA236+AB236-AC236,0)))))</x:f>
        <x:v>0</x:v>
      </x:c>
      <x:c r="H236" s="6" t="n">
        <x:f>ROUND(MAX(0,C236+D236-E236-G236),2)</x:f>
        <x:v>0</x:v>
      </x:c>
      <x:c r="I236" s="6" t="n">
        <x:f>N235</x:f>
        <x:v>0</x:v>
      </x:c>
      <x:c r="J236" s="6" t="n">
        <x:f>ROUND(I236*'Debt strategy'!$D$10/12,2)</x:f>
        <x:v>0</x:v>
      </x:c>
      <x:c r="K236" s="6" t="n">
        <x:f>MIN(I236+J236,'Debt strategy'!$E$10)</x:f>
        <x:v>0</x:v>
      </x:c>
      <x:c r="L236" s="27" t="n">
        <x:f>IF(I236+J236-K236&lt;=0,99,1+SUM(IF(AND(C236+D236-E236&gt;0,OR('Debt strategy'!$D$9&gt;'Debt strategy'!$D$10,AND('Debt strategy'!$D$9='Debt strategy'!$D$10,0&lt;1))),1,0),IF(AND(O236+P236-Q236&gt;0,OR('Debt strategy'!$D$11&gt;'Debt strategy'!$D$10,AND('Debt strategy'!$D$11='Debt strategy'!$D$10,2&lt;1))),1,0),IF(AND(U236+V236-W236&gt;0,OR('Debt strategy'!$D$12&gt;'Debt strategy'!$D$10,AND('Debt strategy'!$D$12='Debt strategy'!$D$10,3&lt;1))),1,0),IF(AND(AA236+AB236-AC236&gt;0,OR('Debt strategy'!$D$13&gt;'Debt strategy'!$D$10,AND('Debt strategy'!$D$13='Debt strategy'!$D$10,4&lt;1))),1,0)))</x:f>
        <x:v>99</x:v>
      </x:c>
      <x:c r="M236" s="6" t="n">
        <x:f>IF('Debt strategy'!$C$16&gt;0,0,MIN(I236+J236-K236,MAX(0,'Debt strategy'!$C$5-SUM(E236,K236,Q236,W236,AC236)-SUM(IF(F236&lt;L236,C236+D236-E236,0),IF(R236&lt;L236,O236+P236-Q236,0),IF(X236&lt;L236,U236+V236-W236,0),IF(AD236&lt;L236,AA236+AB236-AC236,0)))))</x:f>
        <x:v>0</x:v>
      </x:c>
      <x:c r="N236" s="6" t="n">
        <x:f>ROUND(MAX(0,I236+J236-K236-M236),2)</x:f>
        <x:v>0</x:v>
      </x:c>
      <x:c r="O236" s="6" t="n">
        <x:f>T235</x:f>
        <x:v>0</x:v>
      </x:c>
      <x:c r="P236" s="6" t="n">
        <x:f>ROUND(O236*'Debt strategy'!$D$11/12,2)</x:f>
        <x:v>0</x:v>
      </x:c>
      <x:c r="Q236" s="6" t="n">
        <x:f>MIN(O236+P236,'Debt strategy'!$E$11)</x:f>
        <x:v>0</x:v>
      </x:c>
      <x:c r="R236" s="27" t="n">
        <x:f>IF(O236+P236-Q236&lt;=0,99,1+SUM(IF(AND(C236+D236-E236&gt;0,OR('Debt strategy'!$D$9&gt;'Debt strategy'!$D$11,AND('Debt strategy'!$D$9='Debt strategy'!$D$11,0&lt;2))),1,0),IF(AND(I236+J236-K236&gt;0,OR('Debt strategy'!$D$10&gt;'Debt strategy'!$D$11,AND('Debt strategy'!$D$10='Debt strategy'!$D$11,1&lt;2))),1,0),IF(AND(U236+V236-W236&gt;0,OR('Debt strategy'!$D$12&gt;'Debt strategy'!$D$11,AND('Debt strategy'!$D$12='Debt strategy'!$D$11,3&lt;2))),1,0),IF(AND(AA236+AB236-AC236&gt;0,OR('Debt strategy'!$D$13&gt;'Debt strategy'!$D$11,AND('Debt strategy'!$D$13='Debt strategy'!$D$11,4&lt;2))),1,0)))</x:f>
        <x:v>99</x:v>
      </x:c>
      <x:c r="S236" s="6" t="n">
        <x:f>IF('Debt strategy'!$C$16&gt;0,0,MIN(O236+P236-Q236,MAX(0,'Debt strategy'!$C$5-SUM(E236,K236,Q236,W236,AC236)-SUM(IF(F236&lt;R236,C236+D236-E236,0),IF(L236&lt;R236,I236+J236-K236,0),IF(X236&lt;R236,U236+V236-W236,0),IF(AD236&lt;R236,AA236+AB236-AC236,0)))))</x:f>
        <x:v>0</x:v>
      </x:c>
      <x:c r="T236" s="6" t="n">
        <x:f>ROUND(MAX(0,O236+P236-Q236-S236),2)</x:f>
        <x:v>0</x:v>
      </x:c>
      <x:c r="U236" s="6" t="n">
        <x:f>Z235</x:f>
        <x:v>0</x:v>
      </x:c>
      <x:c r="V236" s="6" t="n">
        <x:f>ROUND(U236*'Debt strategy'!$D$12/12,2)</x:f>
        <x:v>0</x:v>
      </x:c>
      <x:c r="W236" s="6" t="n">
        <x:f>MIN(U236+V236,'Debt strategy'!$E$12)</x:f>
        <x:v>0</x:v>
      </x:c>
      <x:c r="X236" s="27" t="n">
        <x:f>IF(U236+V236-W236&lt;=0,99,1+SUM(IF(AND(C236+D236-E236&gt;0,OR('Debt strategy'!$D$9&gt;'Debt strategy'!$D$12,AND('Debt strategy'!$D$9='Debt strategy'!$D$12,0&lt;3))),1,0),IF(AND(I236+J236-K236&gt;0,OR('Debt strategy'!$D$10&gt;'Debt strategy'!$D$12,AND('Debt strategy'!$D$10='Debt strategy'!$D$12,1&lt;3))),1,0),IF(AND(O236+P236-Q236&gt;0,OR('Debt strategy'!$D$11&gt;'Debt strategy'!$D$12,AND('Debt strategy'!$D$11='Debt strategy'!$D$12,2&lt;3))),1,0),IF(AND(AA236+AB236-AC236&gt;0,OR('Debt strategy'!$D$13&gt;'Debt strategy'!$D$12,AND('Debt strategy'!$D$13='Debt strategy'!$D$12,4&lt;3))),1,0)))</x:f>
        <x:v>99</x:v>
      </x:c>
      <x:c r="Y236" s="6" t="n">
        <x:f>IF('Debt strategy'!$C$16&gt;0,0,MIN(U236+V236-W236,MAX(0,'Debt strategy'!$C$5-SUM(E236,K236,Q236,W236,AC236)-SUM(IF(F236&lt;X236,C236+D236-E236,0),IF(L236&lt;X236,I236+J236-K236,0),IF(R236&lt;X236,O236+P236-Q236,0),IF(AD236&lt;X236,AA236+AB236-AC236,0)))))</x:f>
        <x:v>0</x:v>
      </x:c>
      <x:c r="Z236" s="6" t="n">
        <x:f>ROUND(MAX(0,U236+V236-W236-Y236),2)</x:f>
        <x:v>0</x:v>
      </x:c>
      <x:c r="AA236" s="6" t="n">
        <x:f>AF235</x:f>
        <x:v>0</x:v>
      </x:c>
      <x:c r="AB236" s="6" t="n">
        <x:f>ROUND(AA236*'Debt strategy'!$D$13/12,2)</x:f>
        <x:v>0</x:v>
      </x:c>
      <x:c r="AC236" s="6" t="n">
        <x:f>MIN(AA236+AB236,'Debt strategy'!$E$13)</x:f>
        <x:v>0</x:v>
      </x:c>
      <x:c r="AD236" s="27" t="n">
        <x:f>IF(AA236+AB236-AC236&lt;=0,99,1+SUM(IF(AND(C236+D236-E236&gt;0,OR('Debt strategy'!$D$9&gt;'Debt strategy'!$D$13,AND('Debt strategy'!$D$9='Debt strategy'!$D$13,0&lt;4))),1,0),IF(AND(I236+J236-K236&gt;0,OR('Debt strategy'!$D$10&gt;'Debt strategy'!$D$13,AND('Debt strategy'!$D$10='Debt strategy'!$D$13,1&lt;4))),1,0),IF(AND(O236+P236-Q236&gt;0,OR('Debt strategy'!$D$11&gt;'Debt strategy'!$D$13,AND('Debt strategy'!$D$11='Debt strategy'!$D$13,2&lt;4))),1,0),IF(AND(U236+V236-W236&gt;0,OR('Debt strategy'!$D$12&gt;'Debt strategy'!$D$13,AND('Debt strategy'!$D$12='Debt strategy'!$D$13,3&lt;4))),1,0)))</x:f>
        <x:v>99</x:v>
      </x:c>
      <x:c r="AE236" s="6" t="n">
        <x:f>IF('Debt strategy'!$C$16&gt;0,0,MIN(AA236+AB236-AC236,MAX(0,'Debt strategy'!$C$5-SUM(E236,K236,Q236,W236,AC236)-SUM(IF(F236&lt;AD236,C236+D236-E236,0),IF(L236&lt;AD236,I236+J236-K236,0),IF(R236&lt;AD236,O236+P236-Q236,0),IF(X236&lt;AD236,U236+V236-W236,0)))))</x:f>
        <x:v>0</x:v>
      </x:c>
      <x:c r="AF236" s="6" t="n">
        <x:f>ROUND(MAX(0,AA236+AB236-AC236-AE236),2)</x:f>
        <x:v>0</x:v>
      </x:c>
      <x:c r="AG236" s="6" t="n">
        <x:f>SUM(H236,N236,T236,Z236,AF236)</x:f>
        <x:v>0</x:v>
      </x:c>
      <x:c r="AH236" s="6" t="n">
        <x:f>SUM(D236,J236,P236,V236,AB236)+AH235</x:f>
        <x:v>1220.8400000000001</x:v>
      </x:c>
      <x:c r="AI236" s="2"/>
    </x:row>
    <x:row r="237" ht="23" customHeight="1">
      <x:c r="B237" s="2" t="n">
        <x:f>229</x:f>
        <x:v>229</x:v>
      </x:c>
      <x:c r="C237" s="6" t="n">
        <x:f>H236</x:f>
        <x:v>0</x:v>
      </x:c>
      <x:c r="D237" s="6" t="n">
        <x:f>ROUND(C237*'Debt strategy'!$D$9/12,2)</x:f>
        <x:v>0</x:v>
      </x:c>
      <x:c r="E237" s="6" t="n">
        <x:f>MIN(C237+D237,'Debt strategy'!$E$9)</x:f>
        <x:v>0</x:v>
      </x:c>
      <x:c r="F237" s="27" t="n">
        <x:f>IF(C237+D237-E237&lt;=0,99,1+SUM(IF(AND(I237+J237-K237&gt;0,OR('Debt strategy'!$D$10&gt;'Debt strategy'!$D$9,AND('Debt strategy'!$D$10='Debt strategy'!$D$9,1&lt;0))),1,0),IF(AND(O237+P237-Q237&gt;0,OR('Debt strategy'!$D$11&gt;'Debt strategy'!$D$9,AND('Debt strategy'!$D$11='Debt strategy'!$D$9,2&lt;0))),1,0),IF(AND(U237+V237-W237&gt;0,OR('Debt strategy'!$D$12&gt;'Debt strategy'!$D$9,AND('Debt strategy'!$D$12='Debt strategy'!$D$9,3&lt;0))),1,0),IF(AND(AA237+AB237-AC237&gt;0,OR('Debt strategy'!$D$13&gt;'Debt strategy'!$D$9,AND('Debt strategy'!$D$13='Debt strategy'!$D$9,4&lt;0))),1,0)))</x:f>
        <x:v>99</x:v>
      </x:c>
      <x:c r="G237" s="6" t="n">
        <x:f>IF('Debt strategy'!$C$16&gt;0,0,MIN(C237+D237-E237,MAX(0,'Debt strategy'!$C$5-SUM(E237,K237,Q237,W237,AC237)-SUM(IF(L237&lt;F237,I237+J237-K237,0),IF(R237&lt;F237,O237+P237-Q237,0),IF(X237&lt;F237,U237+V237-W237,0),IF(AD237&lt;F237,AA237+AB237-AC237,0)))))</x:f>
        <x:v>0</x:v>
      </x:c>
      <x:c r="H237" s="6" t="n">
        <x:f>ROUND(MAX(0,C237+D237-E237-G237),2)</x:f>
        <x:v>0</x:v>
      </x:c>
      <x:c r="I237" s="6" t="n">
        <x:f>N236</x:f>
        <x:v>0</x:v>
      </x:c>
      <x:c r="J237" s="6" t="n">
        <x:f>ROUND(I237*'Debt strategy'!$D$10/12,2)</x:f>
        <x:v>0</x:v>
      </x:c>
      <x:c r="K237" s="6" t="n">
        <x:f>MIN(I237+J237,'Debt strategy'!$E$10)</x:f>
        <x:v>0</x:v>
      </x:c>
      <x:c r="L237" s="27" t="n">
        <x:f>IF(I237+J237-K237&lt;=0,99,1+SUM(IF(AND(C237+D237-E237&gt;0,OR('Debt strategy'!$D$9&gt;'Debt strategy'!$D$10,AND('Debt strategy'!$D$9='Debt strategy'!$D$10,0&lt;1))),1,0),IF(AND(O237+P237-Q237&gt;0,OR('Debt strategy'!$D$11&gt;'Debt strategy'!$D$10,AND('Debt strategy'!$D$11='Debt strategy'!$D$10,2&lt;1))),1,0),IF(AND(U237+V237-W237&gt;0,OR('Debt strategy'!$D$12&gt;'Debt strategy'!$D$10,AND('Debt strategy'!$D$12='Debt strategy'!$D$10,3&lt;1))),1,0),IF(AND(AA237+AB237-AC237&gt;0,OR('Debt strategy'!$D$13&gt;'Debt strategy'!$D$10,AND('Debt strategy'!$D$13='Debt strategy'!$D$10,4&lt;1))),1,0)))</x:f>
        <x:v>99</x:v>
      </x:c>
      <x:c r="M237" s="6" t="n">
        <x:f>IF('Debt strategy'!$C$16&gt;0,0,MIN(I237+J237-K237,MAX(0,'Debt strategy'!$C$5-SUM(E237,K237,Q237,W237,AC237)-SUM(IF(F237&lt;L237,C237+D237-E237,0),IF(R237&lt;L237,O237+P237-Q237,0),IF(X237&lt;L237,U237+V237-W237,0),IF(AD237&lt;L237,AA237+AB237-AC237,0)))))</x:f>
        <x:v>0</x:v>
      </x:c>
      <x:c r="N237" s="6" t="n">
        <x:f>ROUND(MAX(0,I237+J237-K237-M237),2)</x:f>
        <x:v>0</x:v>
      </x:c>
      <x:c r="O237" s="6" t="n">
        <x:f>T236</x:f>
        <x:v>0</x:v>
      </x:c>
      <x:c r="P237" s="6" t="n">
        <x:f>ROUND(O237*'Debt strategy'!$D$11/12,2)</x:f>
        <x:v>0</x:v>
      </x:c>
      <x:c r="Q237" s="6" t="n">
        <x:f>MIN(O237+P237,'Debt strategy'!$E$11)</x:f>
        <x:v>0</x:v>
      </x:c>
      <x:c r="R237" s="27" t="n">
        <x:f>IF(O237+P237-Q237&lt;=0,99,1+SUM(IF(AND(C237+D237-E237&gt;0,OR('Debt strategy'!$D$9&gt;'Debt strategy'!$D$11,AND('Debt strategy'!$D$9='Debt strategy'!$D$11,0&lt;2))),1,0),IF(AND(I237+J237-K237&gt;0,OR('Debt strategy'!$D$10&gt;'Debt strategy'!$D$11,AND('Debt strategy'!$D$10='Debt strategy'!$D$11,1&lt;2))),1,0),IF(AND(U237+V237-W237&gt;0,OR('Debt strategy'!$D$12&gt;'Debt strategy'!$D$11,AND('Debt strategy'!$D$12='Debt strategy'!$D$11,3&lt;2))),1,0),IF(AND(AA237+AB237-AC237&gt;0,OR('Debt strategy'!$D$13&gt;'Debt strategy'!$D$11,AND('Debt strategy'!$D$13='Debt strategy'!$D$11,4&lt;2))),1,0)))</x:f>
        <x:v>99</x:v>
      </x:c>
      <x:c r="S237" s="6" t="n">
        <x:f>IF('Debt strategy'!$C$16&gt;0,0,MIN(O237+P237-Q237,MAX(0,'Debt strategy'!$C$5-SUM(E237,K237,Q237,W237,AC237)-SUM(IF(F237&lt;R237,C237+D237-E237,0),IF(L237&lt;R237,I237+J237-K237,0),IF(X237&lt;R237,U237+V237-W237,0),IF(AD237&lt;R237,AA237+AB237-AC237,0)))))</x:f>
        <x:v>0</x:v>
      </x:c>
      <x:c r="T237" s="6" t="n">
        <x:f>ROUND(MAX(0,O237+P237-Q237-S237),2)</x:f>
        <x:v>0</x:v>
      </x:c>
      <x:c r="U237" s="6" t="n">
        <x:f>Z236</x:f>
        <x:v>0</x:v>
      </x:c>
      <x:c r="V237" s="6" t="n">
        <x:f>ROUND(U237*'Debt strategy'!$D$12/12,2)</x:f>
        <x:v>0</x:v>
      </x:c>
      <x:c r="W237" s="6" t="n">
        <x:f>MIN(U237+V237,'Debt strategy'!$E$12)</x:f>
        <x:v>0</x:v>
      </x:c>
      <x:c r="X237" s="27" t="n">
        <x:f>IF(U237+V237-W237&lt;=0,99,1+SUM(IF(AND(C237+D237-E237&gt;0,OR('Debt strategy'!$D$9&gt;'Debt strategy'!$D$12,AND('Debt strategy'!$D$9='Debt strategy'!$D$12,0&lt;3))),1,0),IF(AND(I237+J237-K237&gt;0,OR('Debt strategy'!$D$10&gt;'Debt strategy'!$D$12,AND('Debt strategy'!$D$10='Debt strategy'!$D$12,1&lt;3))),1,0),IF(AND(O237+P237-Q237&gt;0,OR('Debt strategy'!$D$11&gt;'Debt strategy'!$D$12,AND('Debt strategy'!$D$11='Debt strategy'!$D$12,2&lt;3))),1,0),IF(AND(AA237+AB237-AC237&gt;0,OR('Debt strategy'!$D$13&gt;'Debt strategy'!$D$12,AND('Debt strategy'!$D$13='Debt strategy'!$D$12,4&lt;3))),1,0)))</x:f>
        <x:v>99</x:v>
      </x:c>
      <x:c r="Y237" s="6" t="n">
        <x:f>IF('Debt strategy'!$C$16&gt;0,0,MIN(U237+V237-W237,MAX(0,'Debt strategy'!$C$5-SUM(E237,K237,Q237,W237,AC237)-SUM(IF(F237&lt;X237,C237+D237-E237,0),IF(L237&lt;X237,I237+J237-K237,0),IF(R237&lt;X237,O237+P237-Q237,0),IF(AD237&lt;X237,AA237+AB237-AC237,0)))))</x:f>
        <x:v>0</x:v>
      </x:c>
      <x:c r="Z237" s="6" t="n">
        <x:f>ROUND(MAX(0,U237+V237-W237-Y237),2)</x:f>
        <x:v>0</x:v>
      </x:c>
      <x:c r="AA237" s="6" t="n">
        <x:f>AF236</x:f>
        <x:v>0</x:v>
      </x:c>
      <x:c r="AB237" s="6" t="n">
        <x:f>ROUND(AA237*'Debt strategy'!$D$13/12,2)</x:f>
        <x:v>0</x:v>
      </x:c>
      <x:c r="AC237" s="6" t="n">
        <x:f>MIN(AA237+AB237,'Debt strategy'!$E$13)</x:f>
        <x:v>0</x:v>
      </x:c>
      <x:c r="AD237" s="27" t="n">
        <x:f>IF(AA237+AB237-AC237&lt;=0,99,1+SUM(IF(AND(C237+D237-E237&gt;0,OR('Debt strategy'!$D$9&gt;'Debt strategy'!$D$13,AND('Debt strategy'!$D$9='Debt strategy'!$D$13,0&lt;4))),1,0),IF(AND(I237+J237-K237&gt;0,OR('Debt strategy'!$D$10&gt;'Debt strategy'!$D$13,AND('Debt strategy'!$D$10='Debt strategy'!$D$13,1&lt;4))),1,0),IF(AND(O237+P237-Q237&gt;0,OR('Debt strategy'!$D$11&gt;'Debt strategy'!$D$13,AND('Debt strategy'!$D$11='Debt strategy'!$D$13,2&lt;4))),1,0),IF(AND(U237+V237-W237&gt;0,OR('Debt strategy'!$D$12&gt;'Debt strategy'!$D$13,AND('Debt strategy'!$D$12='Debt strategy'!$D$13,3&lt;4))),1,0)))</x:f>
        <x:v>99</x:v>
      </x:c>
      <x:c r="AE237" s="6" t="n">
        <x:f>IF('Debt strategy'!$C$16&gt;0,0,MIN(AA237+AB237-AC237,MAX(0,'Debt strategy'!$C$5-SUM(E237,K237,Q237,W237,AC237)-SUM(IF(F237&lt;AD237,C237+D237-E237,0),IF(L237&lt;AD237,I237+J237-K237,0),IF(R237&lt;AD237,O237+P237-Q237,0),IF(X237&lt;AD237,U237+V237-W237,0)))))</x:f>
        <x:v>0</x:v>
      </x:c>
      <x:c r="AF237" s="6" t="n">
        <x:f>ROUND(MAX(0,AA237+AB237-AC237-AE237),2)</x:f>
        <x:v>0</x:v>
      </x:c>
      <x:c r="AG237" s="6" t="n">
        <x:f>SUM(H237,N237,T237,Z237,AF237)</x:f>
        <x:v>0</x:v>
      </x:c>
      <x:c r="AH237" s="6" t="n">
        <x:f>SUM(D237,J237,P237,V237,AB237)+AH236</x:f>
        <x:v>1220.8400000000001</x:v>
      </x:c>
      <x:c r="AI237" s="2"/>
    </x:row>
    <x:row r="238" ht="23" customHeight="1">
      <x:c r="B238" s="2" t="n">
        <x:f>230</x:f>
        <x:v>230</x:v>
      </x:c>
      <x:c r="C238" s="6" t="n">
        <x:f>H237</x:f>
        <x:v>0</x:v>
      </x:c>
      <x:c r="D238" s="6" t="n">
        <x:f>ROUND(C238*'Debt strategy'!$D$9/12,2)</x:f>
        <x:v>0</x:v>
      </x:c>
      <x:c r="E238" s="6" t="n">
        <x:f>MIN(C238+D238,'Debt strategy'!$E$9)</x:f>
        <x:v>0</x:v>
      </x:c>
      <x:c r="F238" s="27" t="n">
        <x:f>IF(C238+D238-E238&lt;=0,99,1+SUM(IF(AND(I238+J238-K238&gt;0,OR('Debt strategy'!$D$10&gt;'Debt strategy'!$D$9,AND('Debt strategy'!$D$10='Debt strategy'!$D$9,1&lt;0))),1,0),IF(AND(O238+P238-Q238&gt;0,OR('Debt strategy'!$D$11&gt;'Debt strategy'!$D$9,AND('Debt strategy'!$D$11='Debt strategy'!$D$9,2&lt;0))),1,0),IF(AND(U238+V238-W238&gt;0,OR('Debt strategy'!$D$12&gt;'Debt strategy'!$D$9,AND('Debt strategy'!$D$12='Debt strategy'!$D$9,3&lt;0))),1,0),IF(AND(AA238+AB238-AC238&gt;0,OR('Debt strategy'!$D$13&gt;'Debt strategy'!$D$9,AND('Debt strategy'!$D$13='Debt strategy'!$D$9,4&lt;0))),1,0)))</x:f>
        <x:v>99</x:v>
      </x:c>
      <x:c r="G238" s="6" t="n">
        <x:f>IF('Debt strategy'!$C$16&gt;0,0,MIN(C238+D238-E238,MAX(0,'Debt strategy'!$C$5-SUM(E238,K238,Q238,W238,AC238)-SUM(IF(L238&lt;F238,I238+J238-K238,0),IF(R238&lt;F238,O238+P238-Q238,0),IF(X238&lt;F238,U238+V238-W238,0),IF(AD238&lt;F238,AA238+AB238-AC238,0)))))</x:f>
        <x:v>0</x:v>
      </x:c>
      <x:c r="H238" s="6" t="n">
        <x:f>ROUND(MAX(0,C238+D238-E238-G238),2)</x:f>
        <x:v>0</x:v>
      </x:c>
      <x:c r="I238" s="6" t="n">
        <x:f>N237</x:f>
        <x:v>0</x:v>
      </x:c>
      <x:c r="J238" s="6" t="n">
        <x:f>ROUND(I238*'Debt strategy'!$D$10/12,2)</x:f>
        <x:v>0</x:v>
      </x:c>
      <x:c r="K238" s="6" t="n">
        <x:f>MIN(I238+J238,'Debt strategy'!$E$10)</x:f>
        <x:v>0</x:v>
      </x:c>
      <x:c r="L238" s="27" t="n">
        <x:f>IF(I238+J238-K238&lt;=0,99,1+SUM(IF(AND(C238+D238-E238&gt;0,OR('Debt strategy'!$D$9&gt;'Debt strategy'!$D$10,AND('Debt strategy'!$D$9='Debt strategy'!$D$10,0&lt;1))),1,0),IF(AND(O238+P238-Q238&gt;0,OR('Debt strategy'!$D$11&gt;'Debt strategy'!$D$10,AND('Debt strategy'!$D$11='Debt strategy'!$D$10,2&lt;1))),1,0),IF(AND(U238+V238-W238&gt;0,OR('Debt strategy'!$D$12&gt;'Debt strategy'!$D$10,AND('Debt strategy'!$D$12='Debt strategy'!$D$10,3&lt;1))),1,0),IF(AND(AA238+AB238-AC238&gt;0,OR('Debt strategy'!$D$13&gt;'Debt strategy'!$D$10,AND('Debt strategy'!$D$13='Debt strategy'!$D$10,4&lt;1))),1,0)))</x:f>
        <x:v>99</x:v>
      </x:c>
      <x:c r="M238" s="6" t="n">
        <x:f>IF('Debt strategy'!$C$16&gt;0,0,MIN(I238+J238-K238,MAX(0,'Debt strategy'!$C$5-SUM(E238,K238,Q238,W238,AC238)-SUM(IF(F238&lt;L238,C238+D238-E238,0),IF(R238&lt;L238,O238+P238-Q238,0),IF(X238&lt;L238,U238+V238-W238,0),IF(AD238&lt;L238,AA238+AB238-AC238,0)))))</x:f>
        <x:v>0</x:v>
      </x:c>
      <x:c r="N238" s="6" t="n">
        <x:f>ROUND(MAX(0,I238+J238-K238-M238),2)</x:f>
        <x:v>0</x:v>
      </x:c>
      <x:c r="O238" s="6" t="n">
        <x:f>T237</x:f>
        <x:v>0</x:v>
      </x:c>
      <x:c r="P238" s="6" t="n">
        <x:f>ROUND(O238*'Debt strategy'!$D$11/12,2)</x:f>
        <x:v>0</x:v>
      </x:c>
      <x:c r="Q238" s="6" t="n">
        <x:f>MIN(O238+P238,'Debt strategy'!$E$11)</x:f>
        <x:v>0</x:v>
      </x:c>
      <x:c r="R238" s="27" t="n">
        <x:f>IF(O238+P238-Q238&lt;=0,99,1+SUM(IF(AND(C238+D238-E238&gt;0,OR('Debt strategy'!$D$9&gt;'Debt strategy'!$D$11,AND('Debt strategy'!$D$9='Debt strategy'!$D$11,0&lt;2))),1,0),IF(AND(I238+J238-K238&gt;0,OR('Debt strategy'!$D$10&gt;'Debt strategy'!$D$11,AND('Debt strategy'!$D$10='Debt strategy'!$D$11,1&lt;2))),1,0),IF(AND(U238+V238-W238&gt;0,OR('Debt strategy'!$D$12&gt;'Debt strategy'!$D$11,AND('Debt strategy'!$D$12='Debt strategy'!$D$11,3&lt;2))),1,0),IF(AND(AA238+AB238-AC238&gt;0,OR('Debt strategy'!$D$13&gt;'Debt strategy'!$D$11,AND('Debt strategy'!$D$13='Debt strategy'!$D$11,4&lt;2))),1,0)))</x:f>
        <x:v>99</x:v>
      </x:c>
      <x:c r="S238" s="6" t="n">
        <x:f>IF('Debt strategy'!$C$16&gt;0,0,MIN(O238+P238-Q238,MAX(0,'Debt strategy'!$C$5-SUM(E238,K238,Q238,W238,AC238)-SUM(IF(F238&lt;R238,C238+D238-E238,0),IF(L238&lt;R238,I238+J238-K238,0),IF(X238&lt;R238,U238+V238-W238,0),IF(AD238&lt;R238,AA238+AB238-AC238,0)))))</x:f>
        <x:v>0</x:v>
      </x:c>
      <x:c r="T238" s="6" t="n">
        <x:f>ROUND(MAX(0,O238+P238-Q238-S238),2)</x:f>
        <x:v>0</x:v>
      </x:c>
      <x:c r="U238" s="6" t="n">
        <x:f>Z237</x:f>
        <x:v>0</x:v>
      </x:c>
      <x:c r="V238" s="6" t="n">
        <x:f>ROUND(U238*'Debt strategy'!$D$12/12,2)</x:f>
        <x:v>0</x:v>
      </x:c>
      <x:c r="W238" s="6" t="n">
        <x:f>MIN(U238+V238,'Debt strategy'!$E$12)</x:f>
        <x:v>0</x:v>
      </x:c>
      <x:c r="X238" s="27" t="n">
        <x:f>IF(U238+V238-W238&lt;=0,99,1+SUM(IF(AND(C238+D238-E238&gt;0,OR('Debt strategy'!$D$9&gt;'Debt strategy'!$D$12,AND('Debt strategy'!$D$9='Debt strategy'!$D$12,0&lt;3))),1,0),IF(AND(I238+J238-K238&gt;0,OR('Debt strategy'!$D$10&gt;'Debt strategy'!$D$12,AND('Debt strategy'!$D$10='Debt strategy'!$D$12,1&lt;3))),1,0),IF(AND(O238+P238-Q238&gt;0,OR('Debt strategy'!$D$11&gt;'Debt strategy'!$D$12,AND('Debt strategy'!$D$11='Debt strategy'!$D$12,2&lt;3))),1,0),IF(AND(AA238+AB238-AC238&gt;0,OR('Debt strategy'!$D$13&gt;'Debt strategy'!$D$12,AND('Debt strategy'!$D$13='Debt strategy'!$D$12,4&lt;3))),1,0)))</x:f>
        <x:v>99</x:v>
      </x:c>
      <x:c r="Y238" s="6" t="n">
        <x:f>IF('Debt strategy'!$C$16&gt;0,0,MIN(U238+V238-W238,MAX(0,'Debt strategy'!$C$5-SUM(E238,K238,Q238,W238,AC238)-SUM(IF(F238&lt;X238,C238+D238-E238,0),IF(L238&lt;X238,I238+J238-K238,0),IF(R238&lt;X238,O238+P238-Q238,0),IF(AD238&lt;X238,AA238+AB238-AC238,0)))))</x:f>
        <x:v>0</x:v>
      </x:c>
      <x:c r="Z238" s="6" t="n">
        <x:f>ROUND(MAX(0,U238+V238-W238-Y238),2)</x:f>
        <x:v>0</x:v>
      </x:c>
      <x:c r="AA238" s="6" t="n">
        <x:f>AF237</x:f>
        <x:v>0</x:v>
      </x:c>
      <x:c r="AB238" s="6" t="n">
        <x:f>ROUND(AA238*'Debt strategy'!$D$13/12,2)</x:f>
        <x:v>0</x:v>
      </x:c>
      <x:c r="AC238" s="6" t="n">
        <x:f>MIN(AA238+AB238,'Debt strategy'!$E$13)</x:f>
        <x:v>0</x:v>
      </x:c>
      <x:c r="AD238" s="27" t="n">
        <x:f>IF(AA238+AB238-AC238&lt;=0,99,1+SUM(IF(AND(C238+D238-E238&gt;0,OR('Debt strategy'!$D$9&gt;'Debt strategy'!$D$13,AND('Debt strategy'!$D$9='Debt strategy'!$D$13,0&lt;4))),1,0),IF(AND(I238+J238-K238&gt;0,OR('Debt strategy'!$D$10&gt;'Debt strategy'!$D$13,AND('Debt strategy'!$D$10='Debt strategy'!$D$13,1&lt;4))),1,0),IF(AND(O238+P238-Q238&gt;0,OR('Debt strategy'!$D$11&gt;'Debt strategy'!$D$13,AND('Debt strategy'!$D$11='Debt strategy'!$D$13,2&lt;4))),1,0),IF(AND(U238+V238-W238&gt;0,OR('Debt strategy'!$D$12&gt;'Debt strategy'!$D$13,AND('Debt strategy'!$D$12='Debt strategy'!$D$13,3&lt;4))),1,0)))</x:f>
        <x:v>99</x:v>
      </x:c>
      <x:c r="AE238" s="6" t="n">
        <x:f>IF('Debt strategy'!$C$16&gt;0,0,MIN(AA238+AB238-AC238,MAX(0,'Debt strategy'!$C$5-SUM(E238,K238,Q238,W238,AC238)-SUM(IF(F238&lt;AD238,C238+D238-E238,0),IF(L238&lt;AD238,I238+J238-K238,0),IF(R238&lt;AD238,O238+P238-Q238,0),IF(X238&lt;AD238,U238+V238-W238,0)))))</x:f>
        <x:v>0</x:v>
      </x:c>
      <x:c r="AF238" s="6" t="n">
        <x:f>ROUND(MAX(0,AA238+AB238-AC238-AE238),2)</x:f>
        <x:v>0</x:v>
      </x:c>
      <x:c r="AG238" s="6" t="n">
        <x:f>SUM(H238,N238,T238,Z238,AF238)</x:f>
        <x:v>0</x:v>
      </x:c>
      <x:c r="AH238" s="6" t="n">
        <x:f>SUM(D238,J238,P238,V238,AB238)+AH237</x:f>
        <x:v>1220.8400000000001</x:v>
      </x:c>
      <x:c r="AI238" s="2"/>
    </x:row>
    <x:row r="239" ht="23" customHeight="1">
      <x:c r="B239" s="2" t="n">
        <x:f>231</x:f>
        <x:v>231</x:v>
      </x:c>
      <x:c r="C239" s="6" t="n">
        <x:f>H238</x:f>
        <x:v>0</x:v>
      </x:c>
      <x:c r="D239" s="6" t="n">
        <x:f>ROUND(C239*'Debt strategy'!$D$9/12,2)</x:f>
        <x:v>0</x:v>
      </x:c>
      <x:c r="E239" s="6" t="n">
        <x:f>MIN(C239+D239,'Debt strategy'!$E$9)</x:f>
        <x:v>0</x:v>
      </x:c>
      <x:c r="F239" s="27" t="n">
        <x:f>IF(C239+D239-E239&lt;=0,99,1+SUM(IF(AND(I239+J239-K239&gt;0,OR('Debt strategy'!$D$10&gt;'Debt strategy'!$D$9,AND('Debt strategy'!$D$10='Debt strategy'!$D$9,1&lt;0))),1,0),IF(AND(O239+P239-Q239&gt;0,OR('Debt strategy'!$D$11&gt;'Debt strategy'!$D$9,AND('Debt strategy'!$D$11='Debt strategy'!$D$9,2&lt;0))),1,0),IF(AND(U239+V239-W239&gt;0,OR('Debt strategy'!$D$12&gt;'Debt strategy'!$D$9,AND('Debt strategy'!$D$12='Debt strategy'!$D$9,3&lt;0))),1,0),IF(AND(AA239+AB239-AC239&gt;0,OR('Debt strategy'!$D$13&gt;'Debt strategy'!$D$9,AND('Debt strategy'!$D$13='Debt strategy'!$D$9,4&lt;0))),1,0)))</x:f>
        <x:v>99</x:v>
      </x:c>
      <x:c r="G239" s="6" t="n">
        <x:f>IF('Debt strategy'!$C$16&gt;0,0,MIN(C239+D239-E239,MAX(0,'Debt strategy'!$C$5-SUM(E239,K239,Q239,W239,AC239)-SUM(IF(L239&lt;F239,I239+J239-K239,0),IF(R239&lt;F239,O239+P239-Q239,0),IF(X239&lt;F239,U239+V239-W239,0),IF(AD239&lt;F239,AA239+AB239-AC239,0)))))</x:f>
        <x:v>0</x:v>
      </x:c>
      <x:c r="H239" s="6" t="n">
        <x:f>ROUND(MAX(0,C239+D239-E239-G239),2)</x:f>
        <x:v>0</x:v>
      </x:c>
      <x:c r="I239" s="6" t="n">
        <x:f>N238</x:f>
        <x:v>0</x:v>
      </x:c>
      <x:c r="J239" s="6" t="n">
        <x:f>ROUND(I239*'Debt strategy'!$D$10/12,2)</x:f>
        <x:v>0</x:v>
      </x:c>
      <x:c r="K239" s="6" t="n">
        <x:f>MIN(I239+J239,'Debt strategy'!$E$10)</x:f>
        <x:v>0</x:v>
      </x:c>
      <x:c r="L239" s="27" t="n">
        <x:f>IF(I239+J239-K239&lt;=0,99,1+SUM(IF(AND(C239+D239-E239&gt;0,OR('Debt strategy'!$D$9&gt;'Debt strategy'!$D$10,AND('Debt strategy'!$D$9='Debt strategy'!$D$10,0&lt;1))),1,0),IF(AND(O239+P239-Q239&gt;0,OR('Debt strategy'!$D$11&gt;'Debt strategy'!$D$10,AND('Debt strategy'!$D$11='Debt strategy'!$D$10,2&lt;1))),1,0),IF(AND(U239+V239-W239&gt;0,OR('Debt strategy'!$D$12&gt;'Debt strategy'!$D$10,AND('Debt strategy'!$D$12='Debt strategy'!$D$10,3&lt;1))),1,0),IF(AND(AA239+AB239-AC239&gt;0,OR('Debt strategy'!$D$13&gt;'Debt strategy'!$D$10,AND('Debt strategy'!$D$13='Debt strategy'!$D$10,4&lt;1))),1,0)))</x:f>
        <x:v>99</x:v>
      </x:c>
      <x:c r="M239" s="6" t="n">
        <x:f>IF('Debt strategy'!$C$16&gt;0,0,MIN(I239+J239-K239,MAX(0,'Debt strategy'!$C$5-SUM(E239,K239,Q239,W239,AC239)-SUM(IF(F239&lt;L239,C239+D239-E239,0),IF(R239&lt;L239,O239+P239-Q239,0),IF(X239&lt;L239,U239+V239-W239,0),IF(AD239&lt;L239,AA239+AB239-AC239,0)))))</x:f>
        <x:v>0</x:v>
      </x:c>
      <x:c r="N239" s="6" t="n">
        <x:f>ROUND(MAX(0,I239+J239-K239-M239),2)</x:f>
        <x:v>0</x:v>
      </x:c>
      <x:c r="O239" s="6" t="n">
        <x:f>T238</x:f>
        <x:v>0</x:v>
      </x:c>
      <x:c r="P239" s="6" t="n">
        <x:f>ROUND(O239*'Debt strategy'!$D$11/12,2)</x:f>
        <x:v>0</x:v>
      </x:c>
      <x:c r="Q239" s="6" t="n">
        <x:f>MIN(O239+P239,'Debt strategy'!$E$11)</x:f>
        <x:v>0</x:v>
      </x:c>
      <x:c r="R239" s="27" t="n">
        <x:f>IF(O239+P239-Q239&lt;=0,99,1+SUM(IF(AND(C239+D239-E239&gt;0,OR('Debt strategy'!$D$9&gt;'Debt strategy'!$D$11,AND('Debt strategy'!$D$9='Debt strategy'!$D$11,0&lt;2))),1,0),IF(AND(I239+J239-K239&gt;0,OR('Debt strategy'!$D$10&gt;'Debt strategy'!$D$11,AND('Debt strategy'!$D$10='Debt strategy'!$D$11,1&lt;2))),1,0),IF(AND(U239+V239-W239&gt;0,OR('Debt strategy'!$D$12&gt;'Debt strategy'!$D$11,AND('Debt strategy'!$D$12='Debt strategy'!$D$11,3&lt;2))),1,0),IF(AND(AA239+AB239-AC239&gt;0,OR('Debt strategy'!$D$13&gt;'Debt strategy'!$D$11,AND('Debt strategy'!$D$13='Debt strategy'!$D$11,4&lt;2))),1,0)))</x:f>
        <x:v>99</x:v>
      </x:c>
      <x:c r="S239" s="6" t="n">
        <x:f>IF('Debt strategy'!$C$16&gt;0,0,MIN(O239+P239-Q239,MAX(0,'Debt strategy'!$C$5-SUM(E239,K239,Q239,W239,AC239)-SUM(IF(F239&lt;R239,C239+D239-E239,0),IF(L239&lt;R239,I239+J239-K239,0),IF(X239&lt;R239,U239+V239-W239,0),IF(AD239&lt;R239,AA239+AB239-AC239,0)))))</x:f>
        <x:v>0</x:v>
      </x:c>
      <x:c r="T239" s="6" t="n">
        <x:f>ROUND(MAX(0,O239+P239-Q239-S239),2)</x:f>
        <x:v>0</x:v>
      </x:c>
      <x:c r="U239" s="6" t="n">
        <x:f>Z238</x:f>
        <x:v>0</x:v>
      </x:c>
      <x:c r="V239" s="6" t="n">
        <x:f>ROUND(U239*'Debt strategy'!$D$12/12,2)</x:f>
        <x:v>0</x:v>
      </x:c>
      <x:c r="W239" s="6" t="n">
        <x:f>MIN(U239+V239,'Debt strategy'!$E$12)</x:f>
        <x:v>0</x:v>
      </x:c>
      <x:c r="X239" s="27" t="n">
        <x:f>IF(U239+V239-W239&lt;=0,99,1+SUM(IF(AND(C239+D239-E239&gt;0,OR('Debt strategy'!$D$9&gt;'Debt strategy'!$D$12,AND('Debt strategy'!$D$9='Debt strategy'!$D$12,0&lt;3))),1,0),IF(AND(I239+J239-K239&gt;0,OR('Debt strategy'!$D$10&gt;'Debt strategy'!$D$12,AND('Debt strategy'!$D$10='Debt strategy'!$D$12,1&lt;3))),1,0),IF(AND(O239+P239-Q239&gt;0,OR('Debt strategy'!$D$11&gt;'Debt strategy'!$D$12,AND('Debt strategy'!$D$11='Debt strategy'!$D$12,2&lt;3))),1,0),IF(AND(AA239+AB239-AC239&gt;0,OR('Debt strategy'!$D$13&gt;'Debt strategy'!$D$12,AND('Debt strategy'!$D$13='Debt strategy'!$D$12,4&lt;3))),1,0)))</x:f>
        <x:v>99</x:v>
      </x:c>
      <x:c r="Y239" s="6" t="n">
        <x:f>IF('Debt strategy'!$C$16&gt;0,0,MIN(U239+V239-W239,MAX(0,'Debt strategy'!$C$5-SUM(E239,K239,Q239,W239,AC239)-SUM(IF(F239&lt;X239,C239+D239-E239,0),IF(L239&lt;X239,I239+J239-K239,0),IF(R239&lt;X239,O239+P239-Q239,0),IF(AD239&lt;X239,AA239+AB239-AC239,0)))))</x:f>
        <x:v>0</x:v>
      </x:c>
      <x:c r="Z239" s="6" t="n">
        <x:f>ROUND(MAX(0,U239+V239-W239-Y239),2)</x:f>
        <x:v>0</x:v>
      </x:c>
      <x:c r="AA239" s="6" t="n">
        <x:f>AF238</x:f>
        <x:v>0</x:v>
      </x:c>
      <x:c r="AB239" s="6" t="n">
        <x:f>ROUND(AA239*'Debt strategy'!$D$13/12,2)</x:f>
        <x:v>0</x:v>
      </x:c>
      <x:c r="AC239" s="6" t="n">
        <x:f>MIN(AA239+AB239,'Debt strategy'!$E$13)</x:f>
        <x:v>0</x:v>
      </x:c>
      <x:c r="AD239" s="27" t="n">
        <x:f>IF(AA239+AB239-AC239&lt;=0,99,1+SUM(IF(AND(C239+D239-E239&gt;0,OR('Debt strategy'!$D$9&gt;'Debt strategy'!$D$13,AND('Debt strategy'!$D$9='Debt strategy'!$D$13,0&lt;4))),1,0),IF(AND(I239+J239-K239&gt;0,OR('Debt strategy'!$D$10&gt;'Debt strategy'!$D$13,AND('Debt strategy'!$D$10='Debt strategy'!$D$13,1&lt;4))),1,0),IF(AND(O239+P239-Q239&gt;0,OR('Debt strategy'!$D$11&gt;'Debt strategy'!$D$13,AND('Debt strategy'!$D$11='Debt strategy'!$D$13,2&lt;4))),1,0),IF(AND(U239+V239-W239&gt;0,OR('Debt strategy'!$D$12&gt;'Debt strategy'!$D$13,AND('Debt strategy'!$D$12='Debt strategy'!$D$13,3&lt;4))),1,0)))</x:f>
        <x:v>99</x:v>
      </x:c>
      <x:c r="AE239" s="6" t="n">
        <x:f>IF('Debt strategy'!$C$16&gt;0,0,MIN(AA239+AB239-AC239,MAX(0,'Debt strategy'!$C$5-SUM(E239,K239,Q239,W239,AC239)-SUM(IF(F239&lt;AD239,C239+D239-E239,0),IF(L239&lt;AD239,I239+J239-K239,0),IF(R239&lt;AD239,O239+P239-Q239,0),IF(X239&lt;AD239,U239+V239-W239,0)))))</x:f>
        <x:v>0</x:v>
      </x:c>
      <x:c r="AF239" s="6" t="n">
        <x:f>ROUND(MAX(0,AA239+AB239-AC239-AE239),2)</x:f>
        <x:v>0</x:v>
      </x:c>
      <x:c r="AG239" s="6" t="n">
        <x:f>SUM(H239,N239,T239,Z239,AF239)</x:f>
        <x:v>0</x:v>
      </x:c>
      <x:c r="AH239" s="6" t="n">
        <x:f>SUM(D239,J239,P239,V239,AB239)+AH238</x:f>
        <x:v>1220.8400000000001</x:v>
      </x:c>
      <x:c r="AI239" s="2"/>
    </x:row>
    <x:row r="240" ht="23" customHeight="1">
      <x:c r="B240" s="2" t="n">
        <x:f>232</x:f>
        <x:v>232</x:v>
      </x:c>
      <x:c r="C240" s="6" t="n">
        <x:f>H239</x:f>
        <x:v>0</x:v>
      </x:c>
      <x:c r="D240" s="6" t="n">
        <x:f>ROUND(C240*'Debt strategy'!$D$9/12,2)</x:f>
        <x:v>0</x:v>
      </x:c>
      <x:c r="E240" s="6" t="n">
        <x:f>MIN(C240+D240,'Debt strategy'!$E$9)</x:f>
        <x:v>0</x:v>
      </x:c>
      <x:c r="F240" s="27" t="n">
        <x:f>IF(C240+D240-E240&lt;=0,99,1+SUM(IF(AND(I240+J240-K240&gt;0,OR('Debt strategy'!$D$10&gt;'Debt strategy'!$D$9,AND('Debt strategy'!$D$10='Debt strategy'!$D$9,1&lt;0))),1,0),IF(AND(O240+P240-Q240&gt;0,OR('Debt strategy'!$D$11&gt;'Debt strategy'!$D$9,AND('Debt strategy'!$D$11='Debt strategy'!$D$9,2&lt;0))),1,0),IF(AND(U240+V240-W240&gt;0,OR('Debt strategy'!$D$12&gt;'Debt strategy'!$D$9,AND('Debt strategy'!$D$12='Debt strategy'!$D$9,3&lt;0))),1,0),IF(AND(AA240+AB240-AC240&gt;0,OR('Debt strategy'!$D$13&gt;'Debt strategy'!$D$9,AND('Debt strategy'!$D$13='Debt strategy'!$D$9,4&lt;0))),1,0)))</x:f>
        <x:v>99</x:v>
      </x:c>
      <x:c r="G240" s="6" t="n">
        <x:f>IF('Debt strategy'!$C$16&gt;0,0,MIN(C240+D240-E240,MAX(0,'Debt strategy'!$C$5-SUM(E240,K240,Q240,W240,AC240)-SUM(IF(L240&lt;F240,I240+J240-K240,0),IF(R240&lt;F240,O240+P240-Q240,0),IF(X240&lt;F240,U240+V240-W240,0),IF(AD240&lt;F240,AA240+AB240-AC240,0)))))</x:f>
        <x:v>0</x:v>
      </x:c>
      <x:c r="H240" s="6" t="n">
        <x:f>ROUND(MAX(0,C240+D240-E240-G240),2)</x:f>
        <x:v>0</x:v>
      </x:c>
      <x:c r="I240" s="6" t="n">
        <x:f>N239</x:f>
        <x:v>0</x:v>
      </x:c>
      <x:c r="J240" s="6" t="n">
        <x:f>ROUND(I240*'Debt strategy'!$D$10/12,2)</x:f>
        <x:v>0</x:v>
      </x:c>
      <x:c r="K240" s="6" t="n">
        <x:f>MIN(I240+J240,'Debt strategy'!$E$10)</x:f>
        <x:v>0</x:v>
      </x:c>
      <x:c r="L240" s="27" t="n">
        <x:f>IF(I240+J240-K240&lt;=0,99,1+SUM(IF(AND(C240+D240-E240&gt;0,OR('Debt strategy'!$D$9&gt;'Debt strategy'!$D$10,AND('Debt strategy'!$D$9='Debt strategy'!$D$10,0&lt;1))),1,0),IF(AND(O240+P240-Q240&gt;0,OR('Debt strategy'!$D$11&gt;'Debt strategy'!$D$10,AND('Debt strategy'!$D$11='Debt strategy'!$D$10,2&lt;1))),1,0),IF(AND(U240+V240-W240&gt;0,OR('Debt strategy'!$D$12&gt;'Debt strategy'!$D$10,AND('Debt strategy'!$D$12='Debt strategy'!$D$10,3&lt;1))),1,0),IF(AND(AA240+AB240-AC240&gt;0,OR('Debt strategy'!$D$13&gt;'Debt strategy'!$D$10,AND('Debt strategy'!$D$13='Debt strategy'!$D$10,4&lt;1))),1,0)))</x:f>
        <x:v>99</x:v>
      </x:c>
      <x:c r="M240" s="6" t="n">
        <x:f>IF('Debt strategy'!$C$16&gt;0,0,MIN(I240+J240-K240,MAX(0,'Debt strategy'!$C$5-SUM(E240,K240,Q240,W240,AC240)-SUM(IF(F240&lt;L240,C240+D240-E240,0),IF(R240&lt;L240,O240+P240-Q240,0),IF(X240&lt;L240,U240+V240-W240,0),IF(AD240&lt;L240,AA240+AB240-AC240,0)))))</x:f>
        <x:v>0</x:v>
      </x:c>
      <x:c r="N240" s="6" t="n">
        <x:f>ROUND(MAX(0,I240+J240-K240-M240),2)</x:f>
        <x:v>0</x:v>
      </x:c>
      <x:c r="O240" s="6" t="n">
        <x:f>T239</x:f>
        <x:v>0</x:v>
      </x:c>
      <x:c r="P240" s="6" t="n">
        <x:f>ROUND(O240*'Debt strategy'!$D$11/12,2)</x:f>
        <x:v>0</x:v>
      </x:c>
      <x:c r="Q240" s="6" t="n">
        <x:f>MIN(O240+P240,'Debt strategy'!$E$11)</x:f>
        <x:v>0</x:v>
      </x:c>
      <x:c r="R240" s="27" t="n">
        <x:f>IF(O240+P240-Q240&lt;=0,99,1+SUM(IF(AND(C240+D240-E240&gt;0,OR('Debt strategy'!$D$9&gt;'Debt strategy'!$D$11,AND('Debt strategy'!$D$9='Debt strategy'!$D$11,0&lt;2))),1,0),IF(AND(I240+J240-K240&gt;0,OR('Debt strategy'!$D$10&gt;'Debt strategy'!$D$11,AND('Debt strategy'!$D$10='Debt strategy'!$D$11,1&lt;2))),1,0),IF(AND(U240+V240-W240&gt;0,OR('Debt strategy'!$D$12&gt;'Debt strategy'!$D$11,AND('Debt strategy'!$D$12='Debt strategy'!$D$11,3&lt;2))),1,0),IF(AND(AA240+AB240-AC240&gt;0,OR('Debt strategy'!$D$13&gt;'Debt strategy'!$D$11,AND('Debt strategy'!$D$13='Debt strategy'!$D$11,4&lt;2))),1,0)))</x:f>
        <x:v>99</x:v>
      </x:c>
      <x:c r="S240" s="6" t="n">
        <x:f>IF('Debt strategy'!$C$16&gt;0,0,MIN(O240+P240-Q240,MAX(0,'Debt strategy'!$C$5-SUM(E240,K240,Q240,W240,AC240)-SUM(IF(F240&lt;R240,C240+D240-E240,0),IF(L240&lt;R240,I240+J240-K240,0),IF(X240&lt;R240,U240+V240-W240,0),IF(AD240&lt;R240,AA240+AB240-AC240,0)))))</x:f>
        <x:v>0</x:v>
      </x:c>
      <x:c r="T240" s="6" t="n">
        <x:f>ROUND(MAX(0,O240+P240-Q240-S240),2)</x:f>
        <x:v>0</x:v>
      </x:c>
      <x:c r="U240" s="6" t="n">
        <x:f>Z239</x:f>
        <x:v>0</x:v>
      </x:c>
      <x:c r="V240" s="6" t="n">
        <x:f>ROUND(U240*'Debt strategy'!$D$12/12,2)</x:f>
        <x:v>0</x:v>
      </x:c>
      <x:c r="W240" s="6" t="n">
        <x:f>MIN(U240+V240,'Debt strategy'!$E$12)</x:f>
        <x:v>0</x:v>
      </x:c>
      <x:c r="X240" s="27" t="n">
        <x:f>IF(U240+V240-W240&lt;=0,99,1+SUM(IF(AND(C240+D240-E240&gt;0,OR('Debt strategy'!$D$9&gt;'Debt strategy'!$D$12,AND('Debt strategy'!$D$9='Debt strategy'!$D$12,0&lt;3))),1,0),IF(AND(I240+J240-K240&gt;0,OR('Debt strategy'!$D$10&gt;'Debt strategy'!$D$12,AND('Debt strategy'!$D$10='Debt strategy'!$D$12,1&lt;3))),1,0),IF(AND(O240+P240-Q240&gt;0,OR('Debt strategy'!$D$11&gt;'Debt strategy'!$D$12,AND('Debt strategy'!$D$11='Debt strategy'!$D$12,2&lt;3))),1,0),IF(AND(AA240+AB240-AC240&gt;0,OR('Debt strategy'!$D$13&gt;'Debt strategy'!$D$12,AND('Debt strategy'!$D$13='Debt strategy'!$D$12,4&lt;3))),1,0)))</x:f>
        <x:v>99</x:v>
      </x:c>
      <x:c r="Y240" s="6" t="n">
        <x:f>IF('Debt strategy'!$C$16&gt;0,0,MIN(U240+V240-W240,MAX(0,'Debt strategy'!$C$5-SUM(E240,K240,Q240,W240,AC240)-SUM(IF(F240&lt;X240,C240+D240-E240,0),IF(L240&lt;X240,I240+J240-K240,0),IF(R240&lt;X240,O240+P240-Q240,0),IF(AD240&lt;X240,AA240+AB240-AC240,0)))))</x:f>
        <x:v>0</x:v>
      </x:c>
      <x:c r="Z240" s="6" t="n">
        <x:f>ROUND(MAX(0,U240+V240-W240-Y240),2)</x:f>
        <x:v>0</x:v>
      </x:c>
      <x:c r="AA240" s="6" t="n">
        <x:f>AF239</x:f>
        <x:v>0</x:v>
      </x:c>
      <x:c r="AB240" s="6" t="n">
        <x:f>ROUND(AA240*'Debt strategy'!$D$13/12,2)</x:f>
        <x:v>0</x:v>
      </x:c>
      <x:c r="AC240" s="6" t="n">
        <x:f>MIN(AA240+AB240,'Debt strategy'!$E$13)</x:f>
        <x:v>0</x:v>
      </x:c>
      <x:c r="AD240" s="27" t="n">
        <x:f>IF(AA240+AB240-AC240&lt;=0,99,1+SUM(IF(AND(C240+D240-E240&gt;0,OR('Debt strategy'!$D$9&gt;'Debt strategy'!$D$13,AND('Debt strategy'!$D$9='Debt strategy'!$D$13,0&lt;4))),1,0),IF(AND(I240+J240-K240&gt;0,OR('Debt strategy'!$D$10&gt;'Debt strategy'!$D$13,AND('Debt strategy'!$D$10='Debt strategy'!$D$13,1&lt;4))),1,0),IF(AND(O240+P240-Q240&gt;0,OR('Debt strategy'!$D$11&gt;'Debt strategy'!$D$13,AND('Debt strategy'!$D$11='Debt strategy'!$D$13,2&lt;4))),1,0),IF(AND(U240+V240-W240&gt;0,OR('Debt strategy'!$D$12&gt;'Debt strategy'!$D$13,AND('Debt strategy'!$D$12='Debt strategy'!$D$13,3&lt;4))),1,0)))</x:f>
        <x:v>99</x:v>
      </x:c>
      <x:c r="AE240" s="6" t="n">
        <x:f>IF('Debt strategy'!$C$16&gt;0,0,MIN(AA240+AB240-AC240,MAX(0,'Debt strategy'!$C$5-SUM(E240,K240,Q240,W240,AC240)-SUM(IF(F240&lt;AD240,C240+D240-E240,0),IF(L240&lt;AD240,I240+J240-K240,0),IF(R240&lt;AD240,O240+P240-Q240,0),IF(X240&lt;AD240,U240+V240-W240,0)))))</x:f>
        <x:v>0</x:v>
      </x:c>
      <x:c r="AF240" s="6" t="n">
        <x:f>ROUND(MAX(0,AA240+AB240-AC240-AE240),2)</x:f>
        <x:v>0</x:v>
      </x:c>
      <x:c r="AG240" s="6" t="n">
        <x:f>SUM(H240,N240,T240,Z240,AF240)</x:f>
        <x:v>0</x:v>
      </x:c>
      <x:c r="AH240" s="6" t="n">
        <x:f>SUM(D240,J240,P240,V240,AB240)+AH239</x:f>
        <x:v>1220.8400000000001</x:v>
      </x:c>
      <x:c r="AI240" s="2"/>
    </x:row>
    <x:row r="241" ht="23" customHeight="1">
      <x:c r="B241" s="2" t="n">
        <x:f>233</x:f>
        <x:v>233</x:v>
      </x:c>
      <x:c r="C241" s="6" t="n">
        <x:f>H240</x:f>
        <x:v>0</x:v>
      </x:c>
      <x:c r="D241" s="6" t="n">
        <x:f>ROUND(C241*'Debt strategy'!$D$9/12,2)</x:f>
        <x:v>0</x:v>
      </x:c>
      <x:c r="E241" s="6" t="n">
        <x:f>MIN(C241+D241,'Debt strategy'!$E$9)</x:f>
        <x:v>0</x:v>
      </x:c>
      <x:c r="F241" s="27" t="n">
        <x:f>IF(C241+D241-E241&lt;=0,99,1+SUM(IF(AND(I241+J241-K241&gt;0,OR('Debt strategy'!$D$10&gt;'Debt strategy'!$D$9,AND('Debt strategy'!$D$10='Debt strategy'!$D$9,1&lt;0))),1,0),IF(AND(O241+P241-Q241&gt;0,OR('Debt strategy'!$D$11&gt;'Debt strategy'!$D$9,AND('Debt strategy'!$D$11='Debt strategy'!$D$9,2&lt;0))),1,0),IF(AND(U241+V241-W241&gt;0,OR('Debt strategy'!$D$12&gt;'Debt strategy'!$D$9,AND('Debt strategy'!$D$12='Debt strategy'!$D$9,3&lt;0))),1,0),IF(AND(AA241+AB241-AC241&gt;0,OR('Debt strategy'!$D$13&gt;'Debt strategy'!$D$9,AND('Debt strategy'!$D$13='Debt strategy'!$D$9,4&lt;0))),1,0)))</x:f>
        <x:v>99</x:v>
      </x:c>
      <x:c r="G241" s="6" t="n">
        <x:f>IF('Debt strategy'!$C$16&gt;0,0,MIN(C241+D241-E241,MAX(0,'Debt strategy'!$C$5-SUM(E241,K241,Q241,W241,AC241)-SUM(IF(L241&lt;F241,I241+J241-K241,0),IF(R241&lt;F241,O241+P241-Q241,0),IF(X241&lt;F241,U241+V241-W241,0),IF(AD241&lt;F241,AA241+AB241-AC241,0)))))</x:f>
        <x:v>0</x:v>
      </x:c>
      <x:c r="H241" s="6" t="n">
        <x:f>ROUND(MAX(0,C241+D241-E241-G241),2)</x:f>
        <x:v>0</x:v>
      </x:c>
      <x:c r="I241" s="6" t="n">
        <x:f>N240</x:f>
        <x:v>0</x:v>
      </x:c>
      <x:c r="J241" s="6" t="n">
        <x:f>ROUND(I241*'Debt strategy'!$D$10/12,2)</x:f>
        <x:v>0</x:v>
      </x:c>
      <x:c r="K241" s="6" t="n">
        <x:f>MIN(I241+J241,'Debt strategy'!$E$10)</x:f>
        <x:v>0</x:v>
      </x:c>
      <x:c r="L241" s="27" t="n">
        <x:f>IF(I241+J241-K241&lt;=0,99,1+SUM(IF(AND(C241+D241-E241&gt;0,OR('Debt strategy'!$D$9&gt;'Debt strategy'!$D$10,AND('Debt strategy'!$D$9='Debt strategy'!$D$10,0&lt;1))),1,0),IF(AND(O241+P241-Q241&gt;0,OR('Debt strategy'!$D$11&gt;'Debt strategy'!$D$10,AND('Debt strategy'!$D$11='Debt strategy'!$D$10,2&lt;1))),1,0),IF(AND(U241+V241-W241&gt;0,OR('Debt strategy'!$D$12&gt;'Debt strategy'!$D$10,AND('Debt strategy'!$D$12='Debt strategy'!$D$10,3&lt;1))),1,0),IF(AND(AA241+AB241-AC241&gt;0,OR('Debt strategy'!$D$13&gt;'Debt strategy'!$D$10,AND('Debt strategy'!$D$13='Debt strategy'!$D$10,4&lt;1))),1,0)))</x:f>
        <x:v>99</x:v>
      </x:c>
      <x:c r="M241" s="6" t="n">
        <x:f>IF('Debt strategy'!$C$16&gt;0,0,MIN(I241+J241-K241,MAX(0,'Debt strategy'!$C$5-SUM(E241,K241,Q241,W241,AC241)-SUM(IF(F241&lt;L241,C241+D241-E241,0),IF(R241&lt;L241,O241+P241-Q241,0),IF(X241&lt;L241,U241+V241-W241,0),IF(AD241&lt;L241,AA241+AB241-AC241,0)))))</x:f>
        <x:v>0</x:v>
      </x:c>
      <x:c r="N241" s="6" t="n">
        <x:f>ROUND(MAX(0,I241+J241-K241-M241),2)</x:f>
        <x:v>0</x:v>
      </x:c>
      <x:c r="O241" s="6" t="n">
        <x:f>T240</x:f>
        <x:v>0</x:v>
      </x:c>
      <x:c r="P241" s="6" t="n">
        <x:f>ROUND(O241*'Debt strategy'!$D$11/12,2)</x:f>
        <x:v>0</x:v>
      </x:c>
      <x:c r="Q241" s="6" t="n">
        <x:f>MIN(O241+P241,'Debt strategy'!$E$11)</x:f>
        <x:v>0</x:v>
      </x:c>
      <x:c r="R241" s="27" t="n">
        <x:f>IF(O241+P241-Q241&lt;=0,99,1+SUM(IF(AND(C241+D241-E241&gt;0,OR('Debt strategy'!$D$9&gt;'Debt strategy'!$D$11,AND('Debt strategy'!$D$9='Debt strategy'!$D$11,0&lt;2))),1,0),IF(AND(I241+J241-K241&gt;0,OR('Debt strategy'!$D$10&gt;'Debt strategy'!$D$11,AND('Debt strategy'!$D$10='Debt strategy'!$D$11,1&lt;2))),1,0),IF(AND(U241+V241-W241&gt;0,OR('Debt strategy'!$D$12&gt;'Debt strategy'!$D$11,AND('Debt strategy'!$D$12='Debt strategy'!$D$11,3&lt;2))),1,0),IF(AND(AA241+AB241-AC241&gt;0,OR('Debt strategy'!$D$13&gt;'Debt strategy'!$D$11,AND('Debt strategy'!$D$13='Debt strategy'!$D$11,4&lt;2))),1,0)))</x:f>
        <x:v>99</x:v>
      </x:c>
      <x:c r="S241" s="6" t="n">
        <x:f>IF('Debt strategy'!$C$16&gt;0,0,MIN(O241+P241-Q241,MAX(0,'Debt strategy'!$C$5-SUM(E241,K241,Q241,W241,AC241)-SUM(IF(F241&lt;R241,C241+D241-E241,0),IF(L241&lt;R241,I241+J241-K241,0),IF(X241&lt;R241,U241+V241-W241,0),IF(AD241&lt;R241,AA241+AB241-AC241,0)))))</x:f>
        <x:v>0</x:v>
      </x:c>
      <x:c r="T241" s="6" t="n">
        <x:f>ROUND(MAX(0,O241+P241-Q241-S241),2)</x:f>
        <x:v>0</x:v>
      </x:c>
      <x:c r="U241" s="6" t="n">
        <x:f>Z240</x:f>
        <x:v>0</x:v>
      </x:c>
      <x:c r="V241" s="6" t="n">
        <x:f>ROUND(U241*'Debt strategy'!$D$12/12,2)</x:f>
        <x:v>0</x:v>
      </x:c>
      <x:c r="W241" s="6" t="n">
        <x:f>MIN(U241+V241,'Debt strategy'!$E$12)</x:f>
        <x:v>0</x:v>
      </x:c>
      <x:c r="X241" s="27" t="n">
        <x:f>IF(U241+V241-W241&lt;=0,99,1+SUM(IF(AND(C241+D241-E241&gt;0,OR('Debt strategy'!$D$9&gt;'Debt strategy'!$D$12,AND('Debt strategy'!$D$9='Debt strategy'!$D$12,0&lt;3))),1,0),IF(AND(I241+J241-K241&gt;0,OR('Debt strategy'!$D$10&gt;'Debt strategy'!$D$12,AND('Debt strategy'!$D$10='Debt strategy'!$D$12,1&lt;3))),1,0),IF(AND(O241+P241-Q241&gt;0,OR('Debt strategy'!$D$11&gt;'Debt strategy'!$D$12,AND('Debt strategy'!$D$11='Debt strategy'!$D$12,2&lt;3))),1,0),IF(AND(AA241+AB241-AC241&gt;0,OR('Debt strategy'!$D$13&gt;'Debt strategy'!$D$12,AND('Debt strategy'!$D$13='Debt strategy'!$D$12,4&lt;3))),1,0)))</x:f>
        <x:v>99</x:v>
      </x:c>
      <x:c r="Y241" s="6" t="n">
        <x:f>IF('Debt strategy'!$C$16&gt;0,0,MIN(U241+V241-W241,MAX(0,'Debt strategy'!$C$5-SUM(E241,K241,Q241,W241,AC241)-SUM(IF(F241&lt;X241,C241+D241-E241,0),IF(L241&lt;X241,I241+J241-K241,0),IF(R241&lt;X241,O241+P241-Q241,0),IF(AD241&lt;X241,AA241+AB241-AC241,0)))))</x:f>
        <x:v>0</x:v>
      </x:c>
      <x:c r="Z241" s="6" t="n">
        <x:f>ROUND(MAX(0,U241+V241-W241-Y241),2)</x:f>
        <x:v>0</x:v>
      </x:c>
      <x:c r="AA241" s="6" t="n">
        <x:f>AF240</x:f>
        <x:v>0</x:v>
      </x:c>
      <x:c r="AB241" s="6" t="n">
        <x:f>ROUND(AA241*'Debt strategy'!$D$13/12,2)</x:f>
        <x:v>0</x:v>
      </x:c>
      <x:c r="AC241" s="6" t="n">
        <x:f>MIN(AA241+AB241,'Debt strategy'!$E$13)</x:f>
        <x:v>0</x:v>
      </x:c>
      <x:c r="AD241" s="27" t="n">
        <x:f>IF(AA241+AB241-AC241&lt;=0,99,1+SUM(IF(AND(C241+D241-E241&gt;0,OR('Debt strategy'!$D$9&gt;'Debt strategy'!$D$13,AND('Debt strategy'!$D$9='Debt strategy'!$D$13,0&lt;4))),1,0),IF(AND(I241+J241-K241&gt;0,OR('Debt strategy'!$D$10&gt;'Debt strategy'!$D$13,AND('Debt strategy'!$D$10='Debt strategy'!$D$13,1&lt;4))),1,0),IF(AND(O241+P241-Q241&gt;0,OR('Debt strategy'!$D$11&gt;'Debt strategy'!$D$13,AND('Debt strategy'!$D$11='Debt strategy'!$D$13,2&lt;4))),1,0),IF(AND(U241+V241-W241&gt;0,OR('Debt strategy'!$D$12&gt;'Debt strategy'!$D$13,AND('Debt strategy'!$D$12='Debt strategy'!$D$13,3&lt;4))),1,0)))</x:f>
        <x:v>99</x:v>
      </x:c>
      <x:c r="AE241" s="6" t="n">
        <x:f>IF('Debt strategy'!$C$16&gt;0,0,MIN(AA241+AB241-AC241,MAX(0,'Debt strategy'!$C$5-SUM(E241,K241,Q241,W241,AC241)-SUM(IF(F241&lt;AD241,C241+D241-E241,0),IF(L241&lt;AD241,I241+J241-K241,0),IF(R241&lt;AD241,O241+P241-Q241,0),IF(X241&lt;AD241,U241+V241-W241,0)))))</x:f>
        <x:v>0</x:v>
      </x:c>
      <x:c r="AF241" s="6" t="n">
        <x:f>ROUND(MAX(0,AA241+AB241-AC241-AE241),2)</x:f>
        <x:v>0</x:v>
      </x:c>
      <x:c r="AG241" s="6" t="n">
        <x:f>SUM(H241,N241,T241,Z241,AF241)</x:f>
        <x:v>0</x:v>
      </x:c>
      <x:c r="AH241" s="6" t="n">
        <x:f>SUM(D241,J241,P241,V241,AB241)+AH240</x:f>
        <x:v>1220.8400000000001</x:v>
      </x:c>
      <x:c r="AI241" s="2"/>
    </x:row>
    <x:row r="242" ht="23" customHeight="1">
      <x:c r="B242" s="2" t="n">
        <x:f>234</x:f>
        <x:v>234</x:v>
      </x:c>
      <x:c r="C242" s="6" t="n">
        <x:f>H241</x:f>
        <x:v>0</x:v>
      </x:c>
      <x:c r="D242" s="6" t="n">
        <x:f>ROUND(C242*'Debt strategy'!$D$9/12,2)</x:f>
        <x:v>0</x:v>
      </x:c>
      <x:c r="E242" s="6" t="n">
        <x:f>MIN(C242+D242,'Debt strategy'!$E$9)</x:f>
        <x:v>0</x:v>
      </x:c>
      <x:c r="F242" s="27" t="n">
        <x:f>IF(C242+D242-E242&lt;=0,99,1+SUM(IF(AND(I242+J242-K242&gt;0,OR('Debt strategy'!$D$10&gt;'Debt strategy'!$D$9,AND('Debt strategy'!$D$10='Debt strategy'!$D$9,1&lt;0))),1,0),IF(AND(O242+P242-Q242&gt;0,OR('Debt strategy'!$D$11&gt;'Debt strategy'!$D$9,AND('Debt strategy'!$D$11='Debt strategy'!$D$9,2&lt;0))),1,0),IF(AND(U242+V242-W242&gt;0,OR('Debt strategy'!$D$12&gt;'Debt strategy'!$D$9,AND('Debt strategy'!$D$12='Debt strategy'!$D$9,3&lt;0))),1,0),IF(AND(AA242+AB242-AC242&gt;0,OR('Debt strategy'!$D$13&gt;'Debt strategy'!$D$9,AND('Debt strategy'!$D$13='Debt strategy'!$D$9,4&lt;0))),1,0)))</x:f>
        <x:v>99</x:v>
      </x:c>
      <x:c r="G242" s="6" t="n">
        <x:f>IF('Debt strategy'!$C$16&gt;0,0,MIN(C242+D242-E242,MAX(0,'Debt strategy'!$C$5-SUM(E242,K242,Q242,W242,AC242)-SUM(IF(L242&lt;F242,I242+J242-K242,0),IF(R242&lt;F242,O242+P242-Q242,0),IF(X242&lt;F242,U242+V242-W242,0),IF(AD242&lt;F242,AA242+AB242-AC242,0)))))</x:f>
        <x:v>0</x:v>
      </x:c>
      <x:c r="H242" s="6" t="n">
        <x:f>ROUND(MAX(0,C242+D242-E242-G242),2)</x:f>
        <x:v>0</x:v>
      </x:c>
      <x:c r="I242" s="6" t="n">
        <x:f>N241</x:f>
        <x:v>0</x:v>
      </x:c>
      <x:c r="J242" s="6" t="n">
        <x:f>ROUND(I242*'Debt strategy'!$D$10/12,2)</x:f>
        <x:v>0</x:v>
      </x:c>
      <x:c r="K242" s="6" t="n">
        <x:f>MIN(I242+J242,'Debt strategy'!$E$10)</x:f>
        <x:v>0</x:v>
      </x:c>
      <x:c r="L242" s="27" t="n">
        <x:f>IF(I242+J242-K242&lt;=0,99,1+SUM(IF(AND(C242+D242-E242&gt;0,OR('Debt strategy'!$D$9&gt;'Debt strategy'!$D$10,AND('Debt strategy'!$D$9='Debt strategy'!$D$10,0&lt;1))),1,0),IF(AND(O242+P242-Q242&gt;0,OR('Debt strategy'!$D$11&gt;'Debt strategy'!$D$10,AND('Debt strategy'!$D$11='Debt strategy'!$D$10,2&lt;1))),1,0),IF(AND(U242+V242-W242&gt;0,OR('Debt strategy'!$D$12&gt;'Debt strategy'!$D$10,AND('Debt strategy'!$D$12='Debt strategy'!$D$10,3&lt;1))),1,0),IF(AND(AA242+AB242-AC242&gt;0,OR('Debt strategy'!$D$13&gt;'Debt strategy'!$D$10,AND('Debt strategy'!$D$13='Debt strategy'!$D$10,4&lt;1))),1,0)))</x:f>
        <x:v>99</x:v>
      </x:c>
      <x:c r="M242" s="6" t="n">
        <x:f>IF('Debt strategy'!$C$16&gt;0,0,MIN(I242+J242-K242,MAX(0,'Debt strategy'!$C$5-SUM(E242,K242,Q242,W242,AC242)-SUM(IF(F242&lt;L242,C242+D242-E242,0),IF(R242&lt;L242,O242+P242-Q242,0),IF(X242&lt;L242,U242+V242-W242,0),IF(AD242&lt;L242,AA242+AB242-AC242,0)))))</x:f>
        <x:v>0</x:v>
      </x:c>
      <x:c r="N242" s="6" t="n">
        <x:f>ROUND(MAX(0,I242+J242-K242-M242),2)</x:f>
        <x:v>0</x:v>
      </x:c>
      <x:c r="O242" s="6" t="n">
        <x:f>T241</x:f>
        <x:v>0</x:v>
      </x:c>
      <x:c r="P242" s="6" t="n">
        <x:f>ROUND(O242*'Debt strategy'!$D$11/12,2)</x:f>
        <x:v>0</x:v>
      </x:c>
      <x:c r="Q242" s="6" t="n">
        <x:f>MIN(O242+P242,'Debt strategy'!$E$11)</x:f>
        <x:v>0</x:v>
      </x:c>
      <x:c r="R242" s="27" t="n">
        <x:f>IF(O242+P242-Q242&lt;=0,99,1+SUM(IF(AND(C242+D242-E242&gt;0,OR('Debt strategy'!$D$9&gt;'Debt strategy'!$D$11,AND('Debt strategy'!$D$9='Debt strategy'!$D$11,0&lt;2))),1,0),IF(AND(I242+J242-K242&gt;0,OR('Debt strategy'!$D$10&gt;'Debt strategy'!$D$11,AND('Debt strategy'!$D$10='Debt strategy'!$D$11,1&lt;2))),1,0),IF(AND(U242+V242-W242&gt;0,OR('Debt strategy'!$D$12&gt;'Debt strategy'!$D$11,AND('Debt strategy'!$D$12='Debt strategy'!$D$11,3&lt;2))),1,0),IF(AND(AA242+AB242-AC242&gt;0,OR('Debt strategy'!$D$13&gt;'Debt strategy'!$D$11,AND('Debt strategy'!$D$13='Debt strategy'!$D$11,4&lt;2))),1,0)))</x:f>
        <x:v>99</x:v>
      </x:c>
      <x:c r="S242" s="6" t="n">
        <x:f>IF('Debt strategy'!$C$16&gt;0,0,MIN(O242+P242-Q242,MAX(0,'Debt strategy'!$C$5-SUM(E242,K242,Q242,W242,AC242)-SUM(IF(F242&lt;R242,C242+D242-E242,0),IF(L242&lt;R242,I242+J242-K242,0),IF(X242&lt;R242,U242+V242-W242,0),IF(AD242&lt;R242,AA242+AB242-AC242,0)))))</x:f>
        <x:v>0</x:v>
      </x:c>
      <x:c r="T242" s="6" t="n">
        <x:f>ROUND(MAX(0,O242+P242-Q242-S242),2)</x:f>
        <x:v>0</x:v>
      </x:c>
      <x:c r="U242" s="6" t="n">
        <x:f>Z241</x:f>
        <x:v>0</x:v>
      </x:c>
      <x:c r="V242" s="6" t="n">
        <x:f>ROUND(U242*'Debt strategy'!$D$12/12,2)</x:f>
        <x:v>0</x:v>
      </x:c>
      <x:c r="W242" s="6" t="n">
        <x:f>MIN(U242+V242,'Debt strategy'!$E$12)</x:f>
        <x:v>0</x:v>
      </x:c>
      <x:c r="X242" s="27" t="n">
        <x:f>IF(U242+V242-W242&lt;=0,99,1+SUM(IF(AND(C242+D242-E242&gt;0,OR('Debt strategy'!$D$9&gt;'Debt strategy'!$D$12,AND('Debt strategy'!$D$9='Debt strategy'!$D$12,0&lt;3))),1,0),IF(AND(I242+J242-K242&gt;0,OR('Debt strategy'!$D$10&gt;'Debt strategy'!$D$12,AND('Debt strategy'!$D$10='Debt strategy'!$D$12,1&lt;3))),1,0),IF(AND(O242+P242-Q242&gt;0,OR('Debt strategy'!$D$11&gt;'Debt strategy'!$D$12,AND('Debt strategy'!$D$11='Debt strategy'!$D$12,2&lt;3))),1,0),IF(AND(AA242+AB242-AC242&gt;0,OR('Debt strategy'!$D$13&gt;'Debt strategy'!$D$12,AND('Debt strategy'!$D$13='Debt strategy'!$D$12,4&lt;3))),1,0)))</x:f>
        <x:v>99</x:v>
      </x:c>
      <x:c r="Y242" s="6" t="n">
        <x:f>IF('Debt strategy'!$C$16&gt;0,0,MIN(U242+V242-W242,MAX(0,'Debt strategy'!$C$5-SUM(E242,K242,Q242,W242,AC242)-SUM(IF(F242&lt;X242,C242+D242-E242,0),IF(L242&lt;X242,I242+J242-K242,0),IF(R242&lt;X242,O242+P242-Q242,0),IF(AD242&lt;X242,AA242+AB242-AC242,0)))))</x:f>
        <x:v>0</x:v>
      </x:c>
      <x:c r="Z242" s="6" t="n">
        <x:f>ROUND(MAX(0,U242+V242-W242-Y242),2)</x:f>
        <x:v>0</x:v>
      </x:c>
      <x:c r="AA242" s="6" t="n">
        <x:f>AF241</x:f>
        <x:v>0</x:v>
      </x:c>
      <x:c r="AB242" s="6" t="n">
        <x:f>ROUND(AA242*'Debt strategy'!$D$13/12,2)</x:f>
        <x:v>0</x:v>
      </x:c>
      <x:c r="AC242" s="6" t="n">
        <x:f>MIN(AA242+AB242,'Debt strategy'!$E$13)</x:f>
        <x:v>0</x:v>
      </x:c>
      <x:c r="AD242" s="27" t="n">
        <x:f>IF(AA242+AB242-AC242&lt;=0,99,1+SUM(IF(AND(C242+D242-E242&gt;0,OR('Debt strategy'!$D$9&gt;'Debt strategy'!$D$13,AND('Debt strategy'!$D$9='Debt strategy'!$D$13,0&lt;4))),1,0),IF(AND(I242+J242-K242&gt;0,OR('Debt strategy'!$D$10&gt;'Debt strategy'!$D$13,AND('Debt strategy'!$D$10='Debt strategy'!$D$13,1&lt;4))),1,0),IF(AND(O242+P242-Q242&gt;0,OR('Debt strategy'!$D$11&gt;'Debt strategy'!$D$13,AND('Debt strategy'!$D$11='Debt strategy'!$D$13,2&lt;4))),1,0),IF(AND(U242+V242-W242&gt;0,OR('Debt strategy'!$D$12&gt;'Debt strategy'!$D$13,AND('Debt strategy'!$D$12='Debt strategy'!$D$13,3&lt;4))),1,0)))</x:f>
        <x:v>99</x:v>
      </x:c>
      <x:c r="AE242" s="6" t="n">
        <x:f>IF('Debt strategy'!$C$16&gt;0,0,MIN(AA242+AB242-AC242,MAX(0,'Debt strategy'!$C$5-SUM(E242,K242,Q242,W242,AC242)-SUM(IF(F242&lt;AD242,C242+D242-E242,0),IF(L242&lt;AD242,I242+J242-K242,0),IF(R242&lt;AD242,O242+P242-Q242,0),IF(X242&lt;AD242,U242+V242-W242,0)))))</x:f>
        <x:v>0</x:v>
      </x:c>
      <x:c r="AF242" s="6" t="n">
        <x:f>ROUND(MAX(0,AA242+AB242-AC242-AE242),2)</x:f>
        <x:v>0</x:v>
      </x:c>
      <x:c r="AG242" s="6" t="n">
        <x:f>SUM(H242,N242,T242,Z242,AF242)</x:f>
        <x:v>0</x:v>
      </x:c>
      <x:c r="AH242" s="6" t="n">
        <x:f>SUM(D242,J242,P242,V242,AB242)+AH241</x:f>
        <x:v>1220.8400000000001</x:v>
      </x:c>
      <x:c r="AI242" s="2"/>
    </x:row>
    <x:row r="243" ht="23" customHeight="1">
      <x:c r="B243" s="2" t="n">
        <x:f>235</x:f>
        <x:v>235</x:v>
      </x:c>
      <x:c r="C243" s="6" t="n">
        <x:f>H242</x:f>
        <x:v>0</x:v>
      </x:c>
      <x:c r="D243" s="6" t="n">
        <x:f>ROUND(C243*'Debt strategy'!$D$9/12,2)</x:f>
        <x:v>0</x:v>
      </x:c>
      <x:c r="E243" s="6" t="n">
        <x:f>MIN(C243+D243,'Debt strategy'!$E$9)</x:f>
        <x:v>0</x:v>
      </x:c>
      <x:c r="F243" s="27" t="n">
        <x:f>IF(C243+D243-E243&lt;=0,99,1+SUM(IF(AND(I243+J243-K243&gt;0,OR('Debt strategy'!$D$10&gt;'Debt strategy'!$D$9,AND('Debt strategy'!$D$10='Debt strategy'!$D$9,1&lt;0))),1,0),IF(AND(O243+P243-Q243&gt;0,OR('Debt strategy'!$D$11&gt;'Debt strategy'!$D$9,AND('Debt strategy'!$D$11='Debt strategy'!$D$9,2&lt;0))),1,0),IF(AND(U243+V243-W243&gt;0,OR('Debt strategy'!$D$12&gt;'Debt strategy'!$D$9,AND('Debt strategy'!$D$12='Debt strategy'!$D$9,3&lt;0))),1,0),IF(AND(AA243+AB243-AC243&gt;0,OR('Debt strategy'!$D$13&gt;'Debt strategy'!$D$9,AND('Debt strategy'!$D$13='Debt strategy'!$D$9,4&lt;0))),1,0)))</x:f>
        <x:v>99</x:v>
      </x:c>
      <x:c r="G243" s="6" t="n">
        <x:f>IF('Debt strategy'!$C$16&gt;0,0,MIN(C243+D243-E243,MAX(0,'Debt strategy'!$C$5-SUM(E243,K243,Q243,W243,AC243)-SUM(IF(L243&lt;F243,I243+J243-K243,0),IF(R243&lt;F243,O243+P243-Q243,0),IF(X243&lt;F243,U243+V243-W243,0),IF(AD243&lt;F243,AA243+AB243-AC243,0)))))</x:f>
        <x:v>0</x:v>
      </x:c>
      <x:c r="H243" s="6" t="n">
        <x:f>ROUND(MAX(0,C243+D243-E243-G243),2)</x:f>
        <x:v>0</x:v>
      </x:c>
      <x:c r="I243" s="6" t="n">
        <x:f>N242</x:f>
        <x:v>0</x:v>
      </x:c>
      <x:c r="J243" s="6" t="n">
        <x:f>ROUND(I243*'Debt strategy'!$D$10/12,2)</x:f>
        <x:v>0</x:v>
      </x:c>
      <x:c r="K243" s="6" t="n">
        <x:f>MIN(I243+J243,'Debt strategy'!$E$10)</x:f>
        <x:v>0</x:v>
      </x:c>
      <x:c r="L243" s="27" t="n">
        <x:f>IF(I243+J243-K243&lt;=0,99,1+SUM(IF(AND(C243+D243-E243&gt;0,OR('Debt strategy'!$D$9&gt;'Debt strategy'!$D$10,AND('Debt strategy'!$D$9='Debt strategy'!$D$10,0&lt;1))),1,0),IF(AND(O243+P243-Q243&gt;0,OR('Debt strategy'!$D$11&gt;'Debt strategy'!$D$10,AND('Debt strategy'!$D$11='Debt strategy'!$D$10,2&lt;1))),1,0),IF(AND(U243+V243-W243&gt;0,OR('Debt strategy'!$D$12&gt;'Debt strategy'!$D$10,AND('Debt strategy'!$D$12='Debt strategy'!$D$10,3&lt;1))),1,0),IF(AND(AA243+AB243-AC243&gt;0,OR('Debt strategy'!$D$13&gt;'Debt strategy'!$D$10,AND('Debt strategy'!$D$13='Debt strategy'!$D$10,4&lt;1))),1,0)))</x:f>
        <x:v>99</x:v>
      </x:c>
      <x:c r="M243" s="6" t="n">
        <x:f>IF('Debt strategy'!$C$16&gt;0,0,MIN(I243+J243-K243,MAX(0,'Debt strategy'!$C$5-SUM(E243,K243,Q243,W243,AC243)-SUM(IF(F243&lt;L243,C243+D243-E243,0),IF(R243&lt;L243,O243+P243-Q243,0),IF(X243&lt;L243,U243+V243-W243,0),IF(AD243&lt;L243,AA243+AB243-AC243,0)))))</x:f>
        <x:v>0</x:v>
      </x:c>
      <x:c r="N243" s="6" t="n">
        <x:f>ROUND(MAX(0,I243+J243-K243-M243),2)</x:f>
        <x:v>0</x:v>
      </x:c>
      <x:c r="O243" s="6" t="n">
        <x:f>T242</x:f>
        <x:v>0</x:v>
      </x:c>
      <x:c r="P243" s="6" t="n">
        <x:f>ROUND(O243*'Debt strategy'!$D$11/12,2)</x:f>
        <x:v>0</x:v>
      </x:c>
      <x:c r="Q243" s="6" t="n">
        <x:f>MIN(O243+P243,'Debt strategy'!$E$11)</x:f>
        <x:v>0</x:v>
      </x:c>
      <x:c r="R243" s="27" t="n">
        <x:f>IF(O243+P243-Q243&lt;=0,99,1+SUM(IF(AND(C243+D243-E243&gt;0,OR('Debt strategy'!$D$9&gt;'Debt strategy'!$D$11,AND('Debt strategy'!$D$9='Debt strategy'!$D$11,0&lt;2))),1,0),IF(AND(I243+J243-K243&gt;0,OR('Debt strategy'!$D$10&gt;'Debt strategy'!$D$11,AND('Debt strategy'!$D$10='Debt strategy'!$D$11,1&lt;2))),1,0),IF(AND(U243+V243-W243&gt;0,OR('Debt strategy'!$D$12&gt;'Debt strategy'!$D$11,AND('Debt strategy'!$D$12='Debt strategy'!$D$11,3&lt;2))),1,0),IF(AND(AA243+AB243-AC243&gt;0,OR('Debt strategy'!$D$13&gt;'Debt strategy'!$D$11,AND('Debt strategy'!$D$13='Debt strategy'!$D$11,4&lt;2))),1,0)))</x:f>
        <x:v>99</x:v>
      </x:c>
      <x:c r="S243" s="6" t="n">
        <x:f>IF('Debt strategy'!$C$16&gt;0,0,MIN(O243+P243-Q243,MAX(0,'Debt strategy'!$C$5-SUM(E243,K243,Q243,W243,AC243)-SUM(IF(F243&lt;R243,C243+D243-E243,0),IF(L243&lt;R243,I243+J243-K243,0),IF(X243&lt;R243,U243+V243-W243,0),IF(AD243&lt;R243,AA243+AB243-AC243,0)))))</x:f>
        <x:v>0</x:v>
      </x:c>
      <x:c r="T243" s="6" t="n">
        <x:f>ROUND(MAX(0,O243+P243-Q243-S243),2)</x:f>
        <x:v>0</x:v>
      </x:c>
      <x:c r="U243" s="6" t="n">
        <x:f>Z242</x:f>
        <x:v>0</x:v>
      </x:c>
      <x:c r="V243" s="6" t="n">
        <x:f>ROUND(U243*'Debt strategy'!$D$12/12,2)</x:f>
        <x:v>0</x:v>
      </x:c>
      <x:c r="W243" s="6" t="n">
        <x:f>MIN(U243+V243,'Debt strategy'!$E$12)</x:f>
        <x:v>0</x:v>
      </x:c>
      <x:c r="X243" s="27" t="n">
        <x:f>IF(U243+V243-W243&lt;=0,99,1+SUM(IF(AND(C243+D243-E243&gt;0,OR('Debt strategy'!$D$9&gt;'Debt strategy'!$D$12,AND('Debt strategy'!$D$9='Debt strategy'!$D$12,0&lt;3))),1,0),IF(AND(I243+J243-K243&gt;0,OR('Debt strategy'!$D$10&gt;'Debt strategy'!$D$12,AND('Debt strategy'!$D$10='Debt strategy'!$D$12,1&lt;3))),1,0),IF(AND(O243+P243-Q243&gt;0,OR('Debt strategy'!$D$11&gt;'Debt strategy'!$D$12,AND('Debt strategy'!$D$11='Debt strategy'!$D$12,2&lt;3))),1,0),IF(AND(AA243+AB243-AC243&gt;0,OR('Debt strategy'!$D$13&gt;'Debt strategy'!$D$12,AND('Debt strategy'!$D$13='Debt strategy'!$D$12,4&lt;3))),1,0)))</x:f>
        <x:v>99</x:v>
      </x:c>
      <x:c r="Y243" s="6" t="n">
        <x:f>IF('Debt strategy'!$C$16&gt;0,0,MIN(U243+V243-W243,MAX(0,'Debt strategy'!$C$5-SUM(E243,K243,Q243,W243,AC243)-SUM(IF(F243&lt;X243,C243+D243-E243,0),IF(L243&lt;X243,I243+J243-K243,0),IF(R243&lt;X243,O243+P243-Q243,0),IF(AD243&lt;X243,AA243+AB243-AC243,0)))))</x:f>
        <x:v>0</x:v>
      </x:c>
      <x:c r="Z243" s="6" t="n">
        <x:f>ROUND(MAX(0,U243+V243-W243-Y243),2)</x:f>
        <x:v>0</x:v>
      </x:c>
      <x:c r="AA243" s="6" t="n">
        <x:f>AF242</x:f>
        <x:v>0</x:v>
      </x:c>
      <x:c r="AB243" s="6" t="n">
        <x:f>ROUND(AA243*'Debt strategy'!$D$13/12,2)</x:f>
        <x:v>0</x:v>
      </x:c>
      <x:c r="AC243" s="6" t="n">
        <x:f>MIN(AA243+AB243,'Debt strategy'!$E$13)</x:f>
        <x:v>0</x:v>
      </x:c>
      <x:c r="AD243" s="27" t="n">
        <x:f>IF(AA243+AB243-AC243&lt;=0,99,1+SUM(IF(AND(C243+D243-E243&gt;0,OR('Debt strategy'!$D$9&gt;'Debt strategy'!$D$13,AND('Debt strategy'!$D$9='Debt strategy'!$D$13,0&lt;4))),1,0),IF(AND(I243+J243-K243&gt;0,OR('Debt strategy'!$D$10&gt;'Debt strategy'!$D$13,AND('Debt strategy'!$D$10='Debt strategy'!$D$13,1&lt;4))),1,0),IF(AND(O243+P243-Q243&gt;0,OR('Debt strategy'!$D$11&gt;'Debt strategy'!$D$13,AND('Debt strategy'!$D$11='Debt strategy'!$D$13,2&lt;4))),1,0),IF(AND(U243+V243-W243&gt;0,OR('Debt strategy'!$D$12&gt;'Debt strategy'!$D$13,AND('Debt strategy'!$D$12='Debt strategy'!$D$13,3&lt;4))),1,0)))</x:f>
        <x:v>99</x:v>
      </x:c>
      <x:c r="AE243" s="6" t="n">
        <x:f>IF('Debt strategy'!$C$16&gt;0,0,MIN(AA243+AB243-AC243,MAX(0,'Debt strategy'!$C$5-SUM(E243,K243,Q243,W243,AC243)-SUM(IF(F243&lt;AD243,C243+D243-E243,0),IF(L243&lt;AD243,I243+J243-K243,0),IF(R243&lt;AD243,O243+P243-Q243,0),IF(X243&lt;AD243,U243+V243-W243,0)))))</x:f>
        <x:v>0</x:v>
      </x:c>
      <x:c r="AF243" s="6" t="n">
        <x:f>ROUND(MAX(0,AA243+AB243-AC243-AE243),2)</x:f>
        <x:v>0</x:v>
      </x:c>
      <x:c r="AG243" s="6" t="n">
        <x:f>SUM(H243,N243,T243,Z243,AF243)</x:f>
        <x:v>0</x:v>
      </x:c>
      <x:c r="AH243" s="6" t="n">
        <x:f>SUM(D243,J243,P243,V243,AB243)+AH242</x:f>
        <x:v>1220.8400000000001</x:v>
      </x:c>
      <x:c r="AI243" s="2"/>
    </x:row>
    <x:row r="244" ht="23" customHeight="1">
      <x:c r="B244" s="2" t="n">
        <x:f>236</x:f>
        <x:v>236</x:v>
      </x:c>
      <x:c r="C244" s="6" t="n">
        <x:f>H243</x:f>
        <x:v>0</x:v>
      </x:c>
      <x:c r="D244" s="6" t="n">
        <x:f>ROUND(C244*'Debt strategy'!$D$9/12,2)</x:f>
        <x:v>0</x:v>
      </x:c>
      <x:c r="E244" s="6" t="n">
        <x:f>MIN(C244+D244,'Debt strategy'!$E$9)</x:f>
        <x:v>0</x:v>
      </x:c>
      <x:c r="F244" s="27" t="n">
        <x:f>IF(C244+D244-E244&lt;=0,99,1+SUM(IF(AND(I244+J244-K244&gt;0,OR('Debt strategy'!$D$10&gt;'Debt strategy'!$D$9,AND('Debt strategy'!$D$10='Debt strategy'!$D$9,1&lt;0))),1,0),IF(AND(O244+P244-Q244&gt;0,OR('Debt strategy'!$D$11&gt;'Debt strategy'!$D$9,AND('Debt strategy'!$D$11='Debt strategy'!$D$9,2&lt;0))),1,0),IF(AND(U244+V244-W244&gt;0,OR('Debt strategy'!$D$12&gt;'Debt strategy'!$D$9,AND('Debt strategy'!$D$12='Debt strategy'!$D$9,3&lt;0))),1,0),IF(AND(AA244+AB244-AC244&gt;0,OR('Debt strategy'!$D$13&gt;'Debt strategy'!$D$9,AND('Debt strategy'!$D$13='Debt strategy'!$D$9,4&lt;0))),1,0)))</x:f>
        <x:v>99</x:v>
      </x:c>
      <x:c r="G244" s="6" t="n">
        <x:f>IF('Debt strategy'!$C$16&gt;0,0,MIN(C244+D244-E244,MAX(0,'Debt strategy'!$C$5-SUM(E244,K244,Q244,W244,AC244)-SUM(IF(L244&lt;F244,I244+J244-K244,0),IF(R244&lt;F244,O244+P244-Q244,0),IF(X244&lt;F244,U244+V244-W244,0),IF(AD244&lt;F244,AA244+AB244-AC244,0)))))</x:f>
        <x:v>0</x:v>
      </x:c>
      <x:c r="H244" s="6" t="n">
        <x:f>ROUND(MAX(0,C244+D244-E244-G244),2)</x:f>
        <x:v>0</x:v>
      </x:c>
      <x:c r="I244" s="6" t="n">
        <x:f>N243</x:f>
        <x:v>0</x:v>
      </x:c>
      <x:c r="J244" s="6" t="n">
        <x:f>ROUND(I244*'Debt strategy'!$D$10/12,2)</x:f>
        <x:v>0</x:v>
      </x:c>
      <x:c r="K244" s="6" t="n">
        <x:f>MIN(I244+J244,'Debt strategy'!$E$10)</x:f>
        <x:v>0</x:v>
      </x:c>
      <x:c r="L244" s="27" t="n">
        <x:f>IF(I244+J244-K244&lt;=0,99,1+SUM(IF(AND(C244+D244-E244&gt;0,OR('Debt strategy'!$D$9&gt;'Debt strategy'!$D$10,AND('Debt strategy'!$D$9='Debt strategy'!$D$10,0&lt;1))),1,0),IF(AND(O244+P244-Q244&gt;0,OR('Debt strategy'!$D$11&gt;'Debt strategy'!$D$10,AND('Debt strategy'!$D$11='Debt strategy'!$D$10,2&lt;1))),1,0),IF(AND(U244+V244-W244&gt;0,OR('Debt strategy'!$D$12&gt;'Debt strategy'!$D$10,AND('Debt strategy'!$D$12='Debt strategy'!$D$10,3&lt;1))),1,0),IF(AND(AA244+AB244-AC244&gt;0,OR('Debt strategy'!$D$13&gt;'Debt strategy'!$D$10,AND('Debt strategy'!$D$13='Debt strategy'!$D$10,4&lt;1))),1,0)))</x:f>
        <x:v>99</x:v>
      </x:c>
      <x:c r="M244" s="6" t="n">
        <x:f>IF('Debt strategy'!$C$16&gt;0,0,MIN(I244+J244-K244,MAX(0,'Debt strategy'!$C$5-SUM(E244,K244,Q244,W244,AC244)-SUM(IF(F244&lt;L244,C244+D244-E244,0),IF(R244&lt;L244,O244+P244-Q244,0),IF(X244&lt;L244,U244+V244-W244,0),IF(AD244&lt;L244,AA244+AB244-AC244,0)))))</x:f>
        <x:v>0</x:v>
      </x:c>
      <x:c r="N244" s="6" t="n">
        <x:f>ROUND(MAX(0,I244+J244-K244-M244),2)</x:f>
        <x:v>0</x:v>
      </x:c>
      <x:c r="O244" s="6" t="n">
        <x:f>T243</x:f>
        <x:v>0</x:v>
      </x:c>
      <x:c r="P244" s="6" t="n">
        <x:f>ROUND(O244*'Debt strategy'!$D$11/12,2)</x:f>
        <x:v>0</x:v>
      </x:c>
      <x:c r="Q244" s="6" t="n">
        <x:f>MIN(O244+P244,'Debt strategy'!$E$11)</x:f>
        <x:v>0</x:v>
      </x:c>
      <x:c r="R244" s="27" t="n">
        <x:f>IF(O244+P244-Q244&lt;=0,99,1+SUM(IF(AND(C244+D244-E244&gt;0,OR('Debt strategy'!$D$9&gt;'Debt strategy'!$D$11,AND('Debt strategy'!$D$9='Debt strategy'!$D$11,0&lt;2))),1,0),IF(AND(I244+J244-K244&gt;0,OR('Debt strategy'!$D$10&gt;'Debt strategy'!$D$11,AND('Debt strategy'!$D$10='Debt strategy'!$D$11,1&lt;2))),1,0),IF(AND(U244+V244-W244&gt;0,OR('Debt strategy'!$D$12&gt;'Debt strategy'!$D$11,AND('Debt strategy'!$D$12='Debt strategy'!$D$11,3&lt;2))),1,0),IF(AND(AA244+AB244-AC244&gt;0,OR('Debt strategy'!$D$13&gt;'Debt strategy'!$D$11,AND('Debt strategy'!$D$13='Debt strategy'!$D$11,4&lt;2))),1,0)))</x:f>
        <x:v>99</x:v>
      </x:c>
      <x:c r="S244" s="6" t="n">
        <x:f>IF('Debt strategy'!$C$16&gt;0,0,MIN(O244+P244-Q244,MAX(0,'Debt strategy'!$C$5-SUM(E244,K244,Q244,W244,AC244)-SUM(IF(F244&lt;R244,C244+D244-E244,0),IF(L244&lt;R244,I244+J244-K244,0),IF(X244&lt;R244,U244+V244-W244,0),IF(AD244&lt;R244,AA244+AB244-AC244,0)))))</x:f>
        <x:v>0</x:v>
      </x:c>
      <x:c r="T244" s="6" t="n">
        <x:f>ROUND(MAX(0,O244+P244-Q244-S244),2)</x:f>
        <x:v>0</x:v>
      </x:c>
      <x:c r="U244" s="6" t="n">
        <x:f>Z243</x:f>
        <x:v>0</x:v>
      </x:c>
      <x:c r="V244" s="6" t="n">
        <x:f>ROUND(U244*'Debt strategy'!$D$12/12,2)</x:f>
        <x:v>0</x:v>
      </x:c>
      <x:c r="W244" s="6" t="n">
        <x:f>MIN(U244+V244,'Debt strategy'!$E$12)</x:f>
        <x:v>0</x:v>
      </x:c>
      <x:c r="X244" s="27" t="n">
        <x:f>IF(U244+V244-W244&lt;=0,99,1+SUM(IF(AND(C244+D244-E244&gt;0,OR('Debt strategy'!$D$9&gt;'Debt strategy'!$D$12,AND('Debt strategy'!$D$9='Debt strategy'!$D$12,0&lt;3))),1,0),IF(AND(I244+J244-K244&gt;0,OR('Debt strategy'!$D$10&gt;'Debt strategy'!$D$12,AND('Debt strategy'!$D$10='Debt strategy'!$D$12,1&lt;3))),1,0),IF(AND(O244+P244-Q244&gt;0,OR('Debt strategy'!$D$11&gt;'Debt strategy'!$D$12,AND('Debt strategy'!$D$11='Debt strategy'!$D$12,2&lt;3))),1,0),IF(AND(AA244+AB244-AC244&gt;0,OR('Debt strategy'!$D$13&gt;'Debt strategy'!$D$12,AND('Debt strategy'!$D$13='Debt strategy'!$D$12,4&lt;3))),1,0)))</x:f>
        <x:v>99</x:v>
      </x:c>
      <x:c r="Y244" s="6" t="n">
        <x:f>IF('Debt strategy'!$C$16&gt;0,0,MIN(U244+V244-W244,MAX(0,'Debt strategy'!$C$5-SUM(E244,K244,Q244,W244,AC244)-SUM(IF(F244&lt;X244,C244+D244-E244,0),IF(L244&lt;X244,I244+J244-K244,0),IF(R244&lt;X244,O244+P244-Q244,0),IF(AD244&lt;X244,AA244+AB244-AC244,0)))))</x:f>
        <x:v>0</x:v>
      </x:c>
      <x:c r="Z244" s="6" t="n">
        <x:f>ROUND(MAX(0,U244+V244-W244-Y244),2)</x:f>
        <x:v>0</x:v>
      </x:c>
      <x:c r="AA244" s="6" t="n">
        <x:f>AF243</x:f>
        <x:v>0</x:v>
      </x:c>
      <x:c r="AB244" s="6" t="n">
        <x:f>ROUND(AA244*'Debt strategy'!$D$13/12,2)</x:f>
        <x:v>0</x:v>
      </x:c>
      <x:c r="AC244" s="6" t="n">
        <x:f>MIN(AA244+AB244,'Debt strategy'!$E$13)</x:f>
        <x:v>0</x:v>
      </x:c>
      <x:c r="AD244" s="27" t="n">
        <x:f>IF(AA244+AB244-AC244&lt;=0,99,1+SUM(IF(AND(C244+D244-E244&gt;0,OR('Debt strategy'!$D$9&gt;'Debt strategy'!$D$13,AND('Debt strategy'!$D$9='Debt strategy'!$D$13,0&lt;4))),1,0),IF(AND(I244+J244-K244&gt;0,OR('Debt strategy'!$D$10&gt;'Debt strategy'!$D$13,AND('Debt strategy'!$D$10='Debt strategy'!$D$13,1&lt;4))),1,0),IF(AND(O244+P244-Q244&gt;0,OR('Debt strategy'!$D$11&gt;'Debt strategy'!$D$13,AND('Debt strategy'!$D$11='Debt strategy'!$D$13,2&lt;4))),1,0),IF(AND(U244+V244-W244&gt;0,OR('Debt strategy'!$D$12&gt;'Debt strategy'!$D$13,AND('Debt strategy'!$D$12='Debt strategy'!$D$13,3&lt;4))),1,0)))</x:f>
        <x:v>99</x:v>
      </x:c>
      <x:c r="AE244" s="6" t="n">
        <x:f>IF('Debt strategy'!$C$16&gt;0,0,MIN(AA244+AB244-AC244,MAX(0,'Debt strategy'!$C$5-SUM(E244,K244,Q244,W244,AC244)-SUM(IF(F244&lt;AD244,C244+D244-E244,0),IF(L244&lt;AD244,I244+J244-K244,0),IF(R244&lt;AD244,O244+P244-Q244,0),IF(X244&lt;AD244,U244+V244-W244,0)))))</x:f>
        <x:v>0</x:v>
      </x:c>
      <x:c r="AF244" s="6" t="n">
        <x:f>ROUND(MAX(0,AA244+AB244-AC244-AE244),2)</x:f>
        <x:v>0</x:v>
      </x:c>
      <x:c r="AG244" s="6" t="n">
        <x:f>SUM(H244,N244,T244,Z244,AF244)</x:f>
        <x:v>0</x:v>
      </x:c>
      <x:c r="AH244" s="6" t="n">
        <x:f>SUM(D244,J244,P244,V244,AB244)+AH243</x:f>
        <x:v>1220.8400000000001</x:v>
      </x:c>
      <x:c r="AI244" s="2"/>
    </x:row>
    <x:row r="245" ht="23" customHeight="1">
      <x:c r="B245" s="2" t="n">
        <x:f>237</x:f>
        <x:v>237</x:v>
      </x:c>
      <x:c r="C245" s="6" t="n">
        <x:f>H244</x:f>
        <x:v>0</x:v>
      </x:c>
      <x:c r="D245" s="6" t="n">
        <x:f>ROUND(C245*'Debt strategy'!$D$9/12,2)</x:f>
        <x:v>0</x:v>
      </x:c>
      <x:c r="E245" s="6" t="n">
        <x:f>MIN(C245+D245,'Debt strategy'!$E$9)</x:f>
        <x:v>0</x:v>
      </x:c>
      <x:c r="F245" s="27" t="n">
        <x:f>IF(C245+D245-E245&lt;=0,99,1+SUM(IF(AND(I245+J245-K245&gt;0,OR('Debt strategy'!$D$10&gt;'Debt strategy'!$D$9,AND('Debt strategy'!$D$10='Debt strategy'!$D$9,1&lt;0))),1,0),IF(AND(O245+P245-Q245&gt;0,OR('Debt strategy'!$D$11&gt;'Debt strategy'!$D$9,AND('Debt strategy'!$D$11='Debt strategy'!$D$9,2&lt;0))),1,0),IF(AND(U245+V245-W245&gt;0,OR('Debt strategy'!$D$12&gt;'Debt strategy'!$D$9,AND('Debt strategy'!$D$12='Debt strategy'!$D$9,3&lt;0))),1,0),IF(AND(AA245+AB245-AC245&gt;0,OR('Debt strategy'!$D$13&gt;'Debt strategy'!$D$9,AND('Debt strategy'!$D$13='Debt strategy'!$D$9,4&lt;0))),1,0)))</x:f>
        <x:v>99</x:v>
      </x:c>
      <x:c r="G245" s="6" t="n">
        <x:f>IF('Debt strategy'!$C$16&gt;0,0,MIN(C245+D245-E245,MAX(0,'Debt strategy'!$C$5-SUM(E245,K245,Q245,W245,AC245)-SUM(IF(L245&lt;F245,I245+J245-K245,0),IF(R245&lt;F245,O245+P245-Q245,0),IF(X245&lt;F245,U245+V245-W245,0),IF(AD245&lt;F245,AA245+AB245-AC245,0)))))</x:f>
        <x:v>0</x:v>
      </x:c>
      <x:c r="H245" s="6" t="n">
        <x:f>ROUND(MAX(0,C245+D245-E245-G245),2)</x:f>
        <x:v>0</x:v>
      </x:c>
      <x:c r="I245" s="6" t="n">
        <x:f>N244</x:f>
        <x:v>0</x:v>
      </x:c>
      <x:c r="J245" s="6" t="n">
        <x:f>ROUND(I245*'Debt strategy'!$D$10/12,2)</x:f>
        <x:v>0</x:v>
      </x:c>
      <x:c r="K245" s="6" t="n">
        <x:f>MIN(I245+J245,'Debt strategy'!$E$10)</x:f>
        <x:v>0</x:v>
      </x:c>
      <x:c r="L245" s="27" t="n">
        <x:f>IF(I245+J245-K245&lt;=0,99,1+SUM(IF(AND(C245+D245-E245&gt;0,OR('Debt strategy'!$D$9&gt;'Debt strategy'!$D$10,AND('Debt strategy'!$D$9='Debt strategy'!$D$10,0&lt;1))),1,0),IF(AND(O245+P245-Q245&gt;0,OR('Debt strategy'!$D$11&gt;'Debt strategy'!$D$10,AND('Debt strategy'!$D$11='Debt strategy'!$D$10,2&lt;1))),1,0),IF(AND(U245+V245-W245&gt;0,OR('Debt strategy'!$D$12&gt;'Debt strategy'!$D$10,AND('Debt strategy'!$D$12='Debt strategy'!$D$10,3&lt;1))),1,0),IF(AND(AA245+AB245-AC245&gt;0,OR('Debt strategy'!$D$13&gt;'Debt strategy'!$D$10,AND('Debt strategy'!$D$13='Debt strategy'!$D$10,4&lt;1))),1,0)))</x:f>
        <x:v>99</x:v>
      </x:c>
      <x:c r="M245" s="6" t="n">
        <x:f>IF('Debt strategy'!$C$16&gt;0,0,MIN(I245+J245-K245,MAX(0,'Debt strategy'!$C$5-SUM(E245,K245,Q245,W245,AC245)-SUM(IF(F245&lt;L245,C245+D245-E245,0),IF(R245&lt;L245,O245+P245-Q245,0),IF(X245&lt;L245,U245+V245-W245,0),IF(AD245&lt;L245,AA245+AB245-AC245,0)))))</x:f>
        <x:v>0</x:v>
      </x:c>
      <x:c r="N245" s="6" t="n">
        <x:f>ROUND(MAX(0,I245+J245-K245-M245),2)</x:f>
        <x:v>0</x:v>
      </x:c>
      <x:c r="O245" s="6" t="n">
        <x:f>T244</x:f>
        <x:v>0</x:v>
      </x:c>
      <x:c r="P245" s="6" t="n">
        <x:f>ROUND(O245*'Debt strategy'!$D$11/12,2)</x:f>
        <x:v>0</x:v>
      </x:c>
      <x:c r="Q245" s="6" t="n">
        <x:f>MIN(O245+P245,'Debt strategy'!$E$11)</x:f>
        <x:v>0</x:v>
      </x:c>
      <x:c r="R245" s="27" t="n">
        <x:f>IF(O245+P245-Q245&lt;=0,99,1+SUM(IF(AND(C245+D245-E245&gt;0,OR('Debt strategy'!$D$9&gt;'Debt strategy'!$D$11,AND('Debt strategy'!$D$9='Debt strategy'!$D$11,0&lt;2))),1,0),IF(AND(I245+J245-K245&gt;0,OR('Debt strategy'!$D$10&gt;'Debt strategy'!$D$11,AND('Debt strategy'!$D$10='Debt strategy'!$D$11,1&lt;2))),1,0),IF(AND(U245+V245-W245&gt;0,OR('Debt strategy'!$D$12&gt;'Debt strategy'!$D$11,AND('Debt strategy'!$D$12='Debt strategy'!$D$11,3&lt;2))),1,0),IF(AND(AA245+AB245-AC245&gt;0,OR('Debt strategy'!$D$13&gt;'Debt strategy'!$D$11,AND('Debt strategy'!$D$13='Debt strategy'!$D$11,4&lt;2))),1,0)))</x:f>
        <x:v>99</x:v>
      </x:c>
      <x:c r="S245" s="6" t="n">
        <x:f>IF('Debt strategy'!$C$16&gt;0,0,MIN(O245+P245-Q245,MAX(0,'Debt strategy'!$C$5-SUM(E245,K245,Q245,W245,AC245)-SUM(IF(F245&lt;R245,C245+D245-E245,0),IF(L245&lt;R245,I245+J245-K245,0),IF(X245&lt;R245,U245+V245-W245,0),IF(AD245&lt;R245,AA245+AB245-AC245,0)))))</x:f>
        <x:v>0</x:v>
      </x:c>
      <x:c r="T245" s="6" t="n">
        <x:f>ROUND(MAX(0,O245+P245-Q245-S245),2)</x:f>
        <x:v>0</x:v>
      </x:c>
      <x:c r="U245" s="6" t="n">
        <x:f>Z244</x:f>
        <x:v>0</x:v>
      </x:c>
      <x:c r="V245" s="6" t="n">
        <x:f>ROUND(U245*'Debt strategy'!$D$12/12,2)</x:f>
        <x:v>0</x:v>
      </x:c>
      <x:c r="W245" s="6" t="n">
        <x:f>MIN(U245+V245,'Debt strategy'!$E$12)</x:f>
        <x:v>0</x:v>
      </x:c>
      <x:c r="X245" s="27" t="n">
        <x:f>IF(U245+V245-W245&lt;=0,99,1+SUM(IF(AND(C245+D245-E245&gt;0,OR('Debt strategy'!$D$9&gt;'Debt strategy'!$D$12,AND('Debt strategy'!$D$9='Debt strategy'!$D$12,0&lt;3))),1,0),IF(AND(I245+J245-K245&gt;0,OR('Debt strategy'!$D$10&gt;'Debt strategy'!$D$12,AND('Debt strategy'!$D$10='Debt strategy'!$D$12,1&lt;3))),1,0),IF(AND(O245+P245-Q245&gt;0,OR('Debt strategy'!$D$11&gt;'Debt strategy'!$D$12,AND('Debt strategy'!$D$11='Debt strategy'!$D$12,2&lt;3))),1,0),IF(AND(AA245+AB245-AC245&gt;0,OR('Debt strategy'!$D$13&gt;'Debt strategy'!$D$12,AND('Debt strategy'!$D$13='Debt strategy'!$D$12,4&lt;3))),1,0)))</x:f>
        <x:v>99</x:v>
      </x:c>
      <x:c r="Y245" s="6" t="n">
        <x:f>IF('Debt strategy'!$C$16&gt;0,0,MIN(U245+V245-W245,MAX(0,'Debt strategy'!$C$5-SUM(E245,K245,Q245,W245,AC245)-SUM(IF(F245&lt;X245,C245+D245-E245,0),IF(L245&lt;X245,I245+J245-K245,0),IF(R245&lt;X245,O245+P245-Q245,0),IF(AD245&lt;X245,AA245+AB245-AC245,0)))))</x:f>
        <x:v>0</x:v>
      </x:c>
      <x:c r="Z245" s="6" t="n">
        <x:f>ROUND(MAX(0,U245+V245-W245-Y245),2)</x:f>
        <x:v>0</x:v>
      </x:c>
      <x:c r="AA245" s="6" t="n">
        <x:f>AF244</x:f>
        <x:v>0</x:v>
      </x:c>
      <x:c r="AB245" s="6" t="n">
        <x:f>ROUND(AA245*'Debt strategy'!$D$13/12,2)</x:f>
        <x:v>0</x:v>
      </x:c>
      <x:c r="AC245" s="6" t="n">
        <x:f>MIN(AA245+AB245,'Debt strategy'!$E$13)</x:f>
        <x:v>0</x:v>
      </x:c>
      <x:c r="AD245" s="27" t="n">
        <x:f>IF(AA245+AB245-AC245&lt;=0,99,1+SUM(IF(AND(C245+D245-E245&gt;0,OR('Debt strategy'!$D$9&gt;'Debt strategy'!$D$13,AND('Debt strategy'!$D$9='Debt strategy'!$D$13,0&lt;4))),1,0),IF(AND(I245+J245-K245&gt;0,OR('Debt strategy'!$D$10&gt;'Debt strategy'!$D$13,AND('Debt strategy'!$D$10='Debt strategy'!$D$13,1&lt;4))),1,0),IF(AND(O245+P245-Q245&gt;0,OR('Debt strategy'!$D$11&gt;'Debt strategy'!$D$13,AND('Debt strategy'!$D$11='Debt strategy'!$D$13,2&lt;4))),1,0),IF(AND(U245+V245-W245&gt;0,OR('Debt strategy'!$D$12&gt;'Debt strategy'!$D$13,AND('Debt strategy'!$D$12='Debt strategy'!$D$13,3&lt;4))),1,0)))</x:f>
        <x:v>99</x:v>
      </x:c>
      <x:c r="AE245" s="6" t="n">
        <x:f>IF('Debt strategy'!$C$16&gt;0,0,MIN(AA245+AB245-AC245,MAX(0,'Debt strategy'!$C$5-SUM(E245,K245,Q245,W245,AC245)-SUM(IF(F245&lt;AD245,C245+D245-E245,0),IF(L245&lt;AD245,I245+J245-K245,0),IF(R245&lt;AD245,O245+P245-Q245,0),IF(X245&lt;AD245,U245+V245-W245,0)))))</x:f>
        <x:v>0</x:v>
      </x:c>
      <x:c r="AF245" s="6" t="n">
        <x:f>ROUND(MAX(0,AA245+AB245-AC245-AE245),2)</x:f>
        <x:v>0</x:v>
      </x:c>
      <x:c r="AG245" s="6" t="n">
        <x:f>SUM(H245,N245,T245,Z245,AF245)</x:f>
        <x:v>0</x:v>
      </x:c>
      <x:c r="AH245" s="6" t="n">
        <x:f>SUM(D245,J245,P245,V245,AB245)+AH244</x:f>
        <x:v>1220.8400000000001</x:v>
      </x:c>
      <x:c r="AI245" s="2"/>
    </x:row>
    <x:row r="246" ht="23" customHeight="1">
      <x:c r="B246" s="2" t="n">
        <x:f>238</x:f>
        <x:v>238</x:v>
      </x:c>
      <x:c r="C246" s="6" t="n">
        <x:f>H245</x:f>
        <x:v>0</x:v>
      </x:c>
      <x:c r="D246" s="6" t="n">
        <x:f>ROUND(C246*'Debt strategy'!$D$9/12,2)</x:f>
        <x:v>0</x:v>
      </x:c>
      <x:c r="E246" s="6" t="n">
        <x:f>MIN(C246+D246,'Debt strategy'!$E$9)</x:f>
        <x:v>0</x:v>
      </x:c>
      <x:c r="F246" s="27" t="n">
        <x:f>IF(C246+D246-E246&lt;=0,99,1+SUM(IF(AND(I246+J246-K246&gt;0,OR('Debt strategy'!$D$10&gt;'Debt strategy'!$D$9,AND('Debt strategy'!$D$10='Debt strategy'!$D$9,1&lt;0))),1,0),IF(AND(O246+P246-Q246&gt;0,OR('Debt strategy'!$D$11&gt;'Debt strategy'!$D$9,AND('Debt strategy'!$D$11='Debt strategy'!$D$9,2&lt;0))),1,0),IF(AND(U246+V246-W246&gt;0,OR('Debt strategy'!$D$12&gt;'Debt strategy'!$D$9,AND('Debt strategy'!$D$12='Debt strategy'!$D$9,3&lt;0))),1,0),IF(AND(AA246+AB246-AC246&gt;0,OR('Debt strategy'!$D$13&gt;'Debt strategy'!$D$9,AND('Debt strategy'!$D$13='Debt strategy'!$D$9,4&lt;0))),1,0)))</x:f>
        <x:v>99</x:v>
      </x:c>
      <x:c r="G246" s="6" t="n">
        <x:f>IF('Debt strategy'!$C$16&gt;0,0,MIN(C246+D246-E246,MAX(0,'Debt strategy'!$C$5-SUM(E246,K246,Q246,W246,AC246)-SUM(IF(L246&lt;F246,I246+J246-K246,0),IF(R246&lt;F246,O246+P246-Q246,0),IF(X246&lt;F246,U246+V246-W246,0),IF(AD246&lt;F246,AA246+AB246-AC246,0)))))</x:f>
        <x:v>0</x:v>
      </x:c>
      <x:c r="H246" s="6" t="n">
        <x:f>ROUND(MAX(0,C246+D246-E246-G246),2)</x:f>
        <x:v>0</x:v>
      </x:c>
      <x:c r="I246" s="6" t="n">
        <x:f>N245</x:f>
        <x:v>0</x:v>
      </x:c>
      <x:c r="J246" s="6" t="n">
        <x:f>ROUND(I246*'Debt strategy'!$D$10/12,2)</x:f>
        <x:v>0</x:v>
      </x:c>
      <x:c r="K246" s="6" t="n">
        <x:f>MIN(I246+J246,'Debt strategy'!$E$10)</x:f>
        <x:v>0</x:v>
      </x:c>
      <x:c r="L246" s="27" t="n">
        <x:f>IF(I246+J246-K246&lt;=0,99,1+SUM(IF(AND(C246+D246-E246&gt;0,OR('Debt strategy'!$D$9&gt;'Debt strategy'!$D$10,AND('Debt strategy'!$D$9='Debt strategy'!$D$10,0&lt;1))),1,0),IF(AND(O246+P246-Q246&gt;0,OR('Debt strategy'!$D$11&gt;'Debt strategy'!$D$10,AND('Debt strategy'!$D$11='Debt strategy'!$D$10,2&lt;1))),1,0),IF(AND(U246+V246-W246&gt;0,OR('Debt strategy'!$D$12&gt;'Debt strategy'!$D$10,AND('Debt strategy'!$D$12='Debt strategy'!$D$10,3&lt;1))),1,0),IF(AND(AA246+AB246-AC246&gt;0,OR('Debt strategy'!$D$13&gt;'Debt strategy'!$D$10,AND('Debt strategy'!$D$13='Debt strategy'!$D$10,4&lt;1))),1,0)))</x:f>
        <x:v>99</x:v>
      </x:c>
      <x:c r="M246" s="6" t="n">
        <x:f>IF('Debt strategy'!$C$16&gt;0,0,MIN(I246+J246-K246,MAX(0,'Debt strategy'!$C$5-SUM(E246,K246,Q246,W246,AC246)-SUM(IF(F246&lt;L246,C246+D246-E246,0),IF(R246&lt;L246,O246+P246-Q246,0),IF(X246&lt;L246,U246+V246-W246,0),IF(AD246&lt;L246,AA246+AB246-AC246,0)))))</x:f>
        <x:v>0</x:v>
      </x:c>
      <x:c r="N246" s="6" t="n">
        <x:f>ROUND(MAX(0,I246+J246-K246-M246),2)</x:f>
        <x:v>0</x:v>
      </x:c>
      <x:c r="O246" s="6" t="n">
        <x:f>T245</x:f>
        <x:v>0</x:v>
      </x:c>
      <x:c r="P246" s="6" t="n">
        <x:f>ROUND(O246*'Debt strategy'!$D$11/12,2)</x:f>
        <x:v>0</x:v>
      </x:c>
      <x:c r="Q246" s="6" t="n">
        <x:f>MIN(O246+P246,'Debt strategy'!$E$11)</x:f>
        <x:v>0</x:v>
      </x:c>
      <x:c r="R246" s="27" t="n">
        <x:f>IF(O246+P246-Q246&lt;=0,99,1+SUM(IF(AND(C246+D246-E246&gt;0,OR('Debt strategy'!$D$9&gt;'Debt strategy'!$D$11,AND('Debt strategy'!$D$9='Debt strategy'!$D$11,0&lt;2))),1,0),IF(AND(I246+J246-K246&gt;0,OR('Debt strategy'!$D$10&gt;'Debt strategy'!$D$11,AND('Debt strategy'!$D$10='Debt strategy'!$D$11,1&lt;2))),1,0),IF(AND(U246+V246-W246&gt;0,OR('Debt strategy'!$D$12&gt;'Debt strategy'!$D$11,AND('Debt strategy'!$D$12='Debt strategy'!$D$11,3&lt;2))),1,0),IF(AND(AA246+AB246-AC246&gt;0,OR('Debt strategy'!$D$13&gt;'Debt strategy'!$D$11,AND('Debt strategy'!$D$13='Debt strategy'!$D$11,4&lt;2))),1,0)))</x:f>
        <x:v>99</x:v>
      </x:c>
      <x:c r="S246" s="6" t="n">
        <x:f>IF('Debt strategy'!$C$16&gt;0,0,MIN(O246+P246-Q246,MAX(0,'Debt strategy'!$C$5-SUM(E246,K246,Q246,W246,AC246)-SUM(IF(F246&lt;R246,C246+D246-E246,0),IF(L246&lt;R246,I246+J246-K246,0),IF(X246&lt;R246,U246+V246-W246,0),IF(AD246&lt;R246,AA246+AB246-AC246,0)))))</x:f>
        <x:v>0</x:v>
      </x:c>
      <x:c r="T246" s="6" t="n">
        <x:f>ROUND(MAX(0,O246+P246-Q246-S246),2)</x:f>
        <x:v>0</x:v>
      </x:c>
      <x:c r="U246" s="6" t="n">
        <x:f>Z245</x:f>
        <x:v>0</x:v>
      </x:c>
      <x:c r="V246" s="6" t="n">
        <x:f>ROUND(U246*'Debt strategy'!$D$12/12,2)</x:f>
        <x:v>0</x:v>
      </x:c>
      <x:c r="W246" s="6" t="n">
        <x:f>MIN(U246+V246,'Debt strategy'!$E$12)</x:f>
        <x:v>0</x:v>
      </x:c>
      <x:c r="X246" s="27" t="n">
        <x:f>IF(U246+V246-W246&lt;=0,99,1+SUM(IF(AND(C246+D246-E246&gt;0,OR('Debt strategy'!$D$9&gt;'Debt strategy'!$D$12,AND('Debt strategy'!$D$9='Debt strategy'!$D$12,0&lt;3))),1,0),IF(AND(I246+J246-K246&gt;0,OR('Debt strategy'!$D$10&gt;'Debt strategy'!$D$12,AND('Debt strategy'!$D$10='Debt strategy'!$D$12,1&lt;3))),1,0),IF(AND(O246+P246-Q246&gt;0,OR('Debt strategy'!$D$11&gt;'Debt strategy'!$D$12,AND('Debt strategy'!$D$11='Debt strategy'!$D$12,2&lt;3))),1,0),IF(AND(AA246+AB246-AC246&gt;0,OR('Debt strategy'!$D$13&gt;'Debt strategy'!$D$12,AND('Debt strategy'!$D$13='Debt strategy'!$D$12,4&lt;3))),1,0)))</x:f>
        <x:v>99</x:v>
      </x:c>
      <x:c r="Y246" s="6" t="n">
        <x:f>IF('Debt strategy'!$C$16&gt;0,0,MIN(U246+V246-W246,MAX(0,'Debt strategy'!$C$5-SUM(E246,K246,Q246,W246,AC246)-SUM(IF(F246&lt;X246,C246+D246-E246,0),IF(L246&lt;X246,I246+J246-K246,0),IF(R246&lt;X246,O246+P246-Q246,0),IF(AD246&lt;X246,AA246+AB246-AC246,0)))))</x:f>
        <x:v>0</x:v>
      </x:c>
      <x:c r="Z246" s="6" t="n">
        <x:f>ROUND(MAX(0,U246+V246-W246-Y246),2)</x:f>
        <x:v>0</x:v>
      </x:c>
      <x:c r="AA246" s="6" t="n">
        <x:f>AF245</x:f>
        <x:v>0</x:v>
      </x:c>
      <x:c r="AB246" s="6" t="n">
        <x:f>ROUND(AA246*'Debt strategy'!$D$13/12,2)</x:f>
        <x:v>0</x:v>
      </x:c>
      <x:c r="AC246" s="6" t="n">
        <x:f>MIN(AA246+AB246,'Debt strategy'!$E$13)</x:f>
        <x:v>0</x:v>
      </x:c>
      <x:c r="AD246" s="27" t="n">
        <x:f>IF(AA246+AB246-AC246&lt;=0,99,1+SUM(IF(AND(C246+D246-E246&gt;0,OR('Debt strategy'!$D$9&gt;'Debt strategy'!$D$13,AND('Debt strategy'!$D$9='Debt strategy'!$D$13,0&lt;4))),1,0),IF(AND(I246+J246-K246&gt;0,OR('Debt strategy'!$D$10&gt;'Debt strategy'!$D$13,AND('Debt strategy'!$D$10='Debt strategy'!$D$13,1&lt;4))),1,0),IF(AND(O246+P246-Q246&gt;0,OR('Debt strategy'!$D$11&gt;'Debt strategy'!$D$13,AND('Debt strategy'!$D$11='Debt strategy'!$D$13,2&lt;4))),1,0),IF(AND(U246+V246-W246&gt;0,OR('Debt strategy'!$D$12&gt;'Debt strategy'!$D$13,AND('Debt strategy'!$D$12='Debt strategy'!$D$13,3&lt;4))),1,0)))</x:f>
        <x:v>99</x:v>
      </x:c>
      <x:c r="AE246" s="6" t="n">
        <x:f>IF('Debt strategy'!$C$16&gt;0,0,MIN(AA246+AB246-AC246,MAX(0,'Debt strategy'!$C$5-SUM(E246,K246,Q246,W246,AC246)-SUM(IF(F246&lt;AD246,C246+D246-E246,0),IF(L246&lt;AD246,I246+J246-K246,0),IF(R246&lt;AD246,O246+P246-Q246,0),IF(X246&lt;AD246,U246+V246-W246,0)))))</x:f>
        <x:v>0</x:v>
      </x:c>
      <x:c r="AF246" s="6" t="n">
        <x:f>ROUND(MAX(0,AA246+AB246-AC246-AE246),2)</x:f>
        <x:v>0</x:v>
      </x:c>
      <x:c r="AG246" s="6" t="n">
        <x:f>SUM(H246,N246,T246,Z246,AF246)</x:f>
        <x:v>0</x:v>
      </x:c>
      <x:c r="AH246" s="6" t="n">
        <x:f>SUM(D246,J246,P246,V246,AB246)+AH245</x:f>
        <x:v>1220.8400000000001</x:v>
      </x:c>
      <x:c r="AI246" s="2"/>
    </x:row>
    <x:row r="247" ht="23" customHeight="1">
      <x:c r="B247" s="2" t="n">
        <x:f>239</x:f>
        <x:v>239</x:v>
      </x:c>
      <x:c r="C247" s="6" t="n">
        <x:f>H246</x:f>
        <x:v>0</x:v>
      </x:c>
      <x:c r="D247" s="6" t="n">
        <x:f>ROUND(C247*'Debt strategy'!$D$9/12,2)</x:f>
        <x:v>0</x:v>
      </x:c>
      <x:c r="E247" s="6" t="n">
        <x:f>MIN(C247+D247,'Debt strategy'!$E$9)</x:f>
        <x:v>0</x:v>
      </x:c>
      <x:c r="F247" s="27" t="n">
        <x:f>IF(C247+D247-E247&lt;=0,99,1+SUM(IF(AND(I247+J247-K247&gt;0,OR('Debt strategy'!$D$10&gt;'Debt strategy'!$D$9,AND('Debt strategy'!$D$10='Debt strategy'!$D$9,1&lt;0))),1,0),IF(AND(O247+P247-Q247&gt;0,OR('Debt strategy'!$D$11&gt;'Debt strategy'!$D$9,AND('Debt strategy'!$D$11='Debt strategy'!$D$9,2&lt;0))),1,0),IF(AND(U247+V247-W247&gt;0,OR('Debt strategy'!$D$12&gt;'Debt strategy'!$D$9,AND('Debt strategy'!$D$12='Debt strategy'!$D$9,3&lt;0))),1,0),IF(AND(AA247+AB247-AC247&gt;0,OR('Debt strategy'!$D$13&gt;'Debt strategy'!$D$9,AND('Debt strategy'!$D$13='Debt strategy'!$D$9,4&lt;0))),1,0)))</x:f>
        <x:v>99</x:v>
      </x:c>
      <x:c r="G247" s="6" t="n">
        <x:f>IF('Debt strategy'!$C$16&gt;0,0,MIN(C247+D247-E247,MAX(0,'Debt strategy'!$C$5-SUM(E247,K247,Q247,W247,AC247)-SUM(IF(L247&lt;F247,I247+J247-K247,0),IF(R247&lt;F247,O247+P247-Q247,0),IF(X247&lt;F247,U247+V247-W247,0),IF(AD247&lt;F247,AA247+AB247-AC247,0)))))</x:f>
        <x:v>0</x:v>
      </x:c>
      <x:c r="H247" s="6" t="n">
        <x:f>ROUND(MAX(0,C247+D247-E247-G247),2)</x:f>
        <x:v>0</x:v>
      </x:c>
      <x:c r="I247" s="6" t="n">
        <x:f>N246</x:f>
        <x:v>0</x:v>
      </x:c>
      <x:c r="J247" s="6" t="n">
        <x:f>ROUND(I247*'Debt strategy'!$D$10/12,2)</x:f>
        <x:v>0</x:v>
      </x:c>
      <x:c r="K247" s="6" t="n">
        <x:f>MIN(I247+J247,'Debt strategy'!$E$10)</x:f>
        <x:v>0</x:v>
      </x:c>
      <x:c r="L247" s="27" t="n">
        <x:f>IF(I247+J247-K247&lt;=0,99,1+SUM(IF(AND(C247+D247-E247&gt;0,OR('Debt strategy'!$D$9&gt;'Debt strategy'!$D$10,AND('Debt strategy'!$D$9='Debt strategy'!$D$10,0&lt;1))),1,0),IF(AND(O247+P247-Q247&gt;0,OR('Debt strategy'!$D$11&gt;'Debt strategy'!$D$10,AND('Debt strategy'!$D$11='Debt strategy'!$D$10,2&lt;1))),1,0),IF(AND(U247+V247-W247&gt;0,OR('Debt strategy'!$D$12&gt;'Debt strategy'!$D$10,AND('Debt strategy'!$D$12='Debt strategy'!$D$10,3&lt;1))),1,0),IF(AND(AA247+AB247-AC247&gt;0,OR('Debt strategy'!$D$13&gt;'Debt strategy'!$D$10,AND('Debt strategy'!$D$13='Debt strategy'!$D$10,4&lt;1))),1,0)))</x:f>
        <x:v>99</x:v>
      </x:c>
      <x:c r="M247" s="6" t="n">
        <x:f>IF('Debt strategy'!$C$16&gt;0,0,MIN(I247+J247-K247,MAX(0,'Debt strategy'!$C$5-SUM(E247,K247,Q247,W247,AC247)-SUM(IF(F247&lt;L247,C247+D247-E247,0),IF(R247&lt;L247,O247+P247-Q247,0),IF(X247&lt;L247,U247+V247-W247,0),IF(AD247&lt;L247,AA247+AB247-AC247,0)))))</x:f>
        <x:v>0</x:v>
      </x:c>
      <x:c r="N247" s="6" t="n">
        <x:f>ROUND(MAX(0,I247+J247-K247-M247),2)</x:f>
        <x:v>0</x:v>
      </x:c>
      <x:c r="O247" s="6" t="n">
        <x:f>T246</x:f>
        <x:v>0</x:v>
      </x:c>
      <x:c r="P247" s="6" t="n">
        <x:f>ROUND(O247*'Debt strategy'!$D$11/12,2)</x:f>
        <x:v>0</x:v>
      </x:c>
      <x:c r="Q247" s="6" t="n">
        <x:f>MIN(O247+P247,'Debt strategy'!$E$11)</x:f>
        <x:v>0</x:v>
      </x:c>
      <x:c r="R247" s="27" t="n">
        <x:f>IF(O247+P247-Q247&lt;=0,99,1+SUM(IF(AND(C247+D247-E247&gt;0,OR('Debt strategy'!$D$9&gt;'Debt strategy'!$D$11,AND('Debt strategy'!$D$9='Debt strategy'!$D$11,0&lt;2))),1,0),IF(AND(I247+J247-K247&gt;0,OR('Debt strategy'!$D$10&gt;'Debt strategy'!$D$11,AND('Debt strategy'!$D$10='Debt strategy'!$D$11,1&lt;2))),1,0),IF(AND(U247+V247-W247&gt;0,OR('Debt strategy'!$D$12&gt;'Debt strategy'!$D$11,AND('Debt strategy'!$D$12='Debt strategy'!$D$11,3&lt;2))),1,0),IF(AND(AA247+AB247-AC247&gt;0,OR('Debt strategy'!$D$13&gt;'Debt strategy'!$D$11,AND('Debt strategy'!$D$13='Debt strategy'!$D$11,4&lt;2))),1,0)))</x:f>
        <x:v>99</x:v>
      </x:c>
      <x:c r="S247" s="6" t="n">
        <x:f>IF('Debt strategy'!$C$16&gt;0,0,MIN(O247+P247-Q247,MAX(0,'Debt strategy'!$C$5-SUM(E247,K247,Q247,W247,AC247)-SUM(IF(F247&lt;R247,C247+D247-E247,0),IF(L247&lt;R247,I247+J247-K247,0),IF(X247&lt;R247,U247+V247-W247,0),IF(AD247&lt;R247,AA247+AB247-AC247,0)))))</x:f>
        <x:v>0</x:v>
      </x:c>
      <x:c r="T247" s="6" t="n">
        <x:f>ROUND(MAX(0,O247+P247-Q247-S247),2)</x:f>
        <x:v>0</x:v>
      </x:c>
      <x:c r="U247" s="6" t="n">
        <x:f>Z246</x:f>
        <x:v>0</x:v>
      </x:c>
      <x:c r="V247" s="6" t="n">
        <x:f>ROUND(U247*'Debt strategy'!$D$12/12,2)</x:f>
        <x:v>0</x:v>
      </x:c>
      <x:c r="W247" s="6" t="n">
        <x:f>MIN(U247+V247,'Debt strategy'!$E$12)</x:f>
        <x:v>0</x:v>
      </x:c>
      <x:c r="X247" s="27" t="n">
        <x:f>IF(U247+V247-W247&lt;=0,99,1+SUM(IF(AND(C247+D247-E247&gt;0,OR('Debt strategy'!$D$9&gt;'Debt strategy'!$D$12,AND('Debt strategy'!$D$9='Debt strategy'!$D$12,0&lt;3))),1,0),IF(AND(I247+J247-K247&gt;0,OR('Debt strategy'!$D$10&gt;'Debt strategy'!$D$12,AND('Debt strategy'!$D$10='Debt strategy'!$D$12,1&lt;3))),1,0),IF(AND(O247+P247-Q247&gt;0,OR('Debt strategy'!$D$11&gt;'Debt strategy'!$D$12,AND('Debt strategy'!$D$11='Debt strategy'!$D$12,2&lt;3))),1,0),IF(AND(AA247+AB247-AC247&gt;0,OR('Debt strategy'!$D$13&gt;'Debt strategy'!$D$12,AND('Debt strategy'!$D$13='Debt strategy'!$D$12,4&lt;3))),1,0)))</x:f>
        <x:v>99</x:v>
      </x:c>
      <x:c r="Y247" s="6" t="n">
        <x:f>IF('Debt strategy'!$C$16&gt;0,0,MIN(U247+V247-W247,MAX(0,'Debt strategy'!$C$5-SUM(E247,K247,Q247,W247,AC247)-SUM(IF(F247&lt;X247,C247+D247-E247,0),IF(L247&lt;X247,I247+J247-K247,0),IF(R247&lt;X247,O247+P247-Q247,0),IF(AD247&lt;X247,AA247+AB247-AC247,0)))))</x:f>
        <x:v>0</x:v>
      </x:c>
      <x:c r="Z247" s="6" t="n">
        <x:f>ROUND(MAX(0,U247+V247-W247-Y247),2)</x:f>
        <x:v>0</x:v>
      </x:c>
      <x:c r="AA247" s="6" t="n">
        <x:f>AF246</x:f>
        <x:v>0</x:v>
      </x:c>
      <x:c r="AB247" s="6" t="n">
        <x:f>ROUND(AA247*'Debt strategy'!$D$13/12,2)</x:f>
        <x:v>0</x:v>
      </x:c>
      <x:c r="AC247" s="6" t="n">
        <x:f>MIN(AA247+AB247,'Debt strategy'!$E$13)</x:f>
        <x:v>0</x:v>
      </x:c>
      <x:c r="AD247" s="27" t="n">
        <x:f>IF(AA247+AB247-AC247&lt;=0,99,1+SUM(IF(AND(C247+D247-E247&gt;0,OR('Debt strategy'!$D$9&gt;'Debt strategy'!$D$13,AND('Debt strategy'!$D$9='Debt strategy'!$D$13,0&lt;4))),1,0),IF(AND(I247+J247-K247&gt;0,OR('Debt strategy'!$D$10&gt;'Debt strategy'!$D$13,AND('Debt strategy'!$D$10='Debt strategy'!$D$13,1&lt;4))),1,0),IF(AND(O247+P247-Q247&gt;0,OR('Debt strategy'!$D$11&gt;'Debt strategy'!$D$13,AND('Debt strategy'!$D$11='Debt strategy'!$D$13,2&lt;4))),1,0),IF(AND(U247+V247-W247&gt;0,OR('Debt strategy'!$D$12&gt;'Debt strategy'!$D$13,AND('Debt strategy'!$D$12='Debt strategy'!$D$13,3&lt;4))),1,0)))</x:f>
        <x:v>99</x:v>
      </x:c>
      <x:c r="AE247" s="6" t="n">
        <x:f>IF('Debt strategy'!$C$16&gt;0,0,MIN(AA247+AB247-AC247,MAX(0,'Debt strategy'!$C$5-SUM(E247,K247,Q247,W247,AC247)-SUM(IF(F247&lt;AD247,C247+D247-E247,0),IF(L247&lt;AD247,I247+J247-K247,0),IF(R247&lt;AD247,O247+P247-Q247,0),IF(X247&lt;AD247,U247+V247-W247,0)))))</x:f>
        <x:v>0</x:v>
      </x:c>
      <x:c r="AF247" s="6" t="n">
        <x:f>ROUND(MAX(0,AA247+AB247-AC247-AE247),2)</x:f>
        <x:v>0</x:v>
      </x:c>
      <x:c r="AG247" s="6" t="n">
        <x:f>SUM(H247,N247,T247,Z247,AF247)</x:f>
        <x:v>0</x:v>
      </x:c>
      <x:c r="AH247" s="6" t="n">
        <x:f>SUM(D247,J247,P247,V247,AB247)+AH246</x:f>
        <x:v>1220.8400000000001</x:v>
      </x:c>
      <x:c r="AI247" s="2"/>
    </x:row>
    <x:row r="248" ht="23" customHeight="1">
      <x:c r="B248" s="2" t="n">
        <x:f>240</x:f>
        <x:v>240</x:v>
      </x:c>
      <x:c r="C248" s="6" t="n">
        <x:f>H247</x:f>
        <x:v>0</x:v>
      </x:c>
      <x:c r="D248" s="6" t="n">
        <x:f>ROUND(C248*'Debt strategy'!$D$9/12,2)</x:f>
        <x:v>0</x:v>
      </x:c>
      <x:c r="E248" s="6" t="n">
        <x:f>MIN(C248+D248,'Debt strategy'!$E$9)</x:f>
        <x:v>0</x:v>
      </x:c>
      <x:c r="F248" s="27" t="n">
        <x:f>IF(C248+D248-E248&lt;=0,99,1+SUM(IF(AND(I248+J248-K248&gt;0,OR('Debt strategy'!$D$10&gt;'Debt strategy'!$D$9,AND('Debt strategy'!$D$10='Debt strategy'!$D$9,1&lt;0))),1,0),IF(AND(O248+P248-Q248&gt;0,OR('Debt strategy'!$D$11&gt;'Debt strategy'!$D$9,AND('Debt strategy'!$D$11='Debt strategy'!$D$9,2&lt;0))),1,0),IF(AND(U248+V248-W248&gt;0,OR('Debt strategy'!$D$12&gt;'Debt strategy'!$D$9,AND('Debt strategy'!$D$12='Debt strategy'!$D$9,3&lt;0))),1,0),IF(AND(AA248+AB248-AC248&gt;0,OR('Debt strategy'!$D$13&gt;'Debt strategy'!$D$9,AND('Debt strategy'!$D$13='Debt strategy'!$D$9,4&lt;0))),1,0)))</x:f>
        <x:v>99</x:v>
      </x:c>
      <x:c r="G248" s="6" t="n">
        <x:f>IF('Debt strategy'!$C$16&gt;0,0,MIN(C248+D248-E248,MAX(0,'Debt strategy'!$C$5-SUM(E248,K248,Q248,W248,AC248)-SUM(IF(L248&lt;F248,I248+J248-K248,0),IF(R248&lt;F248,O248+P248-Q248,0),IF(X248&lt;F248,U248+V248-W248,0),IF(AD248&lt;F248,AA248+AB248-AC248,0)))))</x:f>
        <x:v>0</x:v>
      </x:c>
      <x:c r="H248" s="6" t="n">
        <x:f>ROUND(MAX(0,C248+D248-E248-G248),2)</x:f>
        <x:v>0</x:v>
      </x:c>
      <x:c r="I248" s="6" t="n">
        <x:f>N247</x:f>
        <x:v>0</x:v>
      </x:c>
      <x:c r="J248" s="6" t="n">
        <x:f>ROUND(I248*'Debt strategy'!$D$10/12,2)</x:f>
        <x:v>0</x:v>
      </x:c>
      <x:c r="K248" s="6" t="n">
        <x:f>MIN(I248+J248,'Debt strategy'!$E$10)</x:f>
        <x:v>0</x:v>
      </x:c>
      <x:c r="L248" s="27" t="n">
        <x:f>IF(I248+J248-K248&lt;=0,99,1+SUM(IF(AND(C248+D248-E248&gt;0,OR('Debt strategy'!$D$9&gt;'Debt strategy'!$D$10,AND('Debt strategy'!$D$9='Debt strategy'!$D$10,0&lt;1))),1,0),IF(AND(O248+P248-Q248&gt;0,OR('Debt strategy'!$D$11&gt;'Debt strategy'!$D$10,AND('Debt strategy'!$D$11='Debt strategy'!$D$10,2&lt;1))),1,0),IF(AND(U248+V248-W248&gt;0,OR('Debt strategy'!$D$12&gt;'Debt strategy'!$D$10,AND('Debt strategy'!$D$12='Debt strategy'!$D$10,3&lt;1))),1,0),IF(AND(AA248+AB248-AC248&gt;0,OR('Debt strategy'!$D$13&gt;'Debt strategy'!$D$10,AND('Debt strategy'!$D$13='Debt strategy'!$D$10,4&lt;1))),1,0)))</x:f>
        <x:v>99</x:v>
      </x:c>
      <x:c r="M248" s="6" t="n">
        <x:f>IF('Debt strategy'!$C$16&gt;0,0,MIN(I248+J248-K248,MAX(0,'Debt strategy'!$C$5-SUM(E248,K248,Q248,W248,AC248)-SUM(IF(F248&lt;L248,C248+D248-E248,0),IF(R248&lt;L248,O248+P248-Q248,0),IF(X248&lt;L248,U248+V248-W248,0),IF(AD248&lt;L248,AA248+AB248-AC248,0)))))</x:f>
        <x:v>0</x:v>
      </x:c>
      <x:c r="N248" s="6" t="n">
        <x:f>ROUND(MAX(0,I248+J248-K248-M248),2)</x:f>
        <x:v>0</x:v>
      </x:c>
      <x:c r="O248" s="6" t="n">
        <x:f>T247</x:f>
        <x:v>0</x:v>
      </x:c>
      <x:c r="P248" s="6" t="n">
        <x:f>ROUND(O248*'Debt strategy'!$D$11/12,2)</x:f>
        <x:v>0</x:v>
      </x:c>
      <x:c r="Q248" s="6" t="n">
        <x:f>MIN(O248+P248,'Debt strategy'!$E$11)</x:f>
        <x:v>0</x:v>
      </x:c>
      <x:c r="R248" s="27" t="n">
        <x:f>IF(O248+P248-Q248&lt;=0,99,1+SUM(IF(AND(C248+D248-E248&gt;0,OR('Debt strategy'!$D$9&gt;'Debt strategy'!$D$11,AND('Debt strategy'!$D$9='Debt strategy'!$D$11,0&lt;2))),1,0),IF(AND(I248+J248-K248&gt;0,OR('Debt strategy'!$D$10&gt;'Debt strategy'!$D$11,AND('Debt strategy'!$D$10='Debt strategy'!$D$11,1&lt;2))),1,0),IF(AND(U248+V248-W248&gt;0,OR('Debt strategy'!$D$12&gt;'Debt strategy'!$D$11,AND('Debt strategy'!$D$12='Debt strategy'!$D$11,3&lt;2))),1,0),IF(AND(AA248+AB248-AC248&gt;0,OR('Debt strategy'!$D$13&gt;'Debt strategy'!$D$11,AND('Debt strategy'!$D$13='Debt strategy'!$D$11,4&lt;2))),1,0)))</x:f>
        <x:v>99</x:v>
      </x:c>
      <x:c r="S248" s="6" t="n">
        <x:f>IF('Debt strategy'!$C$16&gt;0,0,MIN(O248+P248-Q248,MAX(0,'Debt strategy'!$C$5-SUM(E248,K248,Q248,W248,AC248)-SUM(IF(F248&lt;R248,C248+D248-E248,0),IF(L248&lt;R248,I248+J248-K248,0),IF(X248&lt;R248,U248+V248-W248,0),IF(AD248&lt;R248,AA248+AB248-AC248,0)))))</x:f>
        <x:v>0</x:v>
      </x:c>
      <x:c r="T248" s="6" t="n">
        <x:f>ROUND(MAX(0,O248+P248-Q248-S248),2)</x:f>
        <x:v>0</x:v>
      </x:c>
      <x:c r="U248" s="6" t="n">
        <x:f>Z247</x:f>
        <x:v>0</x:v>
      </x:c>
      <x:c r="V248" s="6" t="n">
        <x:f>ROUND(U248*'Debt strategy'!$D$12/12,2)</x:f>
        <x:v>0</x:v>
      </x:c>
      <x:c r="W248" s="6" t="n">
        <x:f>MIN(U248+V248,'Debt strategy'!$E$12)</x:f>
        <x:v>0</x:v>
      </x:c>
      <x:c r="X248" s="27" t="n">
        <x:f>IF(U248+V248-W248&lt;=0,99,1+SUM(IF(AND(C248+D248-E248&gt;0,OR('Debt strategy'!$D$9&gt;'Debt strategy'!$D$12,AND('Debt strategy'!$D$9='Debt strategy'!$D$12,0&lt;3))),1,0),IF(AND(I248+J248-K248&gt;0,OR('Debt strategy'!$D$10&gt;'Debt strategy'!$D$12,AND('Debt strategy'!$D$10='Debt strategy'!$D$12,1&lt;3))),1,0),IF(AND(O248+P248-Q248&gt;0,OR('Debt strategy'!$D$11&gt;'Debt strategy'!$D$12,AND('Debt strategy'!$D$11='Debt strategy'!$D$12,2&lt;3))),1,0),IF(AND(AA248+AB248-AC248&gt;0,OR('Debt strategy'!$D$13&gt;'Debt strategy'!$D$12,AND('Debt strategy'!$D$13='Debt strategy'!$D$12,4&lt;3))),1,0)))</x:f>
        <x:v>99</x:v>
      </x:c>
      <x:c r="Y248" s="6" t="n">
        <x:f>IF('Debt strategy'!$C$16&gt;0,0,MIN(U248+V248-W248,MAX(0,'Debt strategy'!$C$5-SUM(E248,K248,Q248,W248,AC248)-SUM(IF(F248&lt;X248,C248+D248-E248,0),IF(L248&lt;X248,I248+J248-K248,0),IF(R248&lt;X248,O248+P248-Q248,0),IF(AD248&lt;X248,AA248+AB248-AC248,0)))))</x:f>
        <x:v>0</x:v>
      </x:c>
      <x:c r="Z248" s="6" t="n">
        <x:f>ROUND(MAX(0,U248+V248-W248-Y248),2)</x:f>
        <x:v>0</x:v>
      </x:c>
      <x:c r="AA248" s="6" t="n">
        <x:f>AF247</x:f>
        <x:v>0</x:v>
      </x:c>
      <x:c r="AB248" s="6" t="n">
        <x:f>ROUND(AA248*'Debt strategy'!$D$13/12,2)</x:f>
        <x:v>0</x:v>
      </x:c>
      <x:c r="AC248" s="6" t="n">
        <x:f>MIN(AA248+AB248,'Debt strategy'!$E$13)</x:f>
        <x:v>0</x:v>
      </x:c>
      <x:c r="AD248" s="27" t="n">
        <x:f>IF(AA248+AB248-AC248&lt;=0,99,1+SUM(IF(AND(C248+D248-E248&gt;0,OR('Debt strategy'!$D$9&gt;'Debt strategy'!$D$13,AND('Debt strategy'!$D$9='Debt strategy'!$D$13,0&lt;4))),1,0),IF(AND(I248+J248-K248&gt;0,OR('Debt strategy'!$D$10&gt;'Debt strategy'!$D$13,AND('Debt strategy'!$D$10='Debt strategy'!$D$13,1&lt;4))),1,0),IF(AND(O248+P248-Q248&gt;0,OR('Debt strategy'!$D$11&gt;'Debt strategy'!$D$13,AND('Debt strategy'!$D$11='Debt strategy'!$D$13,2&lt;4))),1,0),IF(AND(U248+V248-W248&gt;0,OR('Debt strategy'!$D$12&gt;'Debt strategy'!$D$13,AND('Debt strategy'!$D$12='Debt strategy'!$D$13,3&lt;4))),1,0)))</x:f>
        <x:v>99</x:v>
      </x:c>
      <x:c r="AE248" s="6" t="n">
        <x:f>IF('Debt strategy'!$C$16&gt;0,0,MIN(AA248+AB248-AC248,MAX(0,'Debt strategy'!$C$5-SUM(E248,K248,Q248,W248,AC248)-SUM(IF(F248&lt;AD248,C248+D248-E248,0),IF(L248&lt;AD248,I248+J248-K248,0),IF(R248&lt;AD248,O248+P248-Q248,0),IF(X248&lt;AD248,U248+V248-W248,0)))))</x:f>
        <x:v>0</x:v>
      </x:c>
      <x:c r="AF248" s="6" t="n">
        <x:f>ROUND(MAX(0,AA248+AB248-AC248-AE248),2)</x:f>
        <x:v>0</x:v>
      </x:c>
      <x:c r="AG248" s="6" t="n">
        <x:f>SUM(H248,N248,T248,Z248,AF248)</x:f>
        <x:v>0</x:v>
      </x:c>
      <x:c r="AH248" s="6" t="n">
        <x:f>SUM(D248,J248,P248,V248,AB248)+AH247</x:f>
        <x:v>1220.8400000000001</x:v>
      </x:c>
      <x:c r="AI248" s="2"/>
    </x:row>
    <x:row r="249" ht="23" customHeight="1">
      <x:c r="B249" s="2" t="n">
        <x:f>241</x:f>
        <x:v>241</x:v>
      </x:c>
      <x:c r="C249" s="6" t="n">
        <x:f>H248</x:f>
        <x:v>0</x:v>
      </x:c>
      <x:c r="D249" s="6" t="n">
        <x:f>ROUND(C249*'Debt strategy'!$D$9/12,2)</x:f>
        <x:v>0</x:v>
      </x:c>
      <x:c r="E249" s="6" t="n">
        <x:f>MIN(C249+D249,'Debt strategy'!$E$9)</x:f>
        <x:v>0</x:v>
      </x:c>
      <x:c r="F249" s="27" t="n">
        <x:f>IF(C249+D249-E249&lt;=0,99,1+SUM(IF(AND(I249+J249-K249&gt;0,OR('Debt strategy'!$D$10&gt;'Debt strategy'!$D$9,AND('Debt strategy'!$D$10='Debt strategy'!$D$9,1&lt;0))),1,0),IF(AND(O249+P249-Q249&gt;0,OR('Debt strategy'!$D$11&gt;'Debt strategy'!$D$9,AND('Debt strategy'!$D$11='Debt strategy'!$D$9,2&lt;0))),1,0),IF(AND(U249+V249-W249&gt;0,OR('Debt strategy'!$D$12&gt;'Debt strategy'!$D$9,AND('Debt strategy'!$D$12='Debt strategy'!$D$9,3&lt;0))),1,0),IF(AND(AA249+AB249-AC249&gt;0,OR('Debt strategy'!$D$13&gt;'Debt strategy'!$D$9,AND('Debt strategy'!$D$13='Debt strategy'!$D$9,4&lt;0))),1,0)))</x:f>
        <x:v>99</x:v>
      </x:c>
      <x:c r="G249" s="6" t="n">
        <x:f>IF('Debt strategy'!$C$16&gt;0,0,MIN(C249+D249-E249,MAX(0,'Debt strategy'!$C$5-SUM(E249,K249,Q249,W249,AC249)-SUM(IF(L249&lt;F249,I249+J249-K249,0),IF(R249&lt;F249,O249+P249-Q249,0),IF(X249&lt;F249,U249+V249-W249,0),IF(AD249&lt;F249,AA249+AB249-AC249,0)))))</x:f>
        <x:v>0</x:v>
      </x:c>
      <x:c r="H249" s="6" t="n">
        <x:f>ROUND(MAX(0,C249+D249-E249-G249),2)</x:f>
        <x:v>0</x:v>
      </x:c>
      <x:c r="I249" s="6" t="n">
        <x:f>N248</x:f>
        <x:v>0</x:v>
      </x:c>
      <x:c r="J249" s="6" t="n">
        <x:f>ROUND(I249*'Debt strategy'!$D$10/12,2)</x:f>
        <x:v>0</x:v>
      </x:c>
      <x:c r="K249" s="6" t="n">
        <x:f>MIN(I249+J249,'Debt strategy'!$E$10)</x:f>
        <x:v>0</x:v>
      </x:c>
      <x:c r="L249" s="27" t="n">
        <x:f>IF(I249+J249-K249&lt;=0,99,1+SUM(IF(AND(C249+D249-E249&gt;0,OR('Debt strategy'!$D$9&gt;'Debt strategy'!$D$10,AND('Debt strategy'!$D$9='Debt strategy'!$D$10,0&lt;1))),1,0),IF(AND(O249+P249-Q249&gt;0,OR('Debt strategy'!$D$11&gt;'Debt strategy'!$D$10,AND('Debt strategy'!$D$11='Debt strategy'!$D$10,2&lt;1))),1,0),IF(AND(U249+V249-W249&gt;0,OR('Debt strategy'!$D$12&gt;'Debt strategy'!$D$10,AND('Debt strategy'!$D$12='Debt strategy'!$D$10,3&lt;1))),1,0),IF(AND(AA249+AB249-AC249&gt;0,OR('Debt strategy'!$D$13&gt;'Debt strategy'!$D$10,AND('Debt strategy'!$D$13='Debt strategy'!$D$10,4&lt;1))),1,0)))</x:f>
        <x:v>99</x:v>
      </x:c>
      <x:c r="M249" s="6" t="n">
        <x:f>IF('Debt strategy'!$C$16&gt;0,0,MIN(I249+J249-K249,MAX(0,'Debt strategy'!$C$5-SUM(E249,K249,Q249,W249,AC249)-SUM(IF(F249&lt;L249,C249+D249-E249,0),IF(R249&lt;L249,O249+P249-Q249,0),IF(X249&lt;L249,U249+V249-W249,0),IF(AD249&lt;L249,AA249+AB249-AC249,0)))))</x:f>
        <x:v>0</x:v>
      </x:c>
      <x:c r="N249" s="6" t="n">
        <x:f>ROUND(MAX(0,I249+J249-K249-M249),2)</x:f>
        <x:v>0</x:v>
      </x:c>
      <x:c r="O249" s="6" t="n">
        <x:f>T248</x:f>
        <x:v>0</x:v>
      </x:c>
      <x:c r="P249" s="6" t="n">
        <x:f>ROUND(O249*'Debt strategy'!$D$11/12,2)</x:f>
        <x:v>0</x:v>
      </x:c>
      <x:c r="Q249" s="6" t="n">
        <x:f>MIN(O249+P249,'Debt strategy'!$E$11)</x:f>
        <x:v>0</x:v>
      </x:c>
      <x:c r="R249" s="27" t="n">
        <x:f>IF(O249+P249-Q249&lt;=0,99,1+SUM(IF(AND(C249+D249-E249&gt;0,OR('Debt strategy'!$D$9&gt;'Debt strategy'!$D$11,AND('Debt strategy'!$D$9='Debt strategy'!$D$11,0&lt;2))),1,0),IF(AND(I249+J249-K249&gt;0,OR('Debt strategy'!$D$10&gt;'Debt strategy'!$D$11,AND('Debt strategy'!$D$10='Debt strategy'!$D$11,1&lt;2))),1,0),IF(AND(U249+V249-W249&gt;0,OR('Debt strategy'!$D$12&gt;'Debt strategy'!$D$11,AND('Debt strategy'!$D$12='Debt strategy'!$D$11,3&lt;2))),1,0),IF(AND(AA249+AB249-AC249&gt;0,OR('Debt strategy'!$D$13&gt;'Debt strategy'!$D$11,AND('Debt strategy'!$D$13='Debt strategy'!$D$11,4&lt;2))),1,0)))</x:f>
        <x:v>99</x:v>
      </x:c>
      <x:c r="S249" s="6" t="n">
        <x:f>IF('Debt strategy'!$C$16&gt;0,0,MIN(O249+P249-Q249,MAX(0,'Debt strategy'!$C$5-SUM(E249,K249,Q249,W249,AC249)-SUM(IF(F249&lt;R249,C249+D249-E249,0),IF(L249&lt;R249,I249+J249-K249,0),IF(X249&lt;R249,U249+V249-W249,0),IF(AD249&lt;R249,AA249+AB249-AC249,0)))))</x:f>
        <x:v>0</x:v>
      </x:c>
      <x:c r="T249" s="6" t="n">
        <x:f>ROUND(MAX(0,O249+P249-Q249-S249),2)</x:f>
        <x:v>0</x:v>
      </x:c>
      <x:c r="U249" s="6" t="n">
        <x:f>Z248</x:f>
        <x:v>0</x:v>
      </x:c>
      <x:c r="V249" s="6" t="n">
        <x:f>ROUND(U249*'Debt strategy'!$D$12/12,2)</x:f>
        <x:v>0</x:v>
      </x:c>
      <x:c r="W249" s="6" t="n">
        <x:f>MIN(U249+V249,'Debt strategy'!$E$12)</x:f>
        <x:v>0</x:v>
      </x:c>
      <x:c r="X249" s="27" t="n">
        <x:f>IF(U249+V249-W249&lt;=0,99,1+SUM(IF(AND(C249+D249-E249&gt;0,OR('Debt strategy'!$D$9&gt;'Debt strategy'!$D$12,AND('Debt strategy'!$D$9='Debt strategy'!$D$12,0&lt;3))),1,0),IF(AND(I249+J249-K249&gt;0,OR('Debt strategy'!$D$10&gt;'Debt strategy'!$D$12,AND('Debt strategy'!$D$10='Debt strategy'!$D$12,1&lt;3))),1,0),IF(AND(O249+P249-Q249&gt;0,OR('Debt strategy'!$D$11&gt;'Debt strategy'!$D$12,AND('Debt strategy'!$D$11='Debt strategy'!$D$12,2&lt;3))),1,0),IF(AND(AA249+AB249-AC249&gt;0,OR('Debt strategy'!$D$13&gt;'Debt strategy'!$D$12,AND('Debt strategy'!$D$13='Debt strategy'!$D$12,4&lt;3))),1,0)))</x:f>
        <x:v>99</x:v>
      </x:c>
      <x:c r="Y249" s="6" t="n">
        <x:f>IF('Debt strategy'!$C$16&gt;0,0,MIN(U249+V249-W249,MAX(0,'Debt strategy'!$C$5-SUM(E249,K249,Q249,W249,AC249)-SUM(IF(F249&lt;X249,C249+D249-E249,0),IF(L249&lt;X249,I249+J249-K249,0),IF(R249&lt;X249,O249+P249-Q249,0),IF(AD249&lt;X249,AA249+AB249-AC249,0)))))</x:f>
        <x:v>0</x:v>
      </x:c>
      <x:c r="Z249" s="6" t="n">
        <x:f>ROUND(MAX(0,U249+V249-W249-Y249),2)</x:f>
        <x:v>0</x:v>
      </x:c>
      <x:c r="AA249" s="6" t="n">
        <x:f>AF248</x:f>
        <x:v>0</x:v>
      </x:c>
      <x:c r="AB249" s="6" t="n">
        <x:f>ROUND(AA249*'Debt strategy'!$D$13/12,2)</x:f>
        <x:v>0</x:v>
      </x:c>
      <x:c r="AC249" s="6" t="n">
        <x:f>MIN(AA249+AB249,'Debt strategy'!$E$13)</x:f>
        <x:v>0</x:v>
      </x:c>
      <x:c r="AD249" s="27" t="n">
        <x:f>IF(AA249+AB249-AC249&lt;=0,99,1+SUM(IF(AND(C249+D249-E249&gt;0,OR('Debt strategy'!$D$9&gt;'Debt strategy'!$D$13,AND('Debt strategy'!$D$9='Debt strategy'!$D$13,0&lt;4))),1,0),IF(AND(I249+J249-K249&gt;0,OR('Debt strategy'!$D$10&gt;'Debt strategy'!$D$13,AND('Debt strategy'!$D$10='Debt strategy'!$D$13,1&lt;4))),1,0),IF(AND(O249+P249-Q249&gt;0,OR('Debt strategy'!$D$11&gt;'Debt strategy'!$D$13,AND('Debt strategy'!$D$11='Debt strategy'!$D$13,2&lt;4))),1,0),IF(AND(U249+V249-W249&gt;0,OR('Debt strategy'!$D$12&gt;'Debt strategy'!$D$13,AND('Debt strategy'!$D$12='Debt strategy'!$D$13,3&lt;4))),1,0)))</x:f>
        <x:v>99</x:v>
      </x:c>
      <x:c r="AE249" s="6" t="n">
        <x:f>IF('Debt strategy'!$C$16&gt;0,0,MIN(AA249+AB249-AC249,MAX(0,'Debt strategy'!$C$5-SUM(E249,K249,Q249,W249,AC249)-SUM(IF(F249&lt;AD249,C249+D249-E249,0),IF(L249&lt;AD249,I249+J249-K249,0),IF(R249&lt;AD249,O249+P249-Q249,0),IF(X249&lt;AD249,U249+V249-W249,0)))))</x:f>
        <x:v>0</x:v>
      </x:c>
      <x:c r="AF249" s="6" t="n">
        <x:f>ROUND(MAX(0,AA249+AB249-AC249-AE249),2)</x:f>
        <x:v>0</x:v>
      </x:c>
      <x:c r="AG249" s="6" t="n">
        <x:f>SUM(H249,N249,T249,Z249,AF249)</x:f>
        <x:v>0</x:v>
      </x:c>
      <x:c r="AH249" s="6" t="n">
        <x:f>SUM(D249,J249,P249,V249,AB249)+AH248</x:f>
        <x:v>1220.8400000000001</x:v>
      </x:c>
      <x:c r="AI249" s="2"/>
    </x:row>
    <x:row r="250" ht="23" customHeight="1">
      <x:c r="B250" s="2" t="n">
        <x:f>242</x:f>
        <x:v>242</x:v>
      </x:c>
      <x:c r="C250" s="6" t="n">
        <x:f>H249</x:f>
        <x:v>0</x:v>
      </x:c>
      <x:c r="D250" s="6" t="n">
        <x:f>ROUND(C250*'Debt strategy'!$D$9/12,2)</x:f>
        <x:v>0</x:v>
      </x:c>
      <x:c r="E250" s="6" t="n">
        <x:f>MIN(C250+D250,'Debt strategy'!$E$9)</x:f>
        <x:v>0</x:v>
      </x:c>
      <x:c r="F250" s="27" t="n">
        <x:f>IF(C250+D250-E250&lt;=0,99,1+SUM(IF(AND(I250+J250-K250&gt;0,OR('Debt strategy'!$D$10&gt;'Debt strategy'!$D$9,AND('Debt strategy'!$D$10='Debt strategy'!$D$9,1&lt;0))),1,0),IF(AND(O250+P250-Q250&gt;0,OR('Debt strategy'!$D$11&gt;'Debt strategy'!$D$9,AND('Debt strategy'!$D$11='Debt strategy'!$D$9,2&lt;0))),1,0),IF(AND(U250+V250-W250&gt;0,OR('Debt strategy'!$D$12&gt;'Debt strategy'!$D$9,AND('Debt strategy'!$D$12='Debt strategy'!$D$9,3&lt;0))),1,0),IF(AND(AA250+AB250-AC250&gt;0,OR('Debt strategy'!$D$13&gt;'Debt strategy'!$D$9,AND('Debt strategy'!$D$13='Debt strategy'!$D$9,4&lt;0))),1,0)))</x:f>
        <x:v>99</x:v>
      </x:c>
      <x:c r="G250" s="6" t="n">
        <x:f>IF('Debt strategy'!$C$16&gt;0,0,MIN(C250+D250-E250,MAX(0,'Debt strategy'!$C$5-SUM(E250,K250,Q250,W250,AC250)-SUM(IF(L250&lt;F250,I250+J250-K250,0),IF(R250&lt;F250,O250+P250-Q250,0),IF(X250&lt;F250,U250+V250-W250,0),IF(AD250&lt;F250,AA250+AB250-AC250,0)))))</x:f>
        <x:v>0</x:v>
      </x:c>
      <x:c r="H250" s="6" t="n">
        <x:f>ROUND(MAX(0,C250+D250-E250-G250),2)</x:f>
        <x:v>0</x:v>
      </x:c>
      <x:c r="I250" s="6" t="n">
        <x:f>N249</x:f>
        <x:v>0</x:v>
      </x:c>
      <x:c r="J250" s="6" t="n">
        <x:f>ROUND(I250*'Debt strategy'!$D$10/12,2)</x:f>
        <x:v>0</x:v>
      </x:c>
      <x:c r="K250" s="6" t="n">
        <x:f>MIN(I250+J250,'Debt strategy'!$E$10)</x:f>
        <x:v>0</x:v>
      </x:c>
      <x:c r="L250" s="27" t="n">
        <x:f>IF(I250+J250-K250&lt;=0,99,1+SUM(IF(AND(C250+D250-E250&gt;0,OR('Debt strategy'!$D$9&gt;'Debt strategy'!$D$10,AND('Debt strategy'!$D$9='Debt strategy'!$D$10,0&lt;1))),1,0),IF(AND(O250+P250-Q250&gt;0,OR('Debt strategy'!$D$11&gt;'Debt strategy'!$D$10,AND('Debt strategy'!$D$11='Debt strategy'!$D$10,2&lt;1))),1,0),IF(AND(U250+V250-W250&gt;0,OR('Debt strategy'!$D$12&gt;'Debt strategy'!$D$10,AND('Debt strategy'!$D$12='Debt strategy'!$D$10,3&lt;1))),1,0),IF(AND(AA250+AB250-AC250&gt;0,OR('Debt strategy'!$D$13&gt;'Debt strategy'!$D$10,AND('Debt strategy'!$D$13='Debt strategy'!$D$10,4&lt;1))),1,0)))</x:f>
        <x:v>99</x:v>
      </x:c>
      <x:c r="M250" s="6" t="n">
        <x:f>IF('Debt strategy'!$C$16&gt;0,0,MIN(I250+J250-K250,MAX(0,'Debt strategy'!$C$5-SUM(E250,K250,Q250,W250,AC250)-SUM(IF(F250&lt;L250,C250+D250-E250,0),IF(R250&lt;L250,O250+P250-Q250,0),IF(X250&lt;L250,U250+V250-W250,0),IF(AD250&lt;L250,AA250+AB250-AC250,0)))))</x:f>
        <x:v>0</x:v>
      </x:c>
      <x:c r="N250" s="6" t="n">
        <x:f>ROUND(MAX(0,I250+J250-K250-M250),2)</x:f>
        <x:v>0</x:v>
      </x:c>
      <x:c r="O250" s="6" t="n">
        <x:f>T249</x:f>
        <x:v>0</x:v>
      </x:c>
      <x:c r="P250" s="6" t="n">
        <x:f>ROUND(O250*'Debt strategy'!$D$11/12,2)</x:f>
        <x:v>0</x:v>
      </x:c>
      <x:c r="Q250" s="6" t="n">
        <x:f>MIN(O250+P250,'Debt strategy'!$E$11)</x:f>
        <x:v>0</x:v>
      </x:c>
      <x:c r="R250" s="27" t="n">
        <x:f>IF(O250+P250-Q250&lt;=0,99,1+SUM(IF(AND(C250+D250-E250&gt;0,OR('Debt strategy'!$D$9&gt;'Debt strategy'!$D$11,AND('Debt strategy'!$D$9='Debt strategy'!$D$11,0&lt;2))),1,0),IF(AND(I250+J250-K250&gt;0,OR('Debt strategy'!$D$10&gt;'Debt strategy'!$D$11,AND('Debt strategy'!$D$10='Debt strategy'!$D$11,1&lt;2))),1,0),IF(AND(U250+V250-W250&gt;0,OR('Debt strategy'!$D$12&gt;'Debt strategy'!$D$11,AND('Debt strategy'!$D$12='Debt strategy'!$D$11,3&lt;2))),1,0),IF(AND(AA250+AB250-AC250&gt;0,OR('Debt strategy'!$D$13&gt;'Debt strategy'!$D$11,AND('Debt strategy'!$D$13='Debt strategy'!$D$11,4&lt;2))),1,0)))</x:f>
        <x:v>99</x:v>
      </x:c>
      <x:c r="S250" s="6" t="n">
        <x:f>IF('Debt strategy'!$C$16&gt;0,0,MIN(O250+P250-Q250,MAX(0,'Debt strategy'!$C$5-SUM(E250,K250,Q250,W250,AC250)-SUM(IF(F250&lt;R250,C250+D250-E250,0),IF(L250&lt;R250,I250+J250-K250,0),IF(X250&lt;R250,U250+V250-W250,0),IF(AD250&lt;R250,AA250+AB250-AC250,0)))))</x:f>
        <x:v>0</x:v>
      </x:c>
      <x:c r="T250" s="6" t="n">
        <x:f>ROUND(MAX(0,O250+P250-Q250-S250),2)</x:f>
        <x:v>0</x:v>
      </x:c>
      <x:c r="U250" s="6" t="n">
        <x:f>Z249</x:f>
        <x:v>0</x:v>
      </x:c>
      <x:c r="V250" s="6" t="n">
        <x:f>ROUND(U250*'Debt strategy'!$D$12/12,2)</x:f>
        <x:v>0</x:v>
      </x:c>
      <x:c r="W250" s="6" t="n">
        <x:f>MIN(U250+V250,'Debt strategy'!$E$12)</x:f>
        <x:v>0</x:v>
      </x:c>
      <x:c r="X250" s="27" t="n">
        <x:f>IF(U250+V250-W250&lt;=0,99,1+SUM(IF(AND(C250+D250-E250&gt;0,OR('Debt strategy'!$D$9&gt;'Debt strategy'!$D$12,AND('Debt strategy'!$D$9='Debt strategy'!$D$12,0&lt;3))),1,0),IF(AND(I250+J250-K250&gt;0,OR('Debt strategy'!$D$10&gt;'Debt strategy'!$D$12,AND('Debt strategy'!$D$10='Debt strategy'!$D$12,1&lt;3))),1,0),IF(AND(O250+P250-Q250&gt;0,OR('Debt strategy'!$D$11&gt;'Debt strategy'!$D$12,AND('Debt strategy'!$D$11='Debt strategy'!$D$12,2&lt;3))),1,0),IF(AND(AA250+AB250-AC250&gt;0,OR('Debt strategy'!$D$13&gt;'Debt strategy'!$D$12,AND('Debt strategy'!$D$13='Debt strategy'!$D$12,4&lt;3))),1,0)))</x:f>
        <x:v>99</x:v>
      </x:c>
      <x:c r="Y250" s="6" t="n">
        <x:f>IF('Debt strategy'!$C$16&gt;0,0,MIN(U250+V250-W250,MAX(0,'Debt strategy'!$C$5-SUM(E250,K250,Q250,W250,AC250)-SUM(IF(F250&lt;X250,C250+D250-E250,0),IF(L250&lt;X250,I250+J250-K250,0),IF(R250&lt;X250,O250+P250-Q250,0),IF(AD250&lt;X250,AA250+AB250-AC250,0)))))</x:f>
        <x:v>0</x:v>
      </x:c>
      <x:c r="Z250" s="6" t="n">
        <x:f>ROUND(MAX(0,U250+V250-W250-Y250),2)</x:f>
        <x:v>0</x:v>
      </x:c>
      <x:c r="AA250" s="6" t="n">
        <x:f>AF249</x:f>
        <x:v>0</x:v>
      </x:c>
      <x:c r="AB250" s="6" t="n">
        <x:f>ROUND(AA250*'Debt strategy'!$D$13/12,2)</x:f>
        <x:v>0</x:v>
      </x:c>
      <x:c r="AC250" s="6" t="n">
        <x:f>MIN(AA250+AB250,'Debt strategy'!$E$13)</x:f>
        <x:v>0</x:v>
      </x:c>
      <x:c r="AD250" s="27" t="n">
        <x:f>IF(AA250+AB250-AC250&lt;=0,99,1+SUM(IF(AND(C250+D250-E250&gt;0,OR('Debt strategy'!$D$9&gt;'Debt strategy'!$D$13,AND('Debt strategy'!$D$9='Debt strategy'!$D$13,0&lt;4))),1,0),IF(AND(I250+J250-K250&gt;0,OR('Debt strategy'!$D$10&gt;'Debt strategy'!$D$13,AND('Debt strategy'!$D$10='Debt strategy'!$D$13,1&lt;4))),1,0),IF(AND(O250+P250-Q250&gt;0,OR('Debt strategy'!$D$11&gt;'Debt strategy'!$D$13,AND('Debt strategy'!$D$11='Debt strategy'!$D$13,2&lt;4))),1,0),IF(AND(U250+V250-W250&gt;0,OR('Debt strategy'!$D$12&gt;'Debt strategy'!$D$13,AND('Debt strategy'!$D$12='Debt strategy'!$D$13,3&lt;4))),1,0)))</x:f>
        <x:v>99</x:v>
      </x:c>
      <x:c r="AE250" s="6" t="n">
        <x:f>IF('Debt strategy'!$C$16&gt;0,0,MIN(AA250+AB250-AC250,MAX(0,'Debt strategy'!$C$5-SUM(E250,K250,Q250,W250,AC250)-SUM(IF(F250&lt;AD250,C250+D250-E250,0),IF(L250&lt;AD250,I250+J250-K250,0),IF(R250&lt;AD250,O250+P250-Q250,0),IF(X250&lt;AD250,U250+V250-W250,0)))))</x:f>
        <x:v>0</x:v>
      </x:c>
      <x:c r="AF250" s="6" t="n">
        <x:f>ROUND(MAX(0,AA250+AB250-AC250-AE250),2)</x:f>
        <x:v>0</x:v>
      </x:c>
      <x:c r="AG250" s="6" t="n">
        <x:f>SUM(H250,N250,T250,Z250,AF250)</x:f>
        <x:v>0</x:v>
      </x:c>
      <x:c r="AH250" s="6" t="n">
        <x:f>SUM(D250,J250,P250,V250,AB250)+AH249</x:f>
        <x:v>1220.8400000000001</x:v>
      </x:c>
      <x:c r="AI250" s="2"/>
    </x:row>
    <x:row r="251" ht="23" customHeight="1">
      <x:c r="B251" s="2" t="n">
        <x:f>243</x:f>
        <x:v>243</x:v>
      </x:c>
      <x:c r="C251" s="6" t="n">
        <x:f>H250</x:f>
        <x:v>0</x:v>
      </x:c>
      <x:c r="D251" s="6" t="n">
        <x:f>ROUND(C251*'Debt strategy'!$D$9/12,2)</x:f>
        <x:v>0</x:v>
      </x:c>
      <x:c r="E251" s="6" t="n">
        <x:f>MIN(C251+D251,'Debt strategy'!$E$9)</x:f>
        <x:v>0</x:v>
      </x:c>
      <x:c r="F251" s="27" t="n">
        <x:f>IF(C251+D251-E251&lt;=0,99,1+SUM(IF(AND(I251+J251-K251&gt;0,OR('Debt strategy'!$D$10&gt;'Debt strategy'!$D$9,AND('Debt strategy'!$D$10='Debt strategy'!$D$9,1&lt;0))),1,0),IF(AND(O251+P251-Q251&gt;0,OR('Debt strategy'!$D$11&gt;'Debt strategy'!$D$9,AND('Debt strategy'!$D$11='Debt strategy'!$D$9,2&lt;0))),1,0),IF(AND(U251+V251-W251&gt;0,OR('Debt strategy'!$D$12&gt;'Debt strategy'!$D$9,AND('Debt strategy'!$D$12='Debt strategy'!$D$9,3&lt;0))),1,0),IF(AND(AA251+AB251-AC251&gt;0,OR('Debt strategy'!$D$13&gt;'Debt strategy'!$D$9,AND('Debt strategy'!$D$13='Debt strategy'!$D$9,4&lt;0))),1,0)))</x:f>
        <x:v>99</x:v>
      </x:c>
      <x:c r="G251" s="6" t="n">
        <x:f>IF('Debt strategy'!$C$16&gt;0,0,MIN(C251+D251-E251,MAX(0,'Debt strategy'!$C$5-SUM(E251,K251,Q251,W251,AC251)-SUM(IF(L251&lt;F251,I251+J251-K251,0),IF(R251&lt;F251,O251+P251-Q251,0),IF(X251&lt;F251,U251+V251-W251,0),IF(AD251&lt;F251,AA251+AB251-AC251,0)))))</x:f>
        <x:v>0</x:v>
      </x:c>
      <x:c r="H251" s="6" t="n">
        <x:f>ROUND(MAX(0,C251+D251-E251-G251),2)</x:f>
        <x:v>0</x:v>
      </x:c>
      <x:c r="I251" s="6" t="n">
        <x:f>N250</x:f>
        <x:v>0</x:v>
      </x:c>
      <x:c r="J251" s="6" t="n">
        <x:f>ROUND(I251*'Debt strategy'!$D$10/12,2)</x:f>
        <x:v>0</x:v>
      </x:c>
      <x:c r="K251" s="6" t="n">
        <x:f>MIN(I251+J251,'Debt strategy'!$E$10)</x:f>
        <x:v>0</x:v>
      </x:c>
      <x:c r="L251" s="27" t="n">
        <x:f>IF(I251+J251-K251&lt;=0,99,1+SUM(IF(AND(C251+D251-E251&gt;0,OR('Debt strategy'!$D$9&gt;'Debt strategy'!$D$10,AND('Debt strategy'!$D$9='Debt strategy'!$D$10,0&lt;1))),1,0),IF(AND(O251+P251-Q251&gt;0,OR('Debt strategy'!$D$11&gt;'Debt strategy'!$D$10,AND('Debt strategy'!$D$11='Debt strategy'!$D$10,2&lt;1))),1,0),IF(AND(U251+V251-W251&gt;0,OR('Debt strategy'!$D$12&gt;'Debt strategy'!$D$10,AND('Debt strategy'!$D$12='Debt strategy'!$D$10,3&lt;1))),1,0),IF(AND(AA251+AB251-AC251&gt;0,OR('Debt strategy'!$D$13&gt;'Debt strategy'!$D$10,AND('Debt strategy'!$D$13='Debt strategy'!$D$10,4&lt;1))),1,0)))</x:f>
        <x:v>99</x:v>
      </x:c>
      <x:c r="M251" s="6" t="n">
        <x:f>IF('Debt strategy'!$C$16&gt;0,0,MIN(I251+J251-K251,MAX(0,'Debt strategy'!$C$5-SUM(E251,K251,Q251,W251,AC251)-SUM(IF(F251&lt;L251,C251+D251-E251,0),IF(R251&lt;L251,O251+P251-Q251,0),IF(X251&lt;L251,U251+V251-W251,0),IF(AD251&lt;L251,AA251+AB251-AC251,0)))))</x:f>
        <x:v>0</x:v>
      </x:c>
      <x:c r="N251" s="6" t="n">
        <x:f>ROUND(MAX(0,I251+J251-K251-M251),2)</x:f>
        <x:v>0</x:v>
      </x:c>
      <x:c r="O251" s="6" t="n">
        <x:f>T250</x:f>
        <x:v>0</x:v>
      </x:c>
      <x:c r="P251" s="6" t="n">
        <x:f>ROUND(O251*'Debt strategy'!$D$11/12,2)</x:f>
        <x:v>0</x:v>
      </x:c>
      <x:c r="Q251" s="6" t="n">
        <x:f>MIN(O251+P251,'Debt strategy'!$E$11)</x:f>
        <x:v>0</x:v>
      </x:c>
      <x:c r="R251" s="27" t="n">
        <x:f>IF(O251+P251-Q251&lt;=0,99,1+SUM(IF(AND(C251+D251-E251&gt;0,OR('Debt strategy'!$D$9&gt;'Debt strategy'!$D$11,AND('Debt strategy'!$D$9='Debt strategy'!$D$11,0&lt;2))),1,0),IF(AND(I251+J251-K251&gt;0,OR('Debt strategy'!$D$10&gt;'Debt strategy'!$D$11,AND('Debt strategy'!$D$10='Debt strategy'!$D$11,1&lt;2))),1,0),IF(AND(U251+V251-W251&gt;0,OR('Debt strategy'!$D$12&gt;'Debt strategy'!$D$11,AND('Debt strategy'!$D$12='Debt strategy'!$D$11,3&lt;2))),1,0),IF(AND(AA251+AB251-AC251&gt;0,OR('Debt strategy'!$D$13&gt;'Debt strategy'!$D$11,AND('Debt strategy'!$D$13='Debt strategy'!$D$11,4&lt;2))),1,0)))</x:f>
        <x:v>99</x:v>
      </x:c>
      <x:c r="S251" s="6" t="n">
        <x:f>IF('Debt strategy'!$C$16&gt;0,0,MIN(O251+P251-Q251,MAX(0,'Debt strategy'!$C$5-SUM(E251,K251,Q251,W251,AC251)-SUM(IF(F251&lt;R251,C251+D251-E251,0),IF(L251&lt;R251,I251+J251-K251,0),IF(X251&lt;R251,U251+V251-W251,0),IF(AD251&lt;R251,AA251+AB251-AC251,0)))))</x:f>
        <x:v>0</x:v>
      </x:c>
      <x:c r="T251" s="6" t="n">
        <x:f>ROUND(MAX(0,O251+P251-Q251-S251),2)</x:f>
        <x:v>0</x:v>
      </x:c>
      <x:c r="U251" s="6" t="n">
        <x:f>Z250</x:f>
        <x:v>0</x:v>
      </x:c>
      <x:c r="V251" s="6" t="n">
        <x:f>ROUND(U251*'Debt strategy'!$D$12/12,2)</x:f>
        <x:v>0</x:v>
      </x:c>
      <x:c r="W251" s="6" t="n">
        <x:f>MIN(U251+V251,'Debt strategy'!$E$12)</x:f>
        <x:v>0</x:v>
      </x:c>
      <x:c r="X251" s="27" t="n">
        <x:f>IF(U251+V251-W251&lt;=0,99,1+SUM(IF(AND(C251+D251-E251&gt;0,OR('Debt strategy'!$D$9&gt;'Debt strategy'!$D$12,AND('Debt strategy'!$D$9='Debt strategy'!$D$12,0&lt;3))),1,0),IF(AND(I251+J251-K251&gt;0,OR('Debt strategy'!$D$10&gt;'Debt strategy'!$D$12,AND('Debt strategy'!$D$10='Debt strategy'!$D$12,1&lt;3))),1,0),IF(AND(O251+P251-Q251&gt;0,OR('Debt strategy'!$D$11&gt;'Debt strategy'!$D$12,AND('Debt strategy'!$D$11='Debt strategy'!$D$12,2&lt;3))),1,0),IF(AND(AA251+AB251-AC251&gt;0,OR('Debt strategy'!$D$13&gt;'Debt strategy'!$D$12,AND('Debt strategy'!$D$13='Debt strategy'!$D$12,4&lt;3))),1,0)))</x:f>
        <x:v>99</x:v>
      </x:c>
      <x:c r="Y251" s="6" t="n">
        <x:f>IF('Debt strategy'!$C$16&gt;0,0,MIN(U251+V251-W251,MAX(0,'Debt strategy'!$C$5-SUM(E251,K251,Q251,W251,AC251)-SUM(IF(F251&lt;X251,C251+D251-E251,0),IF(L251&lt;X251,I251+J251-K251,0),IF(R251&lt;X251,O251+P251-Q251,0),IF(AD251&lt;X251,AA251+AB251-AC251,0)))))</x:f>
        <x:v>0</x:v>
      </x:c>
      <x:c r="Z251" s="6" t="n">
        <x:f>ROUND(MAX(0,U251+V251-W251-Y251),2)</x:f>
        <x:v>0</x:v>
      </x:c>
      <x:c r="AA251" s="6" t="n">
        <x:f>AF250</x:f>
        <x:v>0</x:v>
      </x:c>
      <x:c r="AB251" s="6" t="n">
        <x:f>ROUND(AA251*'Debt strategy'!$D$13/12,2)</x:f>
        <x:v>0</x:v>
      </x:c>
      <x:c r="AC251" s="6" t="n">
        <x:f>MIN(AA251+AB251,'Debt strategy'!$E$13)</x:f>
        <x:v>0</x:v>
      </x:c>
      <x:c r="AD251" s="27" t="n">
        <x:f>IF(AA251+AB251-AC251&lt;=0,99,1+SUM(IF(AND(C251+D251-E251&gt;0,OR('Debt strategy'!$D$9&gt;'Debt strategy'!$D$13,AND('Debt strategy'!$D$9='Debt strategy'!$D$13,0&lt;4))),1,0),IF(AND(I251+J251-K251&gt;0,OR('Debt strategy'!$D$10&gt;'Debt strategy'!$D$13,AND('Debt strategy'!$D$10='Debt strategy'!$D$13,1&lt;4))),1,0),IF(AND(O251+P251-Q251&gt;0,OR('Debt strategy'!$D$11&gt;'Debt strategy'!$D$13,AND('Debt strategy'!$D$11='Debt strategy'!$D$13,2&lt;4))),1,0),IF(AND(U251+V251-W251&gt;0,OR('Debt strategy'!$D$12&gt;'Debt strategy'!$D$13,AND('Debt strategy'!$D$12='Debt strategy'!$D$13,3&lt;4))),1,0)))</x:f>
        <x:v>99</x:v>
      </x:c>
      <x:c r="AE251" s="6" t="n">
        <x:f>IF('Debt strategy'!$C$16&gt;0,0,MIN(AA251+AB251-AC251,MAX(0,'Debt strategy'!$C$5-SUM(E251,K251,Q251,W251,AC251)-SUM(IF(F251&lt;AD251,C251+D251-E251,0),IF(L251&lt;AD251,I251+J251-K251,0),IF(R251&lt;AD251,O251+P251-Q251,0),IF(X251&lt;AD251,U251+V251-W251,0)))))</x:f>
        <x:v>0</x:v>
      </x:c>
      <x:c r="AF251" s="6" t="n">
        <x:f>ROUND(MAX(0,AA251+AB251-AC251-AE251),2)</x:f>
        <x:v>0</x:v>
      </x:c>
      <x:c r="AG251" s="6" t="n">
        <x:f>SUM(H251,N251,T251,Z251,AF251)</x:f>
        <x:v>0</x:v>
      </x:c>
      <x:c r="AH251" s="6" t="n">
        <x:f>SUM(D251,J251,P251,V251,AB251)+AH250</x:f>
        <x:v>1220.8400000000001</x:v>
      </x:c>
      <x:c r="AI251" s="2"/>
    </x:row>
    <x:row r="252" ht="23" customHeight="1">
      <x:c r="B252" s="2" t="n">
        <x:f>244</x:f>
        <x:v>244</x:v>
      </x:c>
      <x:c r="C252" s="6" t="n">
        <x:f>H251</x:f>
        <x:v>0</x:v>
      </x:c>
      <x:c r="D252" s="6" t="n">
        <x:f>ROUND(C252*'Debt strategy'!$D$9/12,2)</x:f>
        <x:v>0</x:v>
      </x:c>
      <x:c r="E252" s="6" t="n">
        <x:f>MIN(C252+D252,'Debt strategy'!$E$9)</x:f>
        <x:v>0</x:v>
      </x:c>
      <x:c r="F252" s="27" t="n">
        <x:f>IF(C252+D252-E252&lt;=0,99,1+SUM(IF(AND(I252+J252-K252&gt;0,OR('Debt strategy'!$D$10&gt;'Debt strategy'!$D$9,AND('Debt strategy'!$D$10='Debt strategy'!$D$9,1&lt;0))),1,0),IF(AND(O252+P252-Q252&gt;0,OR('Debt strategy'!$D$11&gt;'Debt strategy'!$D$9,AND('Debt strategy'!$D$11='Debt strategy'!$D$9,2&lt;0))),1,0),IF(AND(U252+V252-W252&gt;0,OR('Debt strategy'!$D$12&gt;'Debt strategy'!$D$9,AND('Debt strategy'!$D$12='Debt strategy'!$D$9,3&lt;0))),1,0),IF(AND(AA252+AB252-AC252&gt;0,OR('Debt strategy'!$D$13&gt;'Debt strategy'!$D$9,AND('Debt strategy'!$D$13='Debt strategy'!$D$9,4&lt;0))),1,0)))</x:f>
        <x:v>99</x:v>
      </x:c>
      <x:c r="G252" s="6" t="n">
        <x:f>IF('Debt strategy'!$C$16&gt;0,0,MIN(C252+D252-E252,MAX(0,'Debt strategy'!$C$5-SUM(E252,K252,Q252,W252,AC252)-SUM(IF(L252&lt;F252,I252+J252-K252,0),IF(R252&lt;F252,O252+P252-Q252,0),IF(X252&lt;F252,U252+V252-W252,0),IF(AD252&lt;F252,AA252+AB252-AC252,0)))))</x:f>
        <x:v>0</x:v>
      </x:c>
      <x:c r="H252" s="6" t="n">
        <x:f>ROUND(MAX(0,C252+D252-E252-G252),2)</x:f>
        <x:v>0</x:v>
      </x:c>
      <x:c r="I252" s="6" t="n">
        <x:f>N251</x:f>
        <x:v>0</x:v>
      </x:c>
      <x:c r="J252" s="6" t="n">
        <x:f>ROUND(I252*'Debt strategy'!$D$10/12,2)</x:f>
        <x:v>0</x:v>
      </x:c>
      <x:c r="K252" s="6" t="n">
        <x:f>MIN(I252+J252,'Debt strategy'!$E$10)</x:f>
        <x:v>0</x:v>
      </x:c>
      <x:c r="L252" s="27" t="n">
        <x:f>IF(I252+J252-K252&lt;=0,99,1+SUM(IF(AND(C252+D252-E252&gt;0,OR('Debt strategy'!$D$9&gt;'Debt strategy'!$D$10,AND('Debt strategy'!$D$9='Debt strategy'!$D$10,0&lt;1))),1,0),IF(AND(O252+P252-Q252&gt;0,OR('Debt strategy'!$D$11&gt;'Debt strategy'!$D$10,AND('Debt strategy'!$D$11='Debt strategy'!$D$10,2&lt;1))),1,0),IF(AND(U252+V252-W252&gt;0,OR('Debt strategy'!$D$12&gt;'Debt strategy'!$D$10,AND('Debt strategy'!$D$12='Debt strategy'!$D$10,3&lt;1))),1,0),IF(AND(AA252+AB252-AC252&gt;0,OR('Debt strategy'!$D$13&gt;'Debt strategy'!$D$10,AND('Debt strategy'!$D$13='Debt strategy'!$D$10,4&lt;1))),1,0)))</x:f>
        <x:v>99</x:v>
      </x:c>
      <x:c r="M252" s="6" t="n">
        <x:f>IF('Debt strategy'!$C$16&gt;0,0,MIN(I252+J252-K252,MAX(0,'Debt strategy'!$C$5-SUM(E252,K252,Q252,W252,AC252)-SUM(IF(F252&lt;L252,C252+D252-E252,0),IF(R252&lt;L252,O252+P252-Q252,0),IF(X252&lt;L252,U252+V252-W252,0),IF(AD252&lt;L252,AA252+AB252-AC252,0)))))</x:f>
        <x:v>0</x:v>
      </x:c>
      <x:c r="N252" s="6" t="n">
        <x:f>ROUND(MAX(0,I252+J252-K252-M252),2)</x:f>
        <x:v>0</x:v>
      </x:c>
      <x:c r="O252" s="6" t="n">
        <x:f>T251</x:f>
        <x:v>0</x:v>
      </x:c>
      <x:c r="P252" s="6" t="n">
        <x:f>ROUND(O252*'Debt strategy'!$D$11/12,2)</x:f>
        <x:v>0</x:v>
      </x:c>
      <x:c r="Q252" s="6" t="n">
        <x:f>MIN(O252+P252,'Debt strategy'!$E$11)</x:f>
        <x:v>0</x:v>
      </x:c>
      <x:c r="R252" s="27" t="n">
        <x:f>IF(O252+P252-Q252&lt;=0,99,1+SUM(IF(AND(C252+D252-E252&gt;0,OR('Debt strategy'!$D$9&gt;'Debt strategy'!$D$11,AND('Debt strategy'!$D$9='Debt strategy'!$D$11,0&lt;2))),1,0),IF(AND(I252+J252-K252&gt;0,OR('Debt strategy'!$D$10&gt;'Debt strategy'!$D$11,AND('Debt strategy'!$D$10='Debt strategy'!$D$11,1&lt;2))),1,0),IF(AND(U252+V252-W252&gt;0,OR('Debt strategy'!$D$12&gt;'Debt strategy'!$D$11,AND('Debt strategy'!$D$12='Debt strategy'!$D$11,3&lt;2))),1,0),IF(AND(AA252+AB252-AC252&gt;0,OR('Debt strategy'!$D$13&gt;'Debt strategy'!$D$11,AND('Debt strategy'!$D$13='Debt strategy'!$D$11,4&lt;2))),1,0)))</x:f>
        <x:v>99</x:v>
      </x:c>
      <x:c r="S252" s="6" t="n">
        <x:f>IF('Debt strategy'!$C$16&gt;0,0,MIN(O252+P252-Q252,MAX(0,'Debt strategy'!$C$5-SUM(E252,K252,Q252,W252,AC252)-SUM(IF(F252&lt;R252,C252+D252-E252,0),IF(L252&lt;R252,I252+J252-K252,0),IF(X252&lt;R252,U252+V252-W252,0),IF(AD252&lt;R252,AA252+AB252-AC252,0)))))</x:f>
        <x:v>0</x:v>
      </x:c>
      <x:c r="T252" s="6" t="n">
        <x:f>ROUND(MAX(0,O252+P252-Q252-S252),2)</x:f>
        <x:v>0</x:v>
      </x:c>
      <x:c r="U252" s="6" t="n">
        <x:f>Z251</x:f>
        <x:v>0</x:v>
      </x:c>
      <x:c r="V252" s="6" t="n">
        <x:f>ROUND(U252*'Debt strategy'!$D$12/12,2)</x:f>
        <x:v>0</x:v>
      </x:c>
      <x:c r="W252" s="6" t="n">
        <x:f>MIN(U252+V252,'Debt strategy'!$E$12)</x:f>
        <x:v>0</x:v>
      </x:c>
      <x:c r="X252" s="27" t="n">
        <x:f>IF(U252+V252-W252&lt;=0,99,1+SUM(IF(AND(C252+D252-E252&gt;0,OR('Debt strategy'!$D$9&gt;'Debt strategy'!$D$12,AND('Debt strategy'!$D$9='Debt strategy'!$D$12,0&lt;3))),1,0),IF(AND(I252+J252-K252&gt;0,OR('Debt strategy'!$D$10&gt;'Debt strategy'!$D$12,AND('Debt strategy'!$D$10='Debt strategy'!$D$12,1&lt;3))),1,0),IF(AND(O252+P252-Q252&gt;0,OR('Debt strategy'!$D$11&gt;'Debt strategy'!$D$12,AND('Debt strategy'!$D$11='Debt strategy'!$D$12,2&lt;3))),1,0),IF(AND(AA252+AB252-AC252&gt;0,OR('Debt strategy'!$D$13&gt;'Debt strategy'!$D$12,AND('Debt strategy'!$D$13='Debt strategy'!$D$12,4&lt;3))),1,0)))</x:f>
        <x:v>99</x:v>
      </x:c>
      <x:c r="Y252" s="6" t="n">
        <x:f>IF('Debt strategy'!$C$16&gt;0,0,MIN(U252+V252-W252,MAX(0,'Debt strategy'!$C$5-SUM(E252,K252,Q252,W252,AC252)-SUM(IF(F252&lt;X252,C252+D252-E252,0),IF(L252&lt;X252,I252+J252-K252,0),IF(R252&lt;X252,O252+P252-Q252,0),IF(AD252&lt;X252,AA252+AB252-AC252,0)))))</x:f>
        <x:v>0</x:v>
      </x:c>
      <x:c r="Z252" s="6" t="n">
        <x:f>ROUND(MAX(0,U252+V252-W252-Y252),2)</x:f>
        <x:v>0</x:v>
      </x:c>
      <x:c r="AA252" s="6" t="n">
        <x:f>AF251</x:f>
        <x:v>0</x:v>
      </x:c>
      <x:c r="AB252" s="6" t="n">
        <x:f>ROUND(AA252*'Debt strategy'!$D$13/12,2)</x:f>
        <x:v>0</x:v>
      </x:c>
      <x:c r="AC252" s="6" t="n">
        <x:f>MIN(AA252+AB252,'Debt strategy'!$E$13)</x:f>
        <x:v>0</x:v>
      </x:c>
      <x:c r="AD252" s="27" t="n">
        <x:f>IF(AA252+AB252-AC252&lt;=0,99,1+SUM(IF(AND(C252+D252-E252&gt;0,OR('Debt strategy'!$D$9&gt;'Debt strategy'!$D$13,AND('Debt strategy'!$D$9='Debt strategy'!$D$13,0&lt;4))),1,0),IF(AND(I252+J252-K252&gt;0,OR('Debt strategy'!$D$10&gt;'Debt strategy'!$D$13,AND('Debt strategy'!$D$10='Debt strategy'!$D$13,1&lt;4))),1,0),IF(AND(O252+P252-Q252&gt;0,OR('Debt strategy'!$D$11&gt;'Debt strategy'!$D$13,AND('Debt strategy'!$D$11='Debt strategy'!$D$13,2&lt;4))),1,0),IF(AND(U252+V252-W252&gt;0,OR('Debt strategy'!$D$12&gt;'Debt strategy'!$D$13,AND('Debt strategy'!$D$12='Debt strategy'!$D$13,3&lt;4))),1,0)))</x:f>
        <x:v>99</x:v>
      </x:c>
      <x:c r="AE252" s="6" t="n">
        <x:f>IF('Debt strategy'!$C$16&gt;0,0,MIN(AA252+AB252-AC252,MAX(0,'Debt strategy'!$C$5-SUM(E252,K252,Q252,W252,AC252)-SUM(IF(F252&lt;AD252,C252+D252-E252,0),IF(L252&lt;AD252,I252+J252-K252,0),IF(R252&lt;AD252,O252+P252-Q252,0),IF(X252&lt;AD252,U252+V252-W252,0)))))</x:f>
        <x:v>0</x:v>
      </x:c>
      <x:c r="AF252" s="6" t="n">
        <x:f>ROUND(MAX(0,AA252+AB252-AC252-AE252),2)</x:f>
        <x:v>0</x:v>
      </x:c>
      <x:c r="AG252" s="6" t="n">
        <x:f>SUM(H252,N252,T252,Z252,AF252)</x:f>
        <x:v>0</x:v>
      </x:c>
      <x:c r="AH252" s="6" t="n">
        <x:f>SUM(D252,J252,P252,V252,AB252)+AH251</x:f>
        <x:v>1220.8400000000001</x:v>
      </x:c>
      <x:c r="AI252" s="2"/>
    </x:row>
    <x:row r="253" ht="23" customHeight="1">
      <x:c r="B253" s="2" t="n">
        <x:f>245</x:f>
        <x:v>245</x:v>
      </x:c>
      <x:c r="C253" s="6" t="n">
        <x:f>H252</x:f>
        <x:v>0</x:v>
      </x:c>
      <x:c r="D253" s="6" t="n">
        <x:f>ROUND(C253*'Debt strategy'!$D$9/12,2)</x:f>
        <x:v>0</x:v>
      </x:c>
      <x:c r="E253" s="6" t="n">
        <x:f>MIN(C253+D253,'Debt strategy'!$E$9)</x:f>
        <x:v>0</x:v>
      </x:c>
      <x:c r="F253" s="27" t="n">
        <x:f>IF(C253+D253-E253&lt;=0,99,1+SUM(IF(AND(I253+J253-K253&gt;0,OR('Debt strategy'!$D$10&gt;'Debt strategy'!$D$9,AND('Debt strategy'!$D$10='Debt strategy'!$D$9,1&lt;0))),1,0),IF(AND(O253+P253-Q253&gt;0,OR('Debt strategy'!$D$11&gt;'Debt strategy'!$D$9,AND('Debt strategy'!$D$11='Debt strategy'!$D$9,2&lt;0))),1,0),IF(AND(U253+V253-W253&gt;0,OR('Debt strategy'!$D$12&gt;'Debt strategy'!$D$9,AND('Debt strategy'!$D$12='Debt strategy'!$D$9,3&lt;0))),1,0),IF(AND(AA253+AB253-AC253&gt;0,OR('Debt strategy'!$D$13&gt;'Debt strategy'!$D$9,AND('Debt strategy'!$D$13='Debt strategy'!$D$9,4&lt;0))),1,0)))</x:f>
        <x:v>99</x:v>
      </x:c>
      <x:c r="G253" s="6" t="n">
        <x:f>IF('Debt strategy'!$C$16&gt;0,0,MIN(C253+D253-E253,MAX(0,'Debt strategy'!$C$5-SUM(E253,K253,Q253,W253,AC253)-SUM(IF(L253&lt;F253,I253+J253-K253,0),IF(R253&lt;F253,O253+P253-Q253,0),IF(X253&lt;F253,U253+V253-W253,0),IF(AD253&lt;F253,AA253+AB253-AC253,0)))))</x:f>
        <x:v>0</x:v>
      </x:c>
      <x:c r="H253" s="6" t="n">
        <x:f>ROUND(MAX(0,C253+D253-E253-G253),2)</x:f>
        <x:v>0</x:v>
      </x:c>
      <x:c r="I253" s="6" t="n">
        <x:f>N252</x:f>
        <x:v>0</x:v>
      </x:c>
      <x:c r="J253" s="6" t="n">
        <x:f>ROUND(I253*'Debt strategy'!$D$10/12,2)</x:f>
        <x:v>0</x:v>
      </x:c>
      <x:c r="K253" s="6" t="n">
        <x:f>MIN(I253+J253,'Debt strategy'!$E$10)</x:f>
        <x:v>0</x:v>
      </x:c>
      <x:c r="L253" s="27" t="n">
        <x:f>IF(I253+J253-K253&lt;=0,99,1+SUM(IF(AND(C253+D253-E253&gt;0,OR('Debt strategy'!$D$9&gt;'Debt strategy'!$D$10,AND('Debt strategy'!$D$9='Debt strategy'!$D$10,0&lt;1))),1,0),IF(AND(O253+P253-Q253&gt;0,OR('Debt strategy'!$D$11&gt;'Debt strategy'!$D$10,AND('Debt strategy'!$D$11='Debt strategy'!$D$10,2&lt;1))),1,0),IF(AND(U253+V253-W253&gt;0,OR('Debt strategy'!$D$12&gt;'Debt strategy'!$D$10,AND('Debt strategy'!$D$12='Debt strategy'!$D$10,3&lt;1))),1,0),IF(AND(AA253+AB253-AC253&gt;0,OR('Debt strategy'!$D$13&gt;'Debt strategy'!$D$10,AND('Debt strategy'!$D$13='Debt strategy'!$D$10,4&lt;1))),1,0)))</x:f>
        <x:v>99</x:v>
      </x:c>
      <x:c r="M253" s="6" t="n">
        <x:f>IF('Debt strategy'!$C$16&gt;0,0,MIN(I253+J253-K253,MAX(0,'Debt strategy'!$C$5-SUM(E253,K253,Q253,W253,AC253)-SUM(IF(F253&lt;L253,C253+D253-E253,0),IF(R253&lt;L253,O253+P253-Q253,0),IF(X253&lt;L253,U253+V253-W253,0),IF(AD253&lt;L253,AA253+AB253-AC253,0)))))</x:f>
        <x:v>0</x:v>
      </x:c>
      <x:c r="N253" s="6" t="n">
        <x:f>ROUND(MAX(0,I253+J253-K253-M253),2)</x:f>
        <x:v>0</x:v>
      </x:c>
      <x:c r="O253" s="6" t="n">
        <x:f>T252</x:f>
        <x:v>0</x:v>
      </x:c>
      <x:c r="P253" s="6" t="n">
        <x:f>ROUND(O253*'Debt strategy'!$D$11/12,2)</x:f>
        <x:v>0</x:v>
      </x:c>
      <x:c r="Q253" s="6" t="n">
        <x:f>MIN(O253+P253,'Debt strategy'!$E$11)</x:f>
        <x:v>0</x:v>
      </x:c>
      <x:c r="R253" s="27" t="n">
        <x:f>IF(O253+P253-Q253&lt;=0,99,1+SUM(IF(AND(C253+D253-E253&gt;0,OR('Debt strategy'!$D$9&gt;'Debt strategy'!$D$11,AND('Debt strategy'!$D$9='Debt strategy'!$D$11,0&lt;2))),1,0),IF(AND(I253+J253-K253&gt;0,OR('Debt strategy'!$D$10&gt;'Debt strategy'!$D$11,AND('Debt strategy'!$D$10='Debt strategy'!$D$11,1&lt;2))),1,0),IF(AND(U253+V253-W253&gt;0,OR('Debt strategy'!$D$12&gt;'Debt strategy'!$D$11,AND('Debt strategy'!$D$12='Debt strategy'!$D$11,3&lt;2))),1,0),IF(AND(AA253+AB253-AC253&gt;0,OR('Debt strategy'!$D$13&gt;'Debt strategy'!$D$11,AND('Debt strategy'!$D$13='Debt strategy'!$D$11,4&lt;2))),1,0)))</x:f>
        <x:v>99</x:v>
      </x:c>
      <x:c r="S253" s="6" t="n">
        <x:f>IF('Debt strategy'!$C$16&gt;0,0,MIN(O253+P253-Q253,MAX(0,'Debt strategy'!$C$5-SUM(E253,K253,Q253,W253,AC253)-SUM(IF(F253&lt;R253,C253+D253-E253,0),IF(L253&lt;R253,I253+J253-K253,0),IF(X253&lt;R253,U253+V253-W253,0),IF(AD253&lt;R253,AA253+AB253-AC253,0)))))</x:f>
        <x:v>0</x:v>
      </x:c>
      <x:c r="T253" s="6" t="n">
        <x:f>ROUND(MAX(0,O253+P253-Q253-S253),2)</x:f>
        <x:v>0</x:v>
      </x:c>
      <x:c r="U253" s="6" t="n">
        <x:f>Z252</x:f>
        <x:v>0</x:v>
      </x:c>
      <x:c r="V253" s="6" t="n">
        <x:f>ROUND(U253*'Debt strategy'!$D$12/12,2)</x:f>
        <x:v>0</x:v>
      </x:c>
      <x:c r="W253" s="6" t="n">
        <x:f>MIN(U253+V253,'Debt strategy'!$E$12)</x:f>
        <x:v>0</x:v>
      </x:c>
      <x:c r="X253" s="27" t="n">
        <x:f>IF(U253+V253-W253&lt;=0,99,1+SUM(IF(AND(C253+D253-E253&gt;0,OR('Debt strategy'!$D$9&gt;'Debt strategy'!$D$12,AND('Debt strategy'!$D$9='Debt strategy'!$D$12,0&lt;3))),1,0),IF(AND(I253+J253-K253&gt;0,OR('Debt strategy'!$D$10&gt;'Debt strategy'!$D$12,AND('Debt strategy'!$D$10='Debt strategy'!$D$12,1&lt;3))),1,0),IF(AND(O253+P253-Q253&gt;0,OR('Debt strategy'!$D$11&gt;'Debt strategy'!$D$12,AND('Debt strategy'!$D$11='Debt strategy'!$D$12,2&lt;3))),1,0),IF(AND(AA253+AB253-AC253&gt;0,OR('Debt strategy'!$D$13&gt;'Debt strategy'!$D$12,AND('Debt strategy'!$D$13='Debt strategy'!$D$12,4&lt;3))),1,0)))</x:f>
        <x:v>99</x:v>
      </x:c>
      <x:c r="Y253" s="6" t="n">
        <x:f>IF('Debt strategy'!$C$16&gt;0,0,MIN(U253+V253-W253,MAX(0,'Debt strategy'!$C$5-SUM(E253,K253,Q253,W253,AC253)-SUM(IF(F253&lt;X253,C253+D253-E253,0),IF(L253&lt;X253,I253+J253-K253,0),IF(R253&lt;X253,O253+P253-Q253,0),IF(AD253&lt;X253,AA253+AB253-AC253,0)))))</x:f>
        <x:v>0</x:v>
      </x:c>
      <x:c r="Z253" s="6" t="n">
        <x:f>ROUND(MAX(0,U253+V253-W253-Y253),2)</x:f>
        <x:v>0</x:v>
      </x:c>
      <x:c r="AA253" s="6" t="n">
        <x:f>AF252</x:f>
        <x:v>0</x:v>
      </x:c>
      <x:c r="AB253" s="6" t="n">
        <x:f>ROUND(AA253*'Debt strategy'!$D$13/12,2)</x:f>
        <x:v>0</x:v>
      </x:c>
      <x:c r="AC253" s="6" t="n">
        <x:f>MIN(AA253+AB253,'Debt strategy'!$E$13)</x:f>
        <x:v>0</x:v>
      </x:c>
      <x:c r="AD253" s="27" t="n">
        <x:f>IF(AA253+AB253-AC253&lt;=0,99,1+SUM(IF(AND(C253+D253-E253&gt;0,OR('Debt strategy'!$D$9&gt;'Debt strategy'!$D$13,AND('Debt strategy'!$D$9='Debt strategy'!$D$13,0&lt;4))),1,0),IF(AND(I253+J253-K253&gt;0,OR('Debt strategy'!$D$10&gt;'Debt strategy'!$D$13,AND('Debt strategy'!$D$10='Debt strategy'!$D$13,1&lt;4))),1,0),IF(AND(O253+P253-Q253&gt;0,OR('Debt strategy'!$D$11&gt;'Debt strategy'!$D$13,AND('Debt strategy'!$D$11='Debt strategy'!$D$13,2&lt;4))),1,0),IF(AND(U253+V253-W253&gt;0,OR('Debt strategy'!$D$12&gt;'Debt strategy'!$D$13,AND('Debt strategy'!$D$12='Debt strategy'!$D$13,3&lt;4))),1,0)))</x:f>
        <x:v>99</x:v>
      </x:c>
      <x:c r="AE253" s="6" t="n">
        <x:f>IF('Debt strategy'!$C$16&gt;0,0,MIN(AA253+AB253-AC253,MAX(0,'Debt strategy'!$C$5-SUM(E253,K253,Q253,W253,AC253)-SUM(IF(F253&lt;AD253,C253+D253-E253,0),IF(L253&lt;AD253,I253+J253-K253,0),IF(R253&lt;AD253,O253+P253-Q253,0),IF(X253&lt;AD253,U253+V253-W253,0)))))</x:f>
        <x:v>0</x:v>
      </x:c>
      <x:c r="AF253" s="6" t="n">
        <x:f>ROUND(MAX(0,AA253+AB253-AC253-AE253),2)</x:f>
        <x:v>0</x:v>
      </x:c>
      <x:c r="AG253" s="6" t="n">
        <x:f>SUM(H253,N253,T253,Z253,AF253)</x:f>
        <x:v>0</x:v>
      </x:c>
      <x:c r="AH253" s="6" t="n">
        <x:f>SUM(D253,J253,P253,V253,AB253)+AH252</x:f>
        <x:v>1220.8400000000001</x:v>
      </x:c>
      <x:c r="AI253" s="2"/>
    </x:row>
    <x:row r="254" ht="23" customHeight="1">
      <x:c r="B254" s="2" t="n">
        <x:f>246</x:f>
        <x:v>246</x:v>
      </x:c>
      <x:c r="C254" s="6" t="n">
        <x:f>H253</x:f>
        <x:v>0</x:v>
      </x:c>
      <x:c r="D254" s="6" t="n">
        <x:f>ROUND(C254*'Debt strategy'!$D$9/12,2)</x:f>
        <x:v>0</x:v>
      </x:c>
      <x:c r="E254" s="6" t="n">
        <x:f>MIN(C254+D254,'Debt strategy'!$E$9)</x:f>
        <x:v>0</x:v>
      </x:c>
      <x:c r="F254" s="27" t="n">
        <x:f>IF(C254+D254-E254&lt;=0,99,1+SUM(IF(AND(I254+J254-K254&gt;0,OR('Debt strategy'!$D$10&gt;'Debt strategy'!$D$9,AND('Debt strategy'!$D$10='Debt strategy'!$D$9,1&lt;0))),1,0),IF(AND(O254+P254-Q254&gt;0,OR('Debt strategy'!$D$11&gt;'Debt strategy'!$D$9,AND('Debt strategy'!$D$11='Debt strategy'!$D$9,2&lt;0))),1,0),IF(AND(U254+V254-W254&gt;0,OR('Debt strategy'!$D$12&gt;'Debt strategy'!$D$9,AND('Debt strategy'!$D$12='Debt strategy'!$D$9,3&lt;0))),1,0),IF(AND(AA254+AB254-AC254&gt;0,OR('Debt strategy'!$D$13&gt;'Debt strategy'!$D$9,AND('Debt strategy'!$D$13='Debt strategy'!$D$9,4&lt;0))),1,0)))</x:f>
        <x:v>99</x:v>
      </x:c>
      <x:c r="G254" s="6" t="n">
        <x:f>IF('Debt strategy'!$C$16&gt;0,0,MIN(C254+D254-E254,MAX(0,'Debt strategy'!$C$5-SUM(E254,K254,Q254,W254,AC254)-SUM(IF(L254&lt;F254,I254+J254-K254,0),IF(R254&lt;F254,O254+P254-Q254,0),IF(X254&lt;F254,U254+V254-W254,0),IF(AD254&lt;F254,AA254+AB254-AC254,0)))))</x:f>
        <x:v>0</x:v>
      </x:c>
      <x:c r="H254" s="6" t="n">
        <x:f>ROUND(MAX(0,C254+D254-E254-G254),2)</x:f>
        <x:v>0</x:v>
      </x:c>
      <x:c r="I254" s="6" t="n">
        <x:f>N253</x:f>
        <x:v>0</x:v>
      </x:c>
      <x:c r="J254" s="6" t="n">
        <x:f>ROUND(I254*'Debt strategy'!$D$10/12,2)</x:f>
        <x:v>0</x:v>
      </x:c>
      <x:c r="K254" s="6" t="n">
        <x:f>MIN(I254+J254,'Debt strategy'!$E$10)</x:f>
        <x:v>0</x:v>
      </x:c>
      <x:c r="L254" s="27" t="n">
        <x:f>IF(I254+J254-K254&lt;=0,99,1+SUM(IF(AND(C254+D254-E254&gt;0,OR('Debt strategy'!$D$9&gt;'Debt strategy'!$D$10,AND('Debt strategy'!$D$9='Debt strategy'!$D$10,0&lt;1))),1,0),IF(AND(O254+P254-Q254&gt;0,OR('Debt strategy'!$D$11&gt;'Debt strategy'!$D$10,AND('Debt strategy'!$D$11='Debt strategy'!$D$10,2&lt;1))),1,0),IF(AND(U254+V254-W254&gt;0,OR('Debt strategy'!$D$12&gt;'Debt strategy'!$D$10,AND('Debt strategy'!$D$12='Debt strategy'!$D$10,3&lt;1))),1,0),IF(AND(AA254+AB254-AC254&gt;0,OR('Debt strategy'!$D$13&gt;'Debt strategy'!$D$10,AND('Debt strategy'!$D$13='Debt strategy'!$D$10,4&lt;1))),1,0)))</x:f>
        <x:v>99</x:v>
      </x:c>
      <x:c r="M254" s="6" t="n">
        <x:f>IF('Debt strategy'!$C$16&gt;0,0,MIN(I254+J254-K254,MAX(0,'Debt strategy'!$C$5-SUM(E254,K254,Q254,W254,AC254)-SUM(IF(F254&lt;L254,C254+D254-E254,0),IF(R254&lt;L254,O254+P254-Q254,0),IF(X254&lt;L254,U254+V254-W254,0),IF(AD254&lt;L254,AA254+AB254-AC254,0)))))</x:f>
        <x:v>0</x:v>
      </x:c>
      <x:c r="N254" s="6" t="n">
        <x:f>ROUND(MAX(0,I254+J254-K254-M254),2)</x:f>
        <x:v>0</x:v>
      </x:c>
      <x:c r="O254" s="6" t="n">
        <x:f>T253</x:f>
        <x:v>0</x:v>
      </x:c>
      <x:c r="P254" s="6" t="n">
        <x:f>ROUND(O254*'Debt strategy'!$D$11/12,2)</x:f>
        <x:v>0</x:v>
      </x:c>
      <x:c r="Q254" s="6" t="n">
        <x:f>MIN(O254+P254,'Debt strategy'!$E$11)</x:f>
        <x:v>0</x:v>
      </x:c>
      <x:c r="R254" s="27" t="n">
        <x:f>IF(O254+P254-Q254&lt;=0,99,1+SUM(IF(AND(C254+D254-E254&gt;0,OR('Debt strategy'!$D$9&gt;'Debt strategy'!$D$11,AND('Debt strategy'!$D$9='Debt strategy'!$D$11,0&lt;2))),1,0),IF(AND(I254+J254-K254&gt;0,OR('Debt strategy'!$D$10&gt;'Debt strategy'!$D$11,AND('Debt strategy'!$D$10='Debt strategy'!$D$11,1&lt;2))),1,0),IF(AND(U254+V254-W254&gt;0,OR('Debt strategy'!$D$12&gt;'Debt strategy'!$D$11,AND('Debt strategy'!$D$12='Debt strategy'!$D$11,3&lt;2))),1,0),IF(AND(AA254+AB254-AC254&gt;0,OR('Debt strategy'!$D$13&gt;'Debt strategy'!$D$11,AND('Debt strategy'!$D$13='Debt strategy'!$D$11,4&lt;2))),1,0)))</x:f>
        <x:v>99</x:v>
      </x:c>
      <x:c r="S254" s="6" t="n">
        <x:f>IF('Debt strategy'!$C$16&gt;0,0,MIN(O254+P254-Q254,MAX(0,'Debt strategy'!$C$5-SUM(E254,K254,Q254,W254,AC254)-SUM(IF(F254&lt;R254,C254+D254-E254,0),IF(L254&lt;R254,I254+J254-K254,0),IF(X254&lt;R254,U254+V254-W254,0),IF(AD254&lt;R254,AA254+AB254-AC254,0)))))</x:f>
        <x:v>0</x:v>
      </x:c>
      <x:c r="T254" s="6" t="n">
        <x:f>ROUND(MAX(0,O254+P254-Q254-S254),2)</x:f>
        <x:v>0</x:v>
      </x:c>
      <x:c r="U254" s="6" t="n">
        <x:f>Z253</x:f>
        <x:v>0</x:v>
      </x:c>
      <x:c r="V254" s="6" t="n">
        <x:f>ROUND(U254*'Debt strategy'!$D$12/12,2)</x:f>
        <x:v>0</x:v>
      </x:c>
      <x:c r="W254" s="6" t="n">
        <x:f>MIN(U254+V254,'Debt strategy'!$E$12)</x:f>
        <x:v>0</x:v>
      </x:c>
      <x:c r="X254" s="27" t="n">
        <x:f>IF(U254+V254-W254&lt;=0,99,1+SUM(IF(AND(C254+D254-E254&gt;0,OR('Debt strategy'!$D$9&gt;'Debt strategy'!$D$12,AND('Debt strategy'!$D$9='Debt strategy'!$D$12,0&lt;3))),1,0),IF(AND(I254+J254-K254&gt;0,OR('Debt strategy'!$D$10&gt;'Debt strategy'!$D$12,AND('Debt strategy'!$D$10='Debt strategy'!$D$12,1&lt;3))),1,0),IF(AND(O254+P254-Q254&gt;0,OR('Debt strategy'!$D$11&gt;'Debt strategy'!$D$12,AND('Debt strategy'!$D$11='Debt strategy'!$D$12,2&lt;3))),1,0),IF(AND(AA254+AB254-AC254&gt;0,OR('Debt strategy'!$D$13&gt;'Debt strategy'!$D$12,AND('Debt strategy'!$D$13='Debt strategy'!$D$12,4&lt;3))),1,0)))</x:f>
        <x:v>99</x:v>
      </x:c>
      <x:c r="Y254" s="6" t="n">
        <x:f>IF('Debt strategy'!$C$16&gt;0,0,MIN(U254+V254-W254,MAX(0,'Debt strategy'!$C$5-SUM(E254,K254,Q254,W254,AC254)-SUM(IF(F254&lt;X254,C254+D254-E254,0),IF(L254&lt;X254,I254+J254-K254,0),IF(R254&lt;X254,O254+P254-Q254,0),IF(AD254&lt;X254,AA254+AB254-AC254,0)))))</x:f>
        <x:v>0</x:v>
      </x:c>
      <x:c r="Z254" s="6" t="n">
        <x:f>ROUND(MAX(0,U254+V254-W254-Y254),2)</x:f>
        <x:v>0</x:v>
      </x:c>
      <x:c r="AA254" s="6" t="n">
        <x:f>AF253</x:f>
        <x:v>0</x:v>
      </x:c>
      <x:c r="AB254" s="6" t="n">
        <x:f>ROUND(AA254*'Debt strategy'!$D$13/12,2)</x:f>
        <x:v>0</x:v>
      </x:c>
      <x:c r="AC254" s="6" t="n">
        <x:f>MIN(AA254+AB254,'Debt strategy'!$E$13)</x:f>
        <x:v>0</x:v>
      </x:c>
      <x:c r="AD254" s="27" t="n">
        <x:f>IF(AA254+AB254-AC254&lt;=0,99,1+SUM(IF(AND(C254+D254-E254&gt;0,OR('Debt strategy'!$D$9&gt;'Debt strategy'!$D$13,AND('Debt strategy'!$D$9='Debt strategy'!$D$13,0&lt;4))),1,0),IF(AND(I254+J254-K254&gt;0,OR('Debt strategy'!$D$10&gt;'Debt strategy'!$D$13,AND('Debt strategy'!$D$10='Debt strategy'!$D$13,1&lt;4))),1,0),IF(AND(O254+P254-Q254&gt;0,OR('Debt strategy'!$D$11&gt;'Debt strategy'!$D$13,AND('Debt strategy'!$D$11='Debt strategy'!$D$13,2&lt;4))),1,0),IF(AND(U254+V254-W254&gt;0,OR('Debt strategy'!$D$12&gt;'Debt strategy'!$D$13,AND('Debt strategy'!$D$12='Debt strategy'!$D$13,3&lt;4))),1,0)))</x:f>
        <x:v>99</x:v>
      </x:c>
      <x:c r="AE254" s="6" t="n">
        <x:f>IF('Debt strategy'!$C$16&gt;0,0,MIN(AA254+AB254-AC254,MAX(0,'Debt strategy'!$C$5-SUM(E254,K254,Q254,W254,AC254)-SUM(IF(F254&lt;AD254,C254+D254-E254,0),IF(L254&lt;AD254,I254+J254-K254,0),IF(R254&lt;AD254,O254+P254-Q254,0),IF(X254&lt;AD254,U254+V254-W254,0)))))</x:f>
        <x:v>0</x:v>
      </x:c>
      <x:c r="AF254" s="6" t="n">
        <x:f>ROUND(MAX(0,AA254+AB254-AC254-AE254),2)</x:f>
        <x:v>0</x:v>
      </x:c>
      <x:c r="AG254" s="6" t="n">
        <x:f>SUM(H254,N254,T254,Z254,AF254)</x:f>
        <x:v>0</x:v>
      </x:c>
      <x:c r="AH254" s="6" t="n">
        <x:f>SUM(D254,J254,P254,V254,AB254)+AH253</x:f>
        <x:v>1220.8400000000001</x:v>
      </x:c>
      <x:c r="AI254" s="2"/>
    </x:row>
    <x:row r="255" ht="23" customHeight="1">
      <x:c r="B255" s="2" t="n">
        <x:f>247</x:f>
        <x:v>247</x:v>
      </x:c>
      <x:c r="C255" s="6" t="n">
        <x:f>H254</x:f>
        <x:v>0</x:v>
      </x:c>
      <x:c r="D255" s="6" t="n">
        <x:f>ROUND(C255*'Debt strategy'!$D$9/12,2)</x:f>
        <x:v>0</x:v>
      </x:c>
      <x:c r="E255" s="6" t="n">
        <x:f>MIN(C255+D255,'Debt strategy'!$E$9)</x:f>
        <x:v>0</x:v>
      </x:c>
      <x:c r="F255" s="27" t="n">
        <x:f>IF(C255+D255-E255&lt;=0,99,1+SUM(IF(AND(I255+J255-K255&gt;0,OR('Debt strategy'!$D$10&gt;'Debt strategy'!$D$9,AND('Debt strategy'!$D$10='Debt strategy'!$D$9,1&lt;0))),1,0),IF(AND(O255+P255-Q255&gt;0,OR('Debt strategy'!$D$11&gt;'Debt strategy'!$D$9,AND('Debt strategy'!$D$11='Debt strategy'!$D$9,2&lt;0))),1,0),IF(AND(U255+V255-W255&gt;0,OR('Debt strategy'!$D$12&gt;'Debt strategy'!$D$9,AND('Debt strategy'!$D$12='Debt strategy'!$D$9,3&lt;0))),1,0),IF(AND(AA255+AB255-AC255&gt;0,OR('Debt strategy'!$D$13&gt;'Debt strategy'!$D$9,AND('Debt strategy'!$D$13='Debt strategy'!$D$9,4&lt;0))),1,0)))</x:f>
        <x:v>99</x:v>
      </x:c>
      <x:c r="G255" s="6" t="n">
        <x:f>IF('Debt strategy'!$C$16&gt;0,0,MIN(C255+D255-E255,MAX(0,'Debt strategy'!$C$5-SUM(E255,K255,Q255,W255,AC255)-SUM(IF(L255&lt;F255,I255+J255-K255,0),IF(R255&lt;F255,O255+P255-Q255,0),IF(X255&lt;F255,U255+V255-W255,0),IF(AD255&lt;F255,AA255+AB255-AC255,0)))))</x:f>
        <x:v>0</x:v>
      </x:c>
      <x:c r="H255" s="6" t="n">
        <x:f>ROUND(MAX(0,C255+D255-E255-G255),2)</x:f>
        <x:v>0</x:v>
      </x:c>
      <x:c r="I255" s="6" t="n">
        <x:f>N254</x:f>
        <x:v>0</x:v>
      </x:c>
      <x:c r="J255" s="6" t="n">
        <x:f>ROUND(I255*'Debt strategy'!$D$10/12,2)</x:f>
        <x:v>0</x:v>
      </x:c>
      <x:c r="K255" s="6" t="n">
        <x:f>MIN(I255+J255,'Debt strategy'!$E$10)</x:f>
        <x:v>0</x:v>
      </x:c>
      <x:c r="L255" s="27" t="n">
        <x:f>IF(I255+J255-K255&lt;=0,99,1+SUM(IF(AND(C255+D255-E255&gt;0,OR('Debt strategy'!$D$9&gt;'Debt strategy'!$D$10,AND('Debt strategy'!$D$9='Debt strategy'!$D$10,0&lt;1))),1,0),IF(AND(O255+P255-Q255&gt;0,OR('Debt strategy'!$D$11&gt;'Debt strategy'!$D$10,AND('Debt strategy'!$D$11='Debt strategy'!$D$10,2&lt;1))),1,0),IF(AND(U255+V255-W255&gt;0,OR('Debt strategy'!$D$12&gt;'Debt strategy'!$D$10,AND('Debt strategy'!$D$12='Debt strategy'!$D$10,3&lt;1))),1,0),IF(AND(AA255+AB255-AC255&gt;0,OR('Debt strategy'!$D$13&gt;'Debt strategy'!$D$10,AND('Debt strategy'!$D$13='Debt strategy'!$D$10,4&lt;1))),1,0)))</x:f>
        <x:v>99</x:v>
      </x:c>
      <x:c r="M255" s="6" t="n">
        <x:f>IF('Debt strategy'!$C$16&gt;0,0,MIN(I255+J255-K255,MAX(0,'Debt strategy'!$C$5-SUM(E255,K255,Q255,W255,AC255)-SUM(IF(F255&lt;L255,C255+D255-E255,0),IF(R255&lt;L255,O255+P255-Q255,0),IF(X255&lt;L255,U255+V255-W255,0),IF(AD255&lt;L255,AA255+AB255-AC255,0)))))</x:f>
        <x:v>0</x:v>
      </x:c>
      <x:c r="N255" s="6" t="n">
        <x:f>ROUND(MAX(0,I255+J255-K255-M255),2)</x:f>
        <x:v>0</x:v>
      </x:c>
      <x:c r="O255" s="6" t="n">
        <x:f>T254</x:f>
        <x:v>0</x:v>
      </x:c>
      <x:c r="P255" s="6" t="n">
        <x:f>ROUND(O255*'Debt strategy'!$D$11/12,2)</x:f>
        <x:v>0</x:v>
      </x:c>
      <x:c r="Q255" s="6" t="n">
        <x:f>MIN(O255+P255,'Debt strategy'!$E$11)</x:f>
        <x:v>0</x:v>
      </x:c>
      <x:c r="R255" s="27" t="n">
        <x:f>IF(O255+P255-Q255&lt;=0,99,1+SUM(IF(AND(C255+D255-E255&gt;0,OR('Debt strategy'!$D$9&gt;'Debt strategy'!$D$11,AND('Debt strategy'!$D$9='Debt strategy'!$D$11,0&lt;2))),1,0),IF(AND(I255+J255-K255&gt;0,OR('Debt strategy'!$D$10&gt;'Debt strategy'!$D$11,AND('Debt strategy'!$D$10='Debt strategy'!$D$11,1&lt;2))),1,0),IF(AND(U255+V255-W255&gt;0,OR('Debt strategy'!$D$12&gt;'Debt strategy'!$D$11,AND('Debt strategy'!$D$12='Debt strategy'!$D$11,3&lt;2))),1,0),IF(AND(AA255+AB255-AC255&gt;0,OR('Debt strategy'!$D$13&gt;'Debt strategy'!$D$11,AND('Debt strategy'!$D$13='Debt strategy'!$D$11,4&lt;2))),1,0)))</x:f>
        <x:v>99</x:v>
      </x:c>
      <x:c r="S255" s="6" t="n">
        <x:f>IF('Debt strategy'!$C$16&gt;0,0,MIN(O255+P255-Q255,MAX(0,'Debt strategy'!$C$5-SUM(E255,K255,Q255,W255,AC255)-SUM(IF(F255&lt;R255,C255+D255-E255,0),IF(L255&lt;R255,I255+J255-K255,0),IF(X255&lt;R255,U255+V255-W255,0),IF(AD255&lt;R255,AA255+AB255-AC255,0)))))</x:f>
        <x:v>0</x:v>
      </x:c>
      <x:c r="T255" s="6" t="n">
        <x:f>ROUND(MAX(0,O255+P255-Q255-S255),2)</x:f>
        <x:v>0</x:v>
      </x:c>
      <x:c r="U255" s="6" t="n">
        <x:f>Z254</x:f>
        <x:v>0</x:v>
      </x:c>
      <x:c r="V255" s="6" t="n">
        <x:f>ROUND(U255*'Debt strategy'!$D$12/12,2)</x:f>
        <x:v>0</x:v>
      </x:c>
      <x:c r="W255" s="6" t="n">
        <x:f>MIN(U255+V255,'Debt strategy'!$E$12)</x:f>
        <x:v>0</x:v>
      </x:c>
      <x:c r="X255" s="27" t="n">
        <x:f>IF(U255+V255-W255&lt;=0,99,1+SUM(IF(AND(C255+D255-E255&gt;0,OR('Debt strategy'!$D$9&gt;'Debt strategy'!$D$12,AND('Debt strategy'!$D$9='Debt strategy'!$D$12,0&lt;3))),1,0),IF(AND(I255+J255-K255&gt;0,OR('Debt strategy'!$D$10&gt;'Debt strategy'!$D$12,AND('Debt strategy'!$D$10='Debt strategy'!$D$12,1&lt;3))),1,0),IF(AND(O255+P255-Q255&gt;0,OR('Debt strategy'!$D$11&gt;'Debt strategy'!$D$12,AND('Debt strategy'!$D$11='Debt strategy'!$D$12,2&lt;3))),1,0),IF(AND(AA255+AB255-AC255&gt;0,OR('Debt strategy'!$D$13&gt;'Debt strategy'!$D$12,AND('Debt strategy'!$D$13='Debt strategy'!$D$12,4&lt;3))),1,0)))</x:f>
        <x:v>99</x:v>
      </x:c>
      <x:c r="Y255" s="6" t="n">
        <x:f>IF('Debt strategy'!$C$16&gt;0,0,MIN(U255+V255-W255,MAX(0,'Debt strategy'!$C$5-SUM(E255,K255,Q255,W255,AC255)-SUM(IF(F255&lt;X255,C255+D255-E255,0),IF(L255&lt;X255,I255+J255-K255,0),IF(R255&lt;X255,O255+P255-Q255,0),IF(AD255&lt;X255,AA255+AB255-AC255,0)))))</x:f>
        <x:v>0</x:v>
      </x:c>
      <x:c r="Z255" s="6" t="n">
        <x:f>ROUND(MAX(0,U255+V255-W255-Y255),2)</x:f>
        <x:v>0</x:v>
      </x:c>
      <x:c r="AA255" s="6" t="n">
        <x:f>AF254</x:f>
        <x:v>0</x:v>
      </x:c>
      <x:c r="AB255" s="6" t="n">
        <x:f>ROUND(AA255*'Debt strategy'!$D$13/12,2)</x:f>
        <x:v>0</x:v>
      </x:c>
      <x:c r="AC255" s="6" t="n">
        <x:f>MIN(AA255+AB255,'Debt strategy'!$E$13)</x:f>
        <x:v>0</x:v>
      </x:c>
      <x:c r="AD255" s="27" t="n">
        <x:f>IF(AA255+AB255-AC255&lt;=0,99,1+SUM(IF(AND(C255+D255-E255&gt;0,OR('Debt strategy'!$D$9&gt;'Debt strategy'!$D$13,AND('Debt strategy'!$D$9='Debt strategy'!$D$13,0&lt;4))),1,0),IF(AND(I255+J255-K255&gt;0,OR('Debt strategy'!$D$10&gt;'Debt strategy'!$D$13,AND('Debt strategy'!$D$10='Debt strategy'!$D$13,1&lt;4))),1,0),IF(AND(O255+P255-Q255&gt;0,OR('Debt strategy'!$D$11&gt;'Debt strategy'!$D$13,AND('Debt strategy'!$D$11='Debt strategy'!$D$13,2&lt;4))),1,0),IF(AND(U255+V255-W255&gt;0,OR('Debt strategy'!$D$12&gt;'Debt strategy'!$D$13,AND('Debt strategy'!$D$12='Debt strategy'!$D$13,3&lt;4))),1,0)))</x:f>
        <x:v>99</x:v>
      </x:c>
      <x:c r="AE255" s="6" t="n">
        <x:f>IF('Debt strategy'!$C$16&gt;0,0,MIN(AA255+AB255-AC255,MAX(0,'Debt strategy'!$C$5-SUM(E255,K255,Q255,W255,AC255)-SUM(IF(F255&lt;AD255,C255+D255-E255,0),IF(L255&lt;AD255,I255+J255-K255,0),IF(R255&lt;AD255,O255+P255-Q255,0),IF(X255&lt;AD255,U255+V255-W255,0)))))</x:f>
        <x:v>0</x:v>
      </x:c>
      <x:c r="AF255" s="6" t="n">
        <x:f>ROUND(MAX(0,AA255+AB255-AC255-AE255),2)</x:f>
        <x:v>0</x:v>
      </x:c>
      <x:c r="AG255" s="6" t="n">
        <x:f>SUM(H255,N255,T255,Z255,AF255)</x:f>
        <x:v>0</x:v>
      </x:c>
      <x:c r="AH255" s="6" t="n">
        <x:f>SUM(D255,J255,P255,V255,AB255)+AH254</x:f>
        <x:v>1220.8400000000001</x:v>
      </x:c>
      <x:c r="AI255" s="2"/>
    </x:row>
    <x:row r="256" ht="23" customHeight="1">
      <x:c r="B256" s="2" t="n">
        <x:f>248</x:f>
        <x:v>248</x:v>
      </x:c>
      <x:c r="C256" s="6" t="n">
        <x:f>H255</x:f>
        <x:v>0</x:v>
      </x:c>
      <x:c r="D256" s="6" t="n">
        <x:f>ROUND(C256*'Debt strategy'!$D$9/12,2)</x:f>
        <x:v>0</x:v>
      </x:c>
      <x:c r="E256" s="6" t="n">
        <x:f>MIN(C256+D256,'Debt strategy'!$E$9)</x:f>
        <x:v>0</x:v>
      </x:c>
      <x:c r="F256" s="27" t="n">
        <x:f>IF(C256+D256-E256&lt;=0,99,1+SUM(IF(AND(I256+J256-K256&gt;0,OR('Debt strategy'!$D$10&gt;'Debt strategy'!$D$9,AND('Debt strategy'!$D$10='Debt strategy'!$D$9,1&lt;0))),1,0),IF(AND(O256+P256-Q256&gt;0,OR('Debt strategy'!$D$11&gt;'Debt strategy'!$D$9,AND('Debt strategy'!$D$11='Debt strategy'!$D$9,2&lt;0))),1,0),IF(AND(U256+V256-W256&gt;0,OR('Debt strategy'!$D$12&gt;'Debt strategy'!$D$9,AND('Debt strategy'!$D$12='Debt strategy'!$D$9,3&lt;0))),1,0),IF(AND(AA256+AB256-AC256&gt;0,OR('Debt strategy'!$D$13&gt;'Debt strategy'!$D$9,AND('Debt strategy'!$D$13='Debt strategy'!$D$9,4&lt;0))),1,0)))</x:f>
        <x:v>99</x:v>
      </x:c>
      <x:c r="G256" s="6" t="n">
        <x:f>IF('Debt strategy'!$C$16&gt;0,0,MIN(C256+D256-E256,MAX(0,'Debt strategy'!$C$5-SUM(E256,K256,Q256,W256,AC256)-SUM(IF(L256&lt;F256,I256+J256-K256,0),IF(R256&lt;F256,O256+P256-Q256,0),IF(X256&lt;F256,U256+V256-W256,0),IF(AD256&lt;F256,AA256+AB256-AC256,0)))))</x:f>
        <x:v>0</x:v>
      </x:c>
      <x:c r="H256" s="6" t="n">
        <x:f>ROUND(MAX(0,C256+D256-E256-G256),2)</x:f>
        <x:v>0</x:v>
      </x:c>
      <x:c r="I256" s="6" t="n">
        <x:f>N255</x:f>
        <x:v>0</x:v>
      </x:c>
      <x:c r="J256" s="6" t="n">
        <x:f>ROUND(I256*'Debt strategy'!$D$10/12,2)</x:f>
        <x:v>0</x:v>
      </x:c>
      <x:c r="K256" s="6" t="n">
        <x:f>MIN(I256+J256,'Debt strategy'!$E$10)</x:f>
        <x:v>0</x:v>
      </x:c>
      <x:c r="L256" s="27" t="n">
        <x:f>IF(I256+J256-K256&lt;=0,99,1+SUM(IF(AND(C256+D256-E256&gt;0,OR('Debt strategy'!$D$9&gt;'Debt strategy'!$D$10,AND('Debt strategy'!$D$9='Debt strategy'!$D$10,0&lt;1))),1,0),IF(AND(O256+P256-Q256&gt;0,OR('Debt strategy'!$D$11&gt;'Debt strategy'!$D$10,AND('Debt strategy'!$D$11='Debt strategy'!$D$10,2&lt;1))),1,0),IF(AND(U256+V256-W256&gt;0,OR('Debt strategy'!$D$12&gt;'Debt strategy'!$D$10,AND('Debt strategy'!$D$12='Debt strategy'!$D$10,3&lt;1))),1,0),IF(AND(AA256+AB256-AC256&gt;0,OR('Debt strategy'!$D$13&gt;'Debt strategy'!$D$10,AND('Debt strategy'!$D$13='Debt strategy'!$D$10,4&lt;1))),1,0)))</x:f>
        <x:v>99</x:v>
      </x:c>
      <x:c r="M256" s="6" t="n">
        <x:f>IF('Debt strategy'!$C$16&gt;0,0,MIN(I256+J256-K256,MAX(0,'Debt strategy'!$C$5-SUM(E256,K256,Q256,W256,AC256)-SUM(IF(F256&lt;L256,C256+D256-E256,0),IF(R256&lt;L256,O256+P256-Q256,0),IF(X256&lt;L256,U256+V256-W256,0),IF(AD256&lt;L256,AA256+AB256-AC256,0)))))</x:f>
        <x:v>0</x:v>
      </x:c>
      <x:c r="N256" s="6" t="n">
        <x:f>ROUND(MAX(0,I256+J256-K256-M256),2)</x:f>
        <x:v>0</x:v>
      </x:c>
      <x:c r="O256" s="6" t="n">
        <x:f>T255</x:f>
        <x:v>0</x:v>
      </x:c>
      <x:c r="P256" s="6" t="n">
        <x:f>ROUND(O256*'Debt strategy'!$D$11/12,2)</x:f>
        <x:v>0</x:v>
      </x:c>
      <x:c r="Q256" s="6" t="n">
        <x:f>MIN(O256+P256,'Debt strategy'!$E$11)</x:f>
        <x:v>0</x:v>
      </x:c>
      <x:c r="R256" s="27" t="n">
        <x:f>IF(O256+P256-Q256&lt;=0,99,1+SUM(IF(AND(C256+D256-E256&gt;0,OR('Debt strategy'!$D$9&gt;'Debt strategy'!$D$11,AND('Debt strategy'!$D$9='Debt strategy'!$D$11,0&lt;2))),1,0),IF(AND(I256+J256-K256&gt;0,OR('Debt strategy'!$D$10&gt;'Debt strategy'!$D$11,AND('Debt strategy'!$D$10='Debt strategy'!$D$11,1&lt;2))),1,0),IF(AND(U256+V256-W256&gt;0,OR('Debt strategy'!$D$12&gt;'Debt strategy'!$D$11,AND('Debt strategy'!$D$12='Debt strategy'!$D$11,3&lt;2))),1,0),IF(AND(AA256+AB256-AC256&gt;0,OR('Debt strategy'!$D$13&gt;'Debt strategy'!$D$11,AND('Debt strategy'!$D$13='Debt strategy'!$D$11,4&lt;2))),1,0)))</x:f>
        <x:v>99</x:v>
      </x:c>
      <x:c r="S256" s="6" t="n">
        <x:f>IF('Debt strategy'!$C$16&gt;0,0,MIN(O256+P256-Q256,MAX(0,'Debt strategy'!$C$5-SUM(E256,K256,Q256,W256,AC256)-SUM(IF(F256&lt;R256,C256+D256-E256,0),IF(L256&lt;R256,I256+J256-K256,0),IF(X256&lt;R256,U256+V256-W256,0),IF(AD256&lt;R256,AA256+AB256-AC256,0)))))</x:f>
        <x:v>0</x:v>
      </x:c>
      <x:c r="T256" s="6" t="n">
        <x:f>ROUND(MAX(0,O256+P256-Q256-S256),2)</x:f>
        <x:v>0</x:v>
      </x:c>
      <x:c r="U256" s="6" t="n">
        <x:f>Z255</x:f>
        <x:v>0</x:v>
      </x:c>
      <x:c r="V256" s="6" t="n">
        <x:f>ROUND(U256*'Debt strategy'!$D$12/12,2)</x:f>
        <x:v>0</x:v>
      </x:c>
      <x:c r="W256" s="6" t="n">
        <x:f>MIN(U256+V256,'Debt strategy'!$E$12)</x:f>
        <x:v>0</x:v>
      </x:c>
      <x:c r="X256" s="27" t="n">
        <x:f>IF(U256+V256-W256&lt;=0,99,1+SUM(IF(AND(C256+D256-E256&gt;0,OR('Debt strategy'!$D$9&gt;'Debt strategy'!$D$12,AND('Debt strategy'!$D$9='Debt strategy'!$D$12,0&lt;3))),1,0),IF(AND(I256+J256-K256&gt;0,OR('Debt strategy'!$D$10&gt;'Debt strategy'!$D$12,AND('Debt strategy'!$D$10='Debt strategy'!$D$12,1&lt;3))),1,0),IF(AND(O256+P256-Q256&gt;0,OR('Debt strategy'!$D$11&gt;'Debt strategy'!$D$12,AND('Debt strategy'!$D$11='Debt strategy'!$D$12,2&lt;3))),1,0),IF(AND(AA256+AB256-AC256&gt;0,OR('Debt strategy'!$D$13&gt;'Debt strategy'!$D$12,AND('Debt strategy'!$D$13='Debt strategy'!$D$12,4&lt;3))),1,0)))</x:f>
        <x:v>99</x:v>
      </x:c>
      <x:c r="Y256" s="6" t="n">
        <x:f>IF('Debt strategy'!$C$16&gt;0,0,MIN(U256+V256-W256,MAX(0,'Debt strategy'!$C$5-SUM(E256,K256,Q256,W256,AC256)-SUM(IF(F256&lt;X256,C256+D256-E256,0),IF(L256&lt;X256,I256+J256-K256,0),IF(R256&lt;X256,O256+P256-Q256,0),IF(AD256&lt;X256,AA256+AB256-AC256,0)))))</x:f>
        <x:v>0</x:v>
      </x:c>
      <x:c r="Z256" s="6" t="n">
        <x:f>ROUND(MAX(0,U256+V256-W256-Y256),2)</x:f>
        <x:v>0</x:v>
      </x:c>
      <x:c r="AA256" s="6" t="n">
        <x:f>AF255</x:f>
        <x:v>0</x:v>
      </x:c>
      <x:c r="AB256" s="6" t="n">
        <x:f>ROUND(AA256*'Debt strategy'!$D$13/12,2)</x:f>
        <x:v>0</x:v>
      </x:c>
      <x:c r="AC256" s="6" t="n">
        <x:f>MIN(AA256+AB256,'Debt strategy'!$E$13)</x:f>
        <x:v>0</x:v>
      </x:c>
      <x:c r="AD256" s="27" t="n">
        <x:f>IF(AA256+AB256-AC256&lt;=0,99,1+SUM(IF(AND(C256+D256-E256&gt;0,OR('Debt strategy'!$D$9&gt;'Debt strategy'!$D$13,AND('Debt strategy'!$D$9='Debt strategy'!$D$13,0&lt;4))),1,0),IF(AND(I256+J256-K256&gt;0,OR('Debt strategy'!$D$10&gt;'Debt strategy'!$D$13,AND('Debt strategy'!$D$10='Debt strategy'!$D$13,1&lt;4))),1,0),IF(AND(O256+P256-Q256&gt;0,OR('Debt strategy'!$D$11&gt;'Debt strategy'!$D$13,AND('Debt strategy'!$D$11='Debt strategy'!$D$13,2&lt;4))),1,0),IF(AND(U256+V256-W256&gt;0,OR('Debt strategy'!$D$12&gt;'Debt strategy'!$D$13,AND('Debt strategy'!$D$12='Debt strategy'!$D$13,3&lt;4))),1,0)))</x:f>
        <x:v>99</x:v>
      </x:c>
      <x:c r="AE256" s="6" t="n">
        <x:f>IF('Debt strategy'!$C$16&gt;0,0,MIN(AA256+AB256-AC256,MAX(0,'Debt strategy'!$C$5-SUM(E256,K256,Q256,W256,AC256)-SUM(IF(F256&lt;AD256,C256+D256-E256,0),IF(L256&lt;AD256,I256+J256-K256,0),IF(R256&lt;AD256,O256+P256-Q256,0),IF(X256&lt;AD256,U256+V256-W256,0)))))</x:f>
        <x:v>0</x:v>
      </x:c>
      <x:c r="AF256" s="6" t="n">
        <x:f>ROUND(MAX(0,AA256+AB256-AC256-AE256),2)</x:f>
        <x:v>0</x:v>
      </x:c>
      <x:c r="AG256" s="6" t="n">
        <x:f>SUM(H256,N256,T256,Z256,AF256)</x:f>
        <x:v>0</x:v>
      </x:c>
      <x:c r="AH256" s="6" t="n">
        <x:f>SUM(D256,J256,P256,V256,AB256)+AH255</x:f>
        <x:v>1220.8400000000001</x:v>
      </x:c>
      <x:c r="AI256" s="2"/>
    </x:row>
    <x:row r="257" ht="23" customHeight="1">
      <x:c r="B257" s="2" t="n">
        <x:f>249</x:f>
        <x:v>249</x:v>
      </x:c>
      <x:c r="C257" s="6" t="n">
        <x:f>H256</x:f>
        <x:v>0</x:v>
      </x:c>
      <x:c r="D257" s="6" t="n">
        <x:f>ROUND(C257*'Debt strategy'!$D$9/12,2)</x:f>
        <x:v>0</x:v>
      </x:c>
      <x:c r="E257" s="6" t="n">
        <x:f>MIN(C257+D257,'Debt strategy'!$E$9)</x:f>
        <x:v>0</x:v>
      </x:c>
      <x:c r="F257" s="27" t="n">
        <x:f>IF(C257+D257-E257&lt;=0,99,1+SUM(IF(AND(I257+J257-K257&gt;0,OR('Debt strategy'!$D$10&gt;'Debt strategy'!$D$9,AND('Debt strategy'!$D$10='Debt strategy'!$D$9,1&lt;0))),1,0),IF(AND(O257+P257-Q257&gt;0,OR('Debt strategy'!$D$11&gt;'Debt strategy'!$D$9,AND('Debt strategy'!$D$11='Debt strategy'!$D$9,2&lt;0))),1,0),IF(AND(U257+V257-W257&gt;0,OR('Debt strategy'!$D$12&gt;'Debt strategy'!$D$9,AND('Debt strategy'!$D$12='Debt strategy'!$D$9,3&lt;0))),1,0),IF(AND(AA257+AB257-AC257&gt;0,OR('Debt strategy'!$D$13&gt;'Debt strategy'!$D$9,AND('Debt strategy'!$D$13='Debt strategy'!$D$9,4&lt;0))),1,0)))</x:f>
        <x:v>99</x:v>
      </x:c>
      <x:c r="G257" s="6" t="n">
        <x:f>IF('Debt strategy'!$C$16&gt;0,0,MIN(C257+D257-E257,MAX(0,'Debt strategy'!$C$5-SUM(E257,K257,Q257,W257,AC257)-SUM(IF(L257&lt;F257,I257+J257-K257,0),IF(R257&lt;F257,O257+P257-Q257,0),IF(X257&lt;F257,U257+V257-W257,0),IF(AD257&lt;F257,AA257+AB257-AC257,0)))))</x:f>
        <x:v>0</x:v>
      </x:c>
      <x:c r="H257" s="6" t="n">
        <x:f>ROUND(MAX(0,C257+D257-E257-G257),2)</x:f>
        <x:v>0</x:v>
      </x:c>
      <x:c r="I257" s="6" t="n">
        <x:f>N256</x:f>
        <x:v>0</x:v>
      </x:c>
      <x:c r="J257" s="6" t="n">
        <x:f>ROUND(I257*'Debt strategy'!$D$10/12,2)</x:f>
        <x:v>0</x:v>
      </x:c>
      <x:c r="K257" s="6" t="n">
        <x:f>MIN(I257+J257,'Debt strategy'!$E$10)</x:f>
        <x:v>0</x:v>
      </x:c>
      <x:c r="L257" s="27" t="n">
        <x:f>IF(I257+J257-K257&lt;=0,99,1+SUM(IF(AND(C257+D257-E257&gt;0,OR('Debt strategy'!$D$9&gt;'Debt strategy'!$D$10,AND('Debt strategy'!$D$9='Debt strategy'!$D$10,0&lt;1))),1,0),IF(AND(O257+P257-Q257&gt;0,OR('Debt strategy'!$D$11&gt;'Debt strategy'!$D$10,AND('Debt strategy'!$D$11='Debt strategy'!$D$10,2&lt;1))),1,0),IF(AND(U257+V257-W257&gt;0,OR('Debt strategy'!$D$12&gt;'Debt strategy'!$D$10,AND('Debt strategy'!$D$12='Debt strategy'!$D$10,3&lt;1))),1,0),IF(AND(AA257+AB257-AC257&gt;0,OR('Debt strategy'!$D$13&gt;'Debt strategy'!$D$10,AND('Debt strategy'!$D$13='Debt strategy'!$D$10,4&lt;1))),1,0)))</x:f>
        <x:v>99</x:v>
      </x:c>
      <x:c r="M257" s="6" t="n">
        <x:f>IF('Debt strategy'!$C$16&gt;0,0,MIN(I257+J257-K257,MAX(0,'Debt strategy'!$C$5-SUM(E257,K257,Q257,W257,AC257)-SUM(IF(F257&lt;L257,C257+D257-E257,0),IF(R257&lt;L257,O257+P257-Q257,0),IF(X257&lt;L257,U257+V257-W257,0),IF(AD257&lt;L257,AA257+AB257-AC257,0)))))</x:f>
        <x:v>0</x:v>
      </x:c>
      <x:c r="N257" s="6" t="n">
        <x:f>ROUND(MAX(0,I257+J257-K257-M257),2)</x:f>
        <x:v>0</x:v>
      </x:c>
      <x:c r="O257" s="6" t="n">
        <x:f>T256</x:f>
        <x:v>0</x:v>
      </x:c>
      <x:c r="P257" s="6" t="n">
        <x:f>ROUND(O257*'Debt strategy'!$D$11/12,2)</x:f>
        <x:v>0</x:v>
      </x:c>
      <x:c r="Q257" s="6" t="n">
        <x:f>MIN(O257+P257,'Debt strategy'!$E$11)</x:f>
        <x:v>0</x:v>
      </x:c>
      <x:c r="R257" s="27" t="n">
        <x:f>IF(O257+P257-Q257&lt;=0,99,1+SUM(IF(AND(C257+D257-E257&gt;0,OR('Debt strategy'!$D$9&gt;'Debt strategy'!$D$11,AND('Debt strategy'!$D$9='Debt strategy'!$D$11,0&lt;2))),1,0),IF(AND(I257+J257-K257&gt;0,OR('Debt strategy'!$D$10&gt;'Debt strategy'!$D$11,AND('Debt strategy'!$D$10='Debt strategy'!$D$11,1&lt;2))),1,0),IF(AND(U257+V257-W257&gt;0,OR('Debt strategy'!$D$12&gt;'Debt strategy'!$D$11,AND('Debt strategy'!$D$12='Debt strategy'!$D$11,3&lt;2))),1,0),IF(AND(AA257+AB257-AC257&gt;0,OR('Debt strategy'!$D$13&gt;'Debt strategy'!$D$11,AND('Debt strategy'!$D$13='Debt strategy'!$D$11,4&lt;2))),1,0)))</x:f>
        <x:v>99</x:v>
      </x:c>
      <x:c r="S257" s="6" t="n">
        <x:f>IF('Debt strategy'!$C$16&gt;0,0,MIN(O257+P257-Q257,MAX(0,'Debt strategy'!$C$5-SUM(E257,K257,Q257,W257,AC257)-SUM(IF(F257&lt;R257,C257+D257-E257,0),IF(L257&lt;R257,I257+J257-K257,0),IF(X257&lt;R257,U257+V257-W257,0),IF(AD257&lt;R257,AA257+AB257-AC257,0)))))</x:f>
        <x:v>0</x:v>
      </x:c>
      <x:c r="T257" s="6" t="n">
        <x:f>ROUND(MAX(0,O257+P257-Q257-S257),2)</x:f>
        <x:v>0</x:v>
      </x:c>
      <x:c r="U257" s="6" t="n">
        <x:f>Z256</x:f>
        <x:v>0</x:v>
      </x:c>
      <x:c r="V257" s="6" t="n">
        <x:f>ROUND(U257*'Debt strategy'!$D$12/12,2)</x:f>
        <x:v>0</x:v>
      </x:c>
      <x:c r="W257" s="6" t="n">
        <x:f>MIN(U257+V257,'Debt strategy'!$E$12)</x:f>
        <x:v>0</x:v>
      </x:c>
      <x:c r="X257" s="27" t="n">
        <x:f>IF(U257+V257-W257&lt;=0,99,1+SUM(IF(AND(C257+D257-E257&gt;0,OR('Debt strategy'!$D$9&gt;'Debt strategy'!$D$12,AND('Debt strategy'!$D$9='Debt strategy'!$D$12,0&lt;3))),1,0),IF(AND(I257+J257-K257&gt;0,OR('Debt strategy'!$D$10&gt;'Debt strategy'!$D$12,AND('Debt strategy'!$D$10='Debt strategy'!$D$12,1&lt;3))),1,0),IF(AND(O257+P257-Q257&gt;0,OR('Debt strategy'!$D$11&gt;'Debt strategy'!$D$12,AND('Debt strategy'!$D$11='Debt strategy'!$D$12,2&lt;3))),1,0),IF(AND(AA257+AB257-AC257&gt;0,OR('Debt strategy'!$D$13&gt;'Debt strategy'!$D$12,AND('Debt strategy'!$D$13='Debt strategy'!$D$12,4&lt;3))),1,0)))</x:f>
        <x:v>99</x:v>
      </x:c>
      <x:c r="Y257" s="6" t="n">
        <x:f>IF('Debt strategy'!$C$16&gt;0,0,MIN(U257+V257-W257,MAX(0,'Debt strategy'!$C$5-SUM(E257,K257,Q257,W257,AC257)-SUM(IF(F257&lt;X257,C257+D257-E257,0),IF(L257&lt;X257,I257+J257-K257,0),IF(R257&lt;X257,O257+P257-Q257,0),IF(AD257&lt;X257,AA257+AB257-AC257,0)))))</x:f>
        <x:v>0</x:v>
      </x:c>
      <x:c r="Z257" s="6" t="n">
        <x:f>ROUND(MAX(0,U257+V257-W257-Y257),2)</x:f>
        <x:v>0</x:v>
      </x:c>
      <x:c r="AA257" s="6" t="n">
        <x:f>AF256</x:f>
        <x:v>0</x:v>
      </x:c>
      <x:c r="AB257" s="6" t="n">
        <x:f>ROUND(AA257*'Debt strategy'!$D$13/12,2)</x:f>
        <x:v>0</x:v>
      </x:c>
      <x:c r="AC257" s="6" t="n">
        <x:f>MIN(AA257+AB257,'Debt strategy'!$E$13)</x:f>
        <x:v>0</x:v>
      </x:c>
      <x:c r="AD257" s="27" t="n">
        <x:f>IF(AA257+AB257-AC257&lt;=0,99,1+SUM(IF(AND(C257+D257-E257&gt;0,OR('Debt strategy'!$D$9&gt;'Debt strategy'!$D$13,AND('Debt strategy'!$D$9='Debt strategy'!$D$13,0&lt;4))),1,0),IF(AND(I257+J257-K257&gt;0,OR('Debt strategy'!$D$10&gt;'Debt strategy'!$D$13,AND('Debt strategy'!$D$10='Debt strategy'!$D$13,1&lt;4))),1,0),IF(AND(O257+P257-Q257&gt;0,OR('Debt strategy'!$D$11&gt;'Debt strategy'!$D$13,AND('Debt strategy'!$D$11='Debt strategy'!$D$13,2&lt;4))),1,0),IF(AND(U257+V257-W257&gt;0,OR('Debt strategy'!$D$12&gt;'Debt strategy'!$D$13,AND('Debt strategy'!$D$12='Debt strategy'!$D$13,3&lt;4))),1,0)))</x:f>
        <x:v>99</x:v>
      </x:c>
      <x:c r="AE257" s="6" t="n">
        <x:f>IF('Debt strategy'!$C$16&gt;0,0,MIN(AA257+AB257-AC257,MAX(0,'Debt strategy'!$C$5-SUM(E257,K257,Q257,W257,AC257)-SUM(IF(F257&lt;AD257,C257+D257-E257,0),IF(L257&lt;AD257,I257+J257-K257,0),IF(R257&lt;AD257,O257+P257-Q257,0),IF(X257&lt;AD257,U257+V257-W257,0)))))</x:f>
        <x:v>0</x:v>
      </x:c>
      <x:c r="AF257" s="6" t="n">
        <x:f>ROUND(MAX(0,AA257+AB257-AC257-AE257),2)</x:f>
        <x:v>0</x:v>
      </x:c>
      <x:c r="AG257" s="6" t="n">
        <x:f>SUM(H257,N257,T257,Z257,AF257)</x:f>
        <x:v>0</x:v>
      </x:c>
      <x:c r="AH257" s="6" t="n">
        <x:f>SUM(D257,J257,P257,V257,AB257)+AH256</x:f>
        <x:v>1220.8400000000001</x:v>
      </x:c>
      <x:c r="AI257" s="2"/>
    </x:row>
    <x:row r="258" ht="23" customHeight="1">
      <x:c r="B258" s="2" t="n">
        <x:f>250</x:f>
        <x:v>250</x:v>
      </x:c>
      <x:c r="C258" s="6" t="n">
        <x:f>H257</x:f>
        <x:v>0</x:v>
      </x:c>
      <x:c r="D258" s="6" t="n">
        <x:f>ROUND(C258*'Debt strategy'!$D$9/12,2)</x:f>
        <x:v>0</x:v>
      </x:c>
      <x:c r="E258" s="6" t="n">
        <x:f>MIN(C258+D258,'Debt strategy'!$E$9)</x:f>
        <x:v>0</x:v>
      </x:c>
      <x:c r="F258" s="27" t="n">
        <x:f>IF(C258+D258-E258&lt;=0,99,1+SUM(IF(AND(I258+J258-K258&gt;0,OR('Debt strategy'!$D$10&gt;'Debt strategy'!$D$9,AND('Debt strategy'!$D$10='Debt strategy'!$D$9,1&lt;0))),1,0),IF(AND(O258+P258-Q258&gt;0,OR('Debt strategy'!$D$11&gt;'Debt strategy'!$D$9,AND('Debt strategy'!$D$11='Debt strategy'!$D$9,2&lt;0))),1,0),IF(AND(U258+V258-W258&gt;0,OR('Debt strategy'!$D$12&gt;'Debt strategy'!$D$9,AND('Debt strategy'!$D$12='Debt strategy'!$D$9,3&lt;0))),1,0),IF(AND(AA258+AB258-AC258&gt;0,OR('Debt strategy'!$D$13&gt;'Debt strategy'!$D$9,AND('Debt strategy'!$D$13='Debt strategy'!$D$9,4&lt;0))),1,0)))</x:f>
        <x:v>99</x:v>
      </x:c>
      <x:c r="G258" s="6" t="n">
        <x:f>IF('Debt strategy'!$C$16&gt;0,0,MIN(C258+D258-E258,MAX(0,'Debt strategy'!$C$5-SUM(E258,K258,Q258,W258,AC258)-SUM(IF(L258&lt;F258,I258+J258-K258,0),IF(R258&lt;F258,O258+P258-Q258,0),IF(X258&lt;F258,U258+V258-W258,0),IF(AD258&lt;F258,AA258+AB258-AC258,0)))))</x:f>
        <x:v>0</x:v>
      </x:c>
      <x:c r="H258" s="6" t="n">
        <x:f>ROUND(MAX(0,C258+D258-E258-G258),2)</x:f>
        <x:v>0</x:v>
      </x:c>
      <x:c r="I258" s="6" t="n">
        <x:f>N257</x:f>
        <x:v>0</x:v>
      </x:c>
      <x:c r="J258" s="6" t="n">
        <x:f>ROUND(I258*'Debt strategy'!$D$10/12,2)</x:f>
        <x:v>0</x:v>
      </x:c>
      <x:c r="K258" s="6" t="n">
        <x:f>MIN(I258+J258,'Debt strategy'!$E$10)</x:f>
        <x:v>0</x:v>
      </x:c>
      <x:c r="L258" s="27" t="n">
        <x:f>IF(I258+J258-K258&lt;=0,99,1+SUM(IF(AND(C258+D258-E258&gt;0,OR('Debt strategy'!$D$9&gt;'Debt strategy'!$D$10,AND('Debt strategy'!$D$9='Debt strategy'!$D$10,0&lt;1))),1,0),IF(AND(O258+P258-Q258&gt;0,OR('Debt strategy'!$D$11&gt;'Debt strategy'!$D$10,AND('Debt strategy'!$D$11='Debt strategy'!$D$10,2&lt;1))),1,0),IF(AND(U258+V258-W258&gt;0,OR('Debt strategy'!$D$12&gt;'Debt strategy'!$D$10,AND('Debt strategy'!$D$12='Debt strategy'!$D$10,3&lt;1))),1,0),IF(AND(AA258+AB258-AC258&gt;0,OR('Debt strategy'!$D$13&gt;'Debt strategy'!$D$10,AND('Debt strategy'!$D$13='Debt strategy'!$D$10,4&lt;1))),1,0)))</x:f>
        <x:v>99</x:v>
      </x:c>
      <x:c r="M258" s="6" t="n">
        <x:f>IF('Debt strategy'!$C$16&gt;0,0,MIN(I258+J258-K258,MAX(0,'Debt strategy'!$C$5-SUM(E258,K258,Q258,W258,AC258)-SUM(IF(F258&lt;L258,C258+D258-E258,0),IF(R258&lt;L258,O258+P258-Q258,0),IF(X258&lt;L258,U258+V258-W258,0),IF(AD258&lt;L258,AA258+AB258-AC258,0)))))</x:f>
        <x:v>0</x:v>
      </x:c>
      <x:c r="N258" s="6" t="n">
        <x:f>ROUND(MAX(0,I258+J258-K258-M258),2)</x:f>
        <x:v>0</x:v>
      </x:c>
      <x:c r="O258" s="6" t="n">
        <x:f>T257</x:f>
        <x:v>0</x:v>
      </x:c>
      <x:c r="P258" s="6" t="n">
        <x:f>ROUND(O258*'Debt strategy'!$D$11/12,2)</x:f>
        <x:v>0</x:v>
      </x:c>
      <x:c r="Q258" s="6" t="n">
        <x:f>MIN(O258+P258,'Debt strategy'!$E$11)</x:f>
        <x:v>0</x:v>
      </x:c>
      <x:c r="R258" s="27" t="n">
        <x:f>IF(O258+P258-Q258&lt;=0,99,1+SUM(IF(AND(C258+D258-E258&gt;0,OR('Debt strategy'!$D$9&gt;'Debt strategy'!$D$11,AND('Debt strategy'!$D$9='Debt strategy'!$D$11,0&lt;2))),1,0),IF(AND(I258+J258-K258&gt;0,OR('Debt strategy'!$D$10&gt;'Debt strategy'!$D$11,AND('Debt strategy'!$D$10='Debt strategy'!$D$11,1&lt;2))),1,0),IF(AND(U258+V258-W258&gt;0,OR('Debt strategy'!$D$12&gt;'Debt strategy'!$D$11,AND('Debt strategy'!$D$12='Debt strategy'!$D$11,3&lt;2))),1,0),IF(AND(AA258+AB258-AC258&gt;0,OR('Debt strategy'!$D$13&gt;'Debt strategy'!$D$11,AND('Debt strategy'!$D$13='Debt strategy'!$D$11,4&lt;2))),1,0)))</x:f>
        <x:v>99</x:v>
      </x:c>
      <x:c r="S258" s="6" t="n">
        <x:f>IF('Debt strategy'!$C$16&gt;0,0,MIN(O258+P258-Q258,MAX(0,'Debt strategy'!$C$5-SUM(E258,K258,Q258,W258,AC258)-SUM(IF(F258&lt;R258,C258+D258-E258,0),IF(L258&lt;R258,I258+J258-K258,0),IF(X258&lt;R258,U258+V258-W258,0),IF(AD258&lt;R258,AA258+AB258-AC258,0)))))</x:f>
        <x:v>0</x:v>
      </x:c>
      <x:c r="T258" s="6" t="n">
        <x:f>ROUND(MAX(0,O258+P258-Q258-S258),2)</x:f>
        <x:v>0</x:v>
      </x:c>
      <x:c r="U258" s="6" t="n">
        <x:f>Z257</x:f>
        <x:v>0</x:v>
      </x:c>
      <x:c r="V258" s="6" t="n">
        <x:f>ROUND(U258*'Debt strategy'!$D$12/12,2)</x:f>
        <x:v>0</x:v>
      </x:c>
      <x:c r="W258" s="6" t="n">
        <x:f>MIN(U258+V258,'Debt strategy'!$E$12)</x:f>
        <x:v>0</x:v>
      </x:c>
      <x:c r="X258" s="27" t="n">
        <x:f>IF(U258+V258-W258&lt;=0,99,1+SUM(IF(AND(C258+D258-E258&gt;0,OR('Debt strategy'!$D$9&gt;'Debt strategy'!$D$12,AND('Debt strategy'!$D$9='Debt strategy'!$D$12,0&lt;3))),1,0),IF(AND(I258+J258-K258&gt;0,OR('Debt strategy'!$D$10&gt;'Debt strategy'!$D$12,AND('Debt strategy'!$D$10='Debt strategy'!$D$12,1&lt;3))),1,0),IF(AND(O258+P258-Q258&gt;0,OR('Debt strategy'!$D$11&gt;'Debt strategy'!$D$12,AND('Debt strategy'!$D$11='Debt strategy'!$D$12,2&lt;3))),1,0),IF(AND(AA258+AB258-AC258&gt;0,OR('Debt strategy'!$D$13&gt;'Debt strategy'!$D$12,AND('Debt strategy'!$D$13='Debt strategy'!$D$12,4&lt;3))),1,0)))</x:f>
        <x:v>99</x:v>
      </x:c>
      <x:c r="Y258" s="6" t="n">
        <x:f>IF('Debt strategy'!$C$16&gt;0,0,MIN(U258+V258-W258,MAX(0,'Debt strategy'!$C$5-SUM(E258,K258,Q258,W258,AC258)-SUM(IF(F258&lt;X258,C258+D258-E258,0),IF(L258&lt;X258,I258+J258-K258,0),IF(R258&lt;X258,O258+P258-Q258,0),IF(AD258&lt;X258,AA258+AB258-AC258,0)))))</x:f>
        <x:v>0</x:v>
      </x:c>
      <x:c r="Z258" s="6" t="n">
        <x:f>ROUND(MAX(0,U258+V258-W258-Y258),2)</x:f>
        <x:v>0</x:v>
      </x:c>
      <x:c r="AA258" s="6" t="n">
        <x:f>AF257</x:f>
        <x:v>0</x:v>
      </x:c>
      <x:c r="AB258" s="6" t="n">
        <x:f>ROUND(AA258*'Debt strategy'!$D$13/12,2)</x:f>
        <x:v>0</x:v>
      </x:c>
      <x:c r="AC258" s="6" t="n">
        <x:f>MIN(AA258+AB258,'Debt strategy'!$E$13)</x:f>
        <x:v>0</x:v>
      </x:c>
      <x:c r="AD258" s="27" t="n">
        <x:f>IF(AA258+AB258-AC258&lt;=0,99,1+SUM(IF(AND(C258+D258-E258&gt;0,OR('Debt strategy'!$D$9&gt;'Debt strategy'!$D$13,AND('Debt strategy'!$D$9='Debt strategy'!$D$13,0&lt;4))),1,0),IF(AND(I258+J258-K258&gt;0,OR('Debt strategy'!$D$10&gt;'Debt strategy'!$D$13,AND('Debt strategy'!$D$10='Debt strategy'!$D$13,1&lt;4))),1,0),IF(AND(O258+P258-Q258&gt;0,OR('Debt strategy'!$D$11&gt;'Debt strategy'!$D$13,AND('Debt strategy'!$D$11='Debt strategy'!$D$13,2&lt;4))),1,0),IF(AND(U258+V258-W258&gt;0,OR('Debt strategy'!$D$12&gt;'Debt strategy'!$D$13,AND('Debt strategy'!$D$12='Debt strategy'!$D$13,3&lt;4))),1,0)))</x:f>
        <x:v>99</x:v>
      </x:c>
      <x:c r="AE258" s="6" t="n">
        <x:f>IF('Debt strategy'!$C$16&gt;0,0,MIN(AA258+AB258-AC258,MAX(0,'Debt strategy'!$C$5-SUM(E258,K258,Q258,W258,AC258)-SUM(IF(F258&lt;AD258,C258+D258-E258,0),IF(L258&lt;AD258,I258+J258-K258,0),IF(R258&lt;AD258,O258+P258-Q258,0),IF(X258&lt;AD258,U258+V258-W258,0)))))</x:f>
        <x:v>0</x:v>
      </x:c>
      <x:c r="AF258" s="6" t="n">
        <x:f>ROUND(MAX(0,AA258+AB258-AC258-AE258),2)</x:f>
        <x:v>0</x:v>
      </x:c>
      <x:c r="AG258" s="6" t="n">
        <x:f>SUM(H258,N258,T258,Z258,AF258)</x:f>
        <x:v>0</x:v>
      </x:c>
      <x:c r="AH258" s="6" t="n">
        <x:f>SUM(D258,J258,P258,V258,AB258)+AH257</x:f>
        <x:v>1220.8400000000001</x:v>
      </x:c>
      <x:c r="AI258" s="2"/>
    </x:row>
    <x:row r="259" ht="23" customHeight="1">
      <x:c r="B259" s="2" t="n">
        <x:f>251</x:f>
        <x:v>251</x:v>
      </x:c>
      <x:c r="C259" s="6" t="n">
        <x:f>H258</x:f>
        <x:v>0</x:v>
      </x:c>
      <x:c r="D259" s="6" t="n">
        <x:f>ROUND(C259*'Debt strategy'!$D$9/12,2)</x:f>
        <x:v>0</x:v>
      </x:c>
      <x:c r="E259" s="6" t="n">
        <x:f>MIN(C259+D259,'Debt strategy'!$E$9)</x:f>
        <x:v>0</x:v>
      </x:c>
      <x:c r="F259" s="27" t="n">
        <x:f>IF(C259+D259-E259&lt;=0,99,1+SUM(IF(AND(I259+J259-K259&gt;0,OR('Debt strategy'!$D$10&gt;'Debt strategy'!$D$9,AND('Debt strategy'!$D$10='Debt strategy'!$D$9,1&lt;0))),1,0),IF(AND(O259+P259-Q259&gt;0,OR('Debt strategy'!$D$11&gt;'Debt strategy'!$D$9,AND('Debt strategy'!$D$11='Debt strategy'!$D$9,2&lt;0))),1,0),IF(AND(U259+V259-W259&gt;0,OR('Debt strategy'!$D$12&gt;'Debt strategy'!$D$9,AND('Debt strategy'!$D$12='Debt strategy'!$D$9,3&lt;0))),1,0),IF(AND(AA259+AB259-AC259&gt;0,OR('Debt strategy'!$D$13&gt;'Debt strategy'!$D$9,AND('Debt strategy'!$D$13='Debt strategy'!$D$9,4&lt;0))),1,0)))</x:f>
        <x:v>99</x:v>
      </x:c>
      <x:c r="G259" s="6" t="n">
        <x:f>IF('Debt strategy'!$C$16&gt;0,0,MIN(C259+D259-E259,MAX(0,'Debt strategy'!$C$5-SUM(E259,K259,Q259,W259,AC259)-SUM(IF(L259&lt;F259,I259+J259-K259,0),IF(R259&lt;F259,O259+P259-Q259,0),IF(X259&lt;F259,U259+V259-W259,0),IF(AD259&lt;F259,AA259+AB259-AC259,0)))))</x:f>
        <x:v>0</x:v>
      </x:c>
      <x:c r="H259" s="6" t="n">
        <x:f>ROUND(MAX(0,C259+D259-E259-G259),2)</x:f>
        <x:v>0</x:v>
      </x:c>
      <x:c r="I259" s="6" t="n">
        <x:f>N258</x:f>
        <x:v>0</x:v>
      </x:c>
      <x:c r="J259" s="6" t="n">
        <x:f>ROUND(I259*'Debt strategy'!$D$10/12,2)</x:f>
        <x:v>0</x:v>
      </x:c>
      <x:c r="K259" s="6" t="n">
        <x:f>MIN(I259+J259,'Debt strategy'!$E$10)</x:f>
        <x:v>0</x:v>
      </x:c>
      <x:c r="L259" s="27" t="n">
        <x:f>IF(I259+J259-K259&lt;=0,99,1+SUM(IF(AND(C259+D259-E259&gt;0,OR('Debt strategy'!$D$9&gt;'Debt strategy'!$D$10,AND('Debt strategy'!$D$9='Debt strategy'!$D$10,0&lt;1))),1,0),IF(AND(O259+P259-Q259&gt;0,OR('Debt strategy'!$D$11&gt;'Debt strategy'!$D$10,AND('Debt strategy'!$D$11='Debt strategy'!$D$10,2&lt;1))),1,0),IF(AND(U259+V259-W259&gt;0,OR('Debt strategy'!$D$12&gt;'Debt strategy'!$D$10,AND('Debt strategy'!$D$12='Debt strategy'!$D$10,3&lt;1))),1,0),IF(AND(AA259+AB259-AC259&gt;0,OR('Debt strategy'!$D$13&gt;'Debt strategy'!$D$10,AND('Debt strategy'!$D$13='Debt strategy'!$D$10,4&lt;1))),1,0)))</x:f>
        <x:v>99</x:v>
      </x:c>
      <x:c r="M259" s="6" t="n">
        <x:f>IF('Debt strategy'!$C$16&gt;0,0,MIN(I259+J259-K259,MAX(0,'Debt strategy'!$C$5-SUM(E259,K259,Q259,W259,AC259)-SUM(IF(F259&lt;L259,C259+D259-E259,0),IF(R259&lt;L259,O259+P259-Q259,0),IF(X259&lt;L259,U259+V259-W259,0),IF(AD259&lt;L259,AA259+AB259-AC259,0)))))</x:f>
        <x:v>0</x:v>
      </x:c>
      <x:c r="N259" s="6" t="n">
        <x:f>ROUND(MAX(0,I259+J259-K259-M259),2)</x:f>
        <x:v>0</x:v>
      </x:c>
      <x:c r="O259" s="6" t="n">
        <x:f>T258</x:f>
        <x:v>0</x:v>
      </x:c>
      <x:c r="P259" s="6" t="n">
        <x:f>ROUND(O259*'Debt strategy'!$D$11/12,2)</x:f>
        <x:v>0</x:v>
      </x:c>
      <x:c r="Q259" s="6" t="n">
        <x:f>MIN(O259+P259,'Debt strategy'!$E$11)</x:f>
        <x:v>0</x:v>
      </x:c>
      <x:c r="R259" s="27" t="n">
        <x:f>IF(O259+P259-Q259&lt;=0,99,1+SUM(IF(AND(C259+D259-E259&gt;0,OR('Debt strategy'!$D$9&gt;'Debt strategy'!$D$11,AND('Debt strategy'!$D$9='Debt strategy'!$D$11,0&lt;2))),1,0),IF(AND(I259+J259-K259&gt;0,OR('Debt strategy'!$D$10&gt;'Debt strategy'!$D$11,AND('Debt strategy'!$D$10='Debt strategy'!$D$11,1&lt;2))),1,0),IF(AND(U259+V259-W259&gt;0,OR('Debt strategy'!$D$12&gt;'Debt strategy'!$D$11,AND('Debt strategy'!$D$12='Debt strategy'!$D$11,3&lt;2))),1,0),IF(AND(AA259+AB259-AC259&gt;0,OR('Debt strategy'!$D$13&gt;'Debt strategy'!$D$11,AND('Debt strategy'!$D$13='Debt strategy'!$D$11,4&lt;2))),1,0)))</x:f>
        <x:v>99</x:v>
      </x:c>
      <x:c r="S259" s="6" t="n">
        <x:f>IF('Debt strategy'!$C$16&gt;0,0,MIN(O259+P259-Q259,MAX(0,'Debt strategy'!$C$5-SUM(E259,K259,Q259,W259,AC259)-SUM(IF(F259&lt;R259,C259+D259-E259,0),IF(L259&lt;R259,I259+J259-K259,0),IF(X259&lt;R259,U259+V259-W259,0),IF(AD259&lt;R259,AA259+AB259-AC259,0)))))</x:f>
        <x:v>0</x:v>
      </x:c>
      <x:c r="T259" s="6" t="n">
        <x:f>ROUND(MAX(0,O259+P259-Q259-S259),2)</x:f>
        <x:v>0</x:v>
      </x:c>
      <x:c r="U259" s="6" t="n">
        <x:f>Z258</x:f>
        <x:v>0</x:v>
      </x:c>
      <x:c r="V259" s="6" t="n">
        <x:f>ROUND(U259*'Debt strategy'!$D$12/12,2)</x:f>
        <x:v>0</x:v>
      </x:c>
      <x:c r="W259" s="6" t="n">
        <x:f>MIN(U259+V259,'Debt strategy'!$E$12)</x:f>
        <x:v>0</x:v>
      </x:c>
      <x:c r="X259" s="27" t="n">
        <x:f>IF(U259+V259-W259&lt;=0,99,1+SUM(IF(AND(C259+D259-E259&gt;0,OR('Debt strategy'!$D$9&gt;'Debt strategy'!$D$12,AND('Debt strategy'!$D$9='Debt strategy'!$D$12,0&lt;3))),1,0),IF(AND(I259+J259-K259&gt;0,OR('Debt strategy'!$D$10&gt;'Debt strategy'!$D$12,AND('Debt strategy'!$D$10='Debt strategy'!$D$12,1&lt;3))),1,0),IF(AND(O259+P259-Q259&gt;0,OR('Debt strategy'!$D$11&gt;'Debt strategy'!$D$12,AND('Debt strategy'!$D$11='Debt strategy'!$D$12,2&lt;3))),1,0),IF(AND(AA259+AB259-AC259&gt;0,OR('Debt strategy'!$D$13&gt;'Debt strategy'!$D$12,AND('Debt strategy'!$D$13='Debt strategy'!$D$12,4&lt;3))),1,0)))</x:f>
        <x:v>99</x:v>
      </x:c>
      <x:c r="Y259" s="6" t="n">
        <x:f>IF('Debt strategy'!$C$16&gt;0,0,MIN(U259+V259-W259,MAX(0,'Debt strategy'!$C$5-SUM(E259,K259,Q259,W259,AC259)-SUM(IF(F259&lt;X259,C259+D259-E259,0),IF(L259&lt;X259,I259+J259-K259,0),IF(R259&lt;X259,O259+P259-Q259,0),IF(AD259&lt;X259,AA259+AB259-AC259,0)))))</x:f>
        <x:v>0</x:v>
      </x:c>
      <x:c r="Z259" s="6" t="n">
        <x:f>ROUND(MAX(0,U259+V259-W259-Y259),2)</x:f>
        <x:v>0</x:v>
      </x:c>
      <x:c r="AA259" s="6" t="n">
        <x:f>AF258</x:f>
        <x:v>0</x:v>
      </x:c>
      <x:c r="AB259" s="6" t="n">
        <x:f>ROUND(AA259*'Debt strategy'!$D$13/12,2)</x:f>
        <x:v>0</x:v>
      </x:c>
      <x:c r="AC259" s="6" t="n">
        <x:f>MIN(AA259+AB259,'Debt strategy'!$E$13)</x:f>
        <x:v>0</x:v>
      </x:c>
      <x:c r="AD259" s="27" t="n">
        <x:f>IF(AA259+AB259-AC259&lt;=0,99,1+SUM(IF(AND(C259+D259-E259&gt;0,OR('Debt strategy'!$D$9&gt;'Debt strategy'!$D$13,AND('Debt strategy'!$D$9='Debt strategy'!$D$13,0&lt;4))),1,0),IF(AND(I259+J259-K259&gt;0,OR('Debt strategy'!$D$10&gt;'Debt strategy'!$D$13,AND('Debt strategy'!$D$10='Debt strategy'!$D$13,1&lt;4))),1,0),IF(AND(O259+P259-Q259&gt;0,OR('Debt strategy'!$D$11&gt;'Debt strategy'!$D$13,AND('Debt strategy'!$D$11='Debt strategy'!$D$13,2&lt;4))),1,0),IF(AND(U259+V259-W259&gt;0,OR('Debt strategy'!$D$12&gt;'Debt strategy'!$D$13,AND('Debt strategy'!$D$12='Debt strategy'!$D$13,3&lt;4))),1,0)))</x:f>
        <x:v>99</x:v>
      </x:c>
      <x:c r="AE259" s="6" t="n">
        <x:f>IF('Debt strategy'!$C$16&gt;0,0,MIN(AA259+AB259-AC259,MAX(0,'Debt strategy'!$C$5-SUM(E259,K259,Q259,W259,AC259)-SUM(IF(F259&lt;AD259,C259+D259-E259,0),IF(L259&lt;AD259,I259+J259-K259,0),IF(R259&lt;AD259,O259+P259-Q259,0),IF(X259&lt;AD259,U259+V259-W259,0)))))</x:f>
        <x:v>0</x:v>
      </x:c>
      <x:c r="AF259" s="6" t="n">
        <x:f>ROUND(MAX(0,AA259+AB259-AC259-AE259),2)</x:f>
        <x:v>0</x:v>
      </x:c>
      <x:c r="AG259" s="6" t="n">
        <x:f>SUM(H259,N259,T259,Z259,AF259)</x:f>
        <x:v>0</x:v>
      </x:c>
      <x:c r="AH259" s="6" t="n">
        <x:f>SUM(D259,J259,P259,V259,AB259)+AH258</x:f>
        <x:v>1220.8400000000001</x:v>
      </x:c>
      <x:c r="AI259" s="2"/>
    </x:row>
    <x:row r="260" ht="23" customHeight="1">
      <x:c r="B260" s="2" t="n">
        <x:f>252</x:f>
        <x:v>252</x:v>
      </x:c>
      <x:c r="C260" s="6" t="n">
        <x:f>H259</x:f>
        <x:v>0</x:v>
      </x:c>
      <x:c r="D260" s="6" t="n">
        <x:f>ROUND(C260*'Debt strategy'!$D$9/12,2)</x:f>
        <x:v>0</x:v>
      </x:c>
      <x:c r="E260" s="6" t="n">
        <x:f>MIN(C260+D260,'Debt strategy'!$E$9)</x:f>
        <x:v>0</x:v>
      </x:c>
      <x:c r="F260" s="27" t="n">
        <x:f>IF(C260+D260-E260&lt;=0,99,1+SUM(IF(AND(I260+J260-K260&gt;0,OR('Debt strategy'!$D$10&gt;'Debt strategy'!$D$9,AND('Debt strategy'!$D$10='Debt strategy'!$D$9,1&lt;0))),1,0),IF(AND(O260+P260-Q260&gt;0,OR('Debt strategy'!$D$11&gt;'Debt strategy'!$D$9,AND('Debt strategy'!$D$11='Debt strategy'!$D$9,2&lt;0))),1,0),IF(AND(U260+V260-W260&gt;0,OR('Debt strategy'!$D$12&gt;'Debt strategy'!$D$9,AND('Debt strategy'!$D$12='Debt strategy'!$D$9,3&lt;0))),1,0),IF(AND(AA260+AB260-AC260&gt;0,OR('Debt strategy'!$D$13&gt;'Debt strategy'!$D$9,AND('Debt strategy'!$D$13='Debt strategy'!$D$9,4&lt;0))),1,0)))</x:f>
        <x:v>99</x:v>
      </x:c>
      <x:c r="G260" s="6" t="n">
        <x:f>IF('Debt strategy'!$C$16&gt;0,0,MIN(C260+D260-E260,MAX(0,'Debt strategy'!$C$5-SUM(E260,K260,Q260,W260,AC260)-SUM(IF(L260&lt;F260,I260+J260-K260,0),IF(R260&lt;F260,O260+P260-Q260,0),IF(X260&lt;F260,U260+V260-W260,0),IF(AD260&lt;F260,AA260+AB260-AC260,0)))))</x:f>
        <x:v>0</x:v>
      </x:c>
      <x:c r="H260" s="6" t="n">
        <x:f>ROUND(MAX(0,C260+D260-E260-G260),2)</x:f>
        <x:v>0</x:v>
      </x:c>
      <x:c r="I260" s="6" t="n">
        <x:f>N259</x:f>
        <x:v>0</x:v>
      </x:c>
      <x:c r="J260" s="6" t="n">
        <x:f>ROUND(I260*'Debt strategy'!$D$10/12,2)</x:f>
        <x:v>0</x:v>
      </x:c>
      <x:c r="K260" s="6" t="n">
        <x:f>MIN(I260+J260,'Debt strategy'!$E$10)</x:f>
        <x:v>0</x:v>
      </x:c>
      <x:c r="L260" s="27" t="n">
        <x:f>IF(I260+J260-K260&lt;=0,99,1+SUM(IF(AND(C260+D260-E260&gt;0,OR('Debt strategy'!$D$9&gt;'Debt strategy'!$D$10,AND('Debt strategy'!$D$9='Debt strategy'!$D$10,0&lt;1))),1,0),IF(AND(O260+P260-Q260&gt;0,OR('Debt strategy'!$D$11&gt;'Debt strategy'!$D$10,AND('Debt strategy'!$D$11='Debt strategy'!$D$10,2&lt;1))),1,0),IF(AND(U260+V260-W260&gt;0,OR('Debt strategy'!$D$12&gt;'Debt strategy'!$D$10,AND('Debt strategy'!$D$12='Debt strategy'!$D$10,3&lt;1))),1,0),IF(AND(AA260+AB260-AC260&gt;0,OR('Debt strategy'!$D$13&gt;'Debt strategy'!$D$10,AND('Debt strategy'!$D$13='Debt strategy'!$D$10,4&lt;1))),1,0)))</x:f>
        <x:v>99</x:v>
      </x:c>
      <x:c r="M260" s="6" t="n">
        <x:f>IF('Debt strategy'!$C$16&gt;0,0,MIN(I260+J260-K260,MAX(0,'Debt strategy'!$C$5-SUM(E260,K260,Q260,W260,AC260)-SUM(IF(F260&lt;L260,C260+D260-E260,0),IF(R260&lt;L260,O260+P260-Q260,0),IF(X260&lt;L260,U260+V260-W260,0),IF(AD260&lt;L260,AA260+AB260-AC260,0)))))</x:f>
        <x:v>0</x:v>
      </x:c>
      <x:c r="N260" s="6" t="n">
        <x:f>ROUND(MAX(0,I260+J260-K260-M260),2)</x:f>
        <x:v>0</x:v>
      </x:c>
      <x:c r="O260" s="6" t="n">
        <x:f>T259</x:f>
        <x:v>0</x:v>
      </x:c>
      <x:c r="P260" s="6" t="n">
        <x:f>ROUND(O260*'Debt strategy'!$D$11/12,2)</x:f>
        <x:v>0</x:v>
      </x:c>
      <x:c r="Q260" s="6" t="n">
        <x:f>MIN(O260+P260,'Debt strategy'!$E$11)</x:f>
        <x:v>0</x:v>
      </x:c>
      <x:c r="R260" s="27" t="n">
        <x:f>IF(O260+P260-Q260&lt;=0,99,1+SUM(IF(AND(C260+D260-E260&gt;0,OR('Debt strategy'!$D$9&gt;'Debt strategy'!$D$11,AND('Debt strategy'!$D$9='Debt strategy'!$D$11,0&lt;2))),1,0),IF(AND(I260+J260-K260&gt;0,OR('Debt strategy'!$D$10&gt;'Debt strategy'!$D$11,AND('Debt strategy'!$D$10='Debt strategy'!$D$11,1&lt;2))),1,0),IF(AND(U260+V260-W260&gt;0,OR('Debt strategy'!$D$12&gt;'Debt strategy'!$D$11,AND('Debt strategy'!$D$12='Debt strategy'!$D$11,3&lt;2))),1,0),IF(AND(AA260+AB260-AC260&gt;0,OR('Debt strategy'!$D$13&gt;'Debt strategy'!$D$11,AND('Debt strategy'!$D$13='Debt strategy'!$D$11,4&lt;2))),1,0)))</x:f>
        <x:v>99</x:v>
      </x:c>
      <x:c r="S260" s="6" t="n">
        <x:f>IF('Debt strategy'!$C$16&gt;0,0,MIN(O260+P260-Q260,MAX(0,'Debt strategy'!$C$5-SUM(E260,K260,Q260,W260,AC260)-SUM(IF(F260&lt;R260,C260+D260-E260,0),IF(L260&lt;R260,I260+J260-K260,0),IF(X260&lt;R260,U260+V260-W260,0),IF(AD260&lt;R260,AA260+AB260-AC260,0)))))</x:f>
        <x:v>0</x:v>
      </x:c>
      <x:c r="T260" s="6" t="n">
        <x:f>ROUND(MAX(0,O260+P260-Q260-S260),2)</x:f>
        <x:v>0</x:v>
      </x:c>
      <x:c r="U260" s="6" t="n">
        <x:f>Z259</x:f>
        <x:v>0</x:v>
      </x:c>
      <x:c r="V260" s="6" t="n">
        <x:f>ROUND(U260*'Debt strategy'!$D$12/12,2)</x:f>
        <x:v>0</x:v>
      </x:c>
      <x:c r="W260" s="6" t="n">
        <x:f>MIN(U260+V260,'Debt strategy'!$E$12)</x:f>
        <x:v>0</x:v>
      </x:c>
      <x:c r="X260" s="27" t="n">
        <x:f>IF(U260+V260-W260&lt;=0,99,1+SUM(IF(AND(C260+D260-E260&gt;0,OR('Debt strategy'!$D$9&gt;'Debt strategy'!$D$12,AND('Debt strategy'!$D$9='Debt strategy'!$D$12,0&lt;3))),1,0),IF(AND(I260+J260-K260&gt;0,OR('Debt strategy'!$D$10&gt;'Debt strategy'!$D$12,AND('Debt strategy'!$D$10='Debt strategy'!$D$12,1&lt;3))),1,0),IF(AND(O260+P260-Q260&gt;0,OR('Debt strategy'!$D$11&gt;'Debt strategy'!$D$12,AND('Debt strategy'!$D$11='Debt strategy'!$D$12,2&lt;3))),1,0),IF(AND(AA260+AB260-AC260&gt;0,OR('Debt strategy'!$D$13&gt;'Debt strategy'!$D$12,AND('Debt strategy'!$D$13='Debt strategy'!$D$12,4&lt;3))),1,0)))</x:f>
        <x:v>99</x:v>
      </x:c>
      <x:c r="Y260" s="6" t="n">
        <x:f>IF('Debt strategy'!$C$16&gt;0,0,MIN(U260+V260-W260,MAX(0,'Debt strategy'!$C$5-SUM(E260,K260,Q260,W260,AC260)-SUM(IF(F260&lt;X260,C260+D260-E260,0),IF(L260&lt;X260,I260+J260-K260,0),IF(R260&lt;X260,O260+P260-Q260,0),IF(AD260&lt;X260,AA260+AB260-AC260,0)))))</x:f>
        <x:v>0</x:v>
      </x:c>
      <x:c r="Z260" s="6" t="n">
        <x:f>ROUND(MAX(0,U260+V260-W260-Y260),2)</x:f>
        <x:v>0</x:v>
      </x:c>
      <x:c r="AA260" s="6" t="n">
        <x:f>AF259</x:f>
        <x:v>0</x:v>
      </x:c>
      <x:c r="AB260" s="6" t="n">
        <x:f>ROUND(AA260*'Debt strategy'!$D$13/12,2)</x:f>
        <x:v>0</x:v>
      </x:c>
      <x:c r="AC260" s="6" t="n">
        <x:f>MIN(AA260+AB260,'Debt strategy'!$E$13)</x:f>
        <x:v>0</x:v>
      </x:c>
      <x:c r="AD260" s="27" t="n">
        <x:f>IF(AA260+AB260-AC260&lt;=0,99,1+SUM(IF(AND(C260+D260-E260&gt;0,OR('Debt strategy'!$D$9&gt;'Debt strategy'!$D$13,AND('Debt strategy'!$D$9='Debt strategy'!$D$13,0&lt;4))),1,0),IF(AND(I260+J260-K260&gt;0,OR('Debt strategy'!$D$10&gt;'Debt strategy'!$D$13,AND('Debt strategy'!$D$10='Debt strategy'!$D$13,1&lt;4))),1,0),IF(AND(O260+P260-Q260&gt;0,OR('Debt strategy'!$D$11&gt;'Debt strategy'!$D$13,AND('Debt strategy'!$D$11='Debt strategy'!$D$13,2&lt;4))),1,0),IF(AND(U260+V260-W260&gt;0,OR('Debt strategy'!$D$12&gt;'Debt strategy'!$D$13,AND('Debt strategy'!$D$12='Debt strategy'!$D$13,3&lt;4))),1,0)))</x:f>
        <x:v>99</x:v>
      </x:c>
      <x:c r="AE260" s="6" t="n">
        <x:f>IF('Debt strategy'!$C$16&gt;0,0,MIN(AA260+AB260-AC260,MAX(0,'Debt strategy'!$C$5-SUM(E260,K260,Q260,W260,AC260)-SUM(IF(F260&lt;AD260,C260+D260-E260,0),IF(L260&lt;AD260,I260+J260-K260,0),IF(R260&lt;AD260,O260+P260-Q260,0),IF(X260&lt;AD260,U260+V260-W260,0)))))</x:f>
        <x:v>0</x:v>
      </x:c>
      <x:c r="AF260" s="6" t="n">
        <x:f>ROUND(MAX(0,AA260+AB260-AC260-AE260),2)</x:f>
        <x:v>0</x:v>
      </x:c>
      <x:c r="AG260" s="6" t="n">
        <x:f>SUM(H260,N260,T260,Z260,AF260)</x:f>
        <x:v>0</x:v>
      </x:c>
      <x:c r="AH260" s="6" t="n">
        <x:f>SUM(D260,J260,P260,V260,AB260)+AH259</x:f>
        <x:v>1220.8400000000001</x:v>
      </x:c>
      <x:c r="AI260" s="2"/>
    </x:row>
    <x:row r="261" ht="23" customHeight="1">
      <x:c r="B261" s="2" t="n">
        <x:f>253</x:f>
        <x:v>253</x:v>
      </x:c>
      <x:c r="C261" s="6" t="n">
        <x:f>H260</x:f>
        <x:v>0</x:v>
      </x:c>
      <x:c r="D261" s="6" t="n">
        <x:f>ROUND(C261*'Debt strategy'!$D$9/12,2)</x:f>
        <x:v>0</x:v>
      </x:c>
      <x:c r="E261" s="6" t="n">
        <x:f>MIN(C261+D261,'Debt strategy'!$E$9)</x:f>
        <x:v>0</x:v>
      </x:c>
      <x:c r="F261" s="27" t="n">
        <x:f>IF(C261+D261-E261&lt;=0,99,1+SUM(IF(AND(I261+J261-K261&gt;0,OR('Debt strategy'!$D$10&gt;'Debt strategy'!$D$9,AND('Debt strategy'!$D$10='Debt strategy'!$D$9,1&lt;0))),1,0),IF(AND(O261+P261-Q261&gt;0,OR('Debt strategy'!$D$11&gt;'Debt strategy'!$D$9,AND('Debt strategy'!$D$11='Debt strategy'!$D$9,2&lt;0))),1,0),IF(AND(U261+V261-W261&gt;0,OR('Debt strategy'!$D$12&gt;'Debt strategy'!$D$9,AND('Debt strategy'!$D$12='Debt strategy'!$D$9,3&lt;0))),1,0),IF(AND(AA261+AB261-AC261&gt;0,OR('Debt strategy'!$D$13&gt;'Debt strategy'!$D$9,AND('Debt strategy'!$D$13='Debt strategy'!$D$9,4&lt;0))),1,0)))</x:f>
        <x:v>99</x:v>
      </x:c>
      <x:c r="G261" s="6" t="n">
        <x:f>IF('Debt strategy'!$C$16&gt;0,0,MIN(C261+D261-E261,MAX(0,'Debt strategy'!$C$5-SUM(E261,K261,Q261,W261,AC261)-SUM(IF(L261&lt;F261,I261+J261-K261,0),IF(R261&lt;F261,O261+P261-Q261,0),IF(X261&lt;F261,U261+V261-W261,0),IF(AD261&lt;F261,AA261+AB261-AC261,0)))))</x:f>
        <x:v>0</x:v>
      </x:c>
      <x:c r="H261" s="6" t="n">
        <x:f>ROUND(MAX(0,C261+D261-E261-G261),2)</x:f>
        <x:v>0</x:v>
      </x:c>
      <x:c r="I261" s="6" t="n">
        <x:f>N260</x:f>
        <x:v>0</x:v>
      </x:c>
      <x:c r="J261" s="6" t="n">
        <x:f>ROUND(I261*'Debt strategy'!$D$10/12,2)</x:f>
        <x:v>0</x:v>
      </x:c>
      <x:c r="K261" s="6" t="n">
        <x:f>MIN(I261+J261,'Debt strategy'!$E$10)</x:f>
        <x:v>0</x:v>
      </x:c>
      <x:c r="L261" s="27" t="n">
        <x:f>IF(I261+J261-K261&lt;=0,99,1+SUM(IF(AND(C261+D261-E261&gt;0,OR('Debt strategy'!$D$9&gt;'Debt strategy'!$D$10,AND('Debt strategy'!$D$9='Debt strategy'!$D$10,0&lt;1))),1,0),IF(AND(O261+P261-Q261&gt;0,OR('Debt strategy'!$D$11&gt;'Debt strategy'!$D$10,AND('Debt strategy'!$D$11='Debt strategy'!$D$10,2&lt;1))),1,0),IF(AND(U261+V261-W261&gt;0,OR('Debt strategy'!$D$12&gt;'Debt strategy'!$D$10,AND('Debt strategy'!$D$12='Debt strategy'!$D$10,3&lt;1))),1,0),IF(AND(AA261+AB261-AC261&gt;0,OR('Debt strategy'!$D$13&gt;'Debt strategy'!$D$10,AND('Debt strategy'!$D$13='Debt strategy'!$D$10,4&lt;1))),1,0)))</x:f>
        <x:v>99</x:v>
      </x:c>
      <x:c r="M261" s="6" t="n">
        <x:f>IF('Debt strategy'!$C$16&gt;0,0,MIN(I261+J261-K261,MAX(0,'Debt strategy'!$C$5-SUM(E261,K261,Q261,W261,AC261)-SUM(IF(F261&lt;L261,C261+D261-E261,0),IF(R261&lt;L261,O261+P261-Q261,0),IF(X261&lt;L261,U261+V261-W261,0),IF(AD261&lt;L261,AA261+AB261-AC261,0)))))</x:f>
        <x:v>0</x:v>
      </x:c>
      <x:c r="N261" s="6" t="n">
        <x:f>ROUND(MAX(0,I261+J261-K261-M261),2)</x:f>
        <x:v>0</x:v>
      </x:c>
      <x:c r="O261" s="6" t="n">
        <x:f>T260</x:f>
        <x:v>0</x:v>
      </x:c>
      <x:c r="P261" s="6" t="n">
        <x:f>ROUND(O261*'Debt strategy'!$D$11/12,2)</x:f>
        <x:v>0</x:v>
      </x:c>
      <x:c r="Q261" s="6" t="n">
        <x:f>MIN(O261+P261,'Debt strategy'!$E$11)</x:f>
        <x:v>0</x:v>
      </x:c>
      <x:c r="R261" s="27" t="n">
        <x:f>IF(O261+P261-Q261&lt;=0,99,1+SUM(IF(AND(C261+D261-E261&gt;0,OR('Debt strategy'!$D$9&gt;'Debt strategy'!$D$11,AND('Debt strategy'!$D$9='Debt strategy'!$D$11,0&lt;2))),1,0),IF(AND(I261+J261-K261&gt;0,OR('Debt strategy'!$D$10&gt;'Debt strategy'!$D$11,AND('Debt strategy'!$D$10='Debt strategy'!$D$11,1&lt;2))),1,0),IF(AND(U261+V261-W261&gt;0,OR('Debt strategy'!$D$12&gt;'Debt strategy'!$D$11,AND('Debt strategy'!$D$12='Debt strategy'!$D$11,3&lt;2))),1,0),IF(AND(AA261+AB261-AC261&gt;0,OR('Debt strategy'!$D$13&gt;'Debt strategy'!$D$11,AND('Debt strategy'!$D$13='Debt strategy'!$D$11,4&lt;2))),1,0)))</x:f>
        <x:v>99</x:v>
      </x:c>
      <x:c r="S261" s="6" t="n">
        <x:f>IF('Debt strategy'!$C$16&gt;0,0,MIN(O261+P261-Q261,MAX(0,'Debt strategy'!$C$5-SUM(E261,K261,Q261,W261,AC261)-SUM(IF(F261&lt;R261,C261+D261-E261,0),IF(L261&lt;R261,I261+J261-K261,0),IF(X261&lt;R261,U261+V261-W261,0),IF(AD261&lt;R261,AA261+AB261-AC261,0)))))</x:f>
        <x:v>0</x:v>
      </x:c>
      <x:c r="T261" s="6" t="n">
        <x:f>ROUND(MAX(0,O261+P261-Q261-S261),2)</x:f>
        <x:v>0</x:v>
      </x:c>
      <x:c r="U261" s="6" t="n">
        <x:f>Z260</x:f>
        <x:v>0</x:v>
      </x:c>
      <x:c r="V261" s="6" t="n">
        <x:f>ROUND(U261*'Debt strategy'!$D$12/12,2)</x:f>
        <x:v>0</x:v>
      </x:c>
      <x:c r="W261" s="6" t="n">
        <x:f>MIN(U261+V261,'Debt strategy'!$E$12)</x:f>
        <x:v>0</x:v>
      </x:c>
      <x:c r="X261" s="27" t="n">
        <x:f>IF(U261+V261-W261&lt;=0,99,1+SUM(IF(AND(C261+D261-E261&gt;0,OR('Debt strategy'!$D$9&gt;'Debt strategy'!$D$12,AND('Debt strategy'!$D$9='Debt strategy'!$D$12,0&lt;3))),1,0),IF(AND(I261+J261-K261&gt;0,OR('Debt strategy'!$D$10&gt;'Debt strategy'!$D$12,AND('Debt strategy'!$D$10='Debt strategy'!$D$12,1&lt;3))),1,0),IF(AND(O261+P261-Q261&gt;0,OR('Debt strategy'!$D$11&gt;'Debt strategy'!$D$12,AND('Debt strategy'!$D$11='Debt strategy'!$D$12,2&lt;3))),1,0),IF(AND(AA261+AB261-AC261&gt;0,OR('Debt strategy'!$D$13&gt;'Debt strategy'!$D$12,AND('Debt strategy'!$D$13='Debt strategy'!$D$12,4&lt;3))),1,0)))</x:f>
        <x:v>99</x:v>
      </x:c>
      <x:c r="Y261" s="6" t="n">
        <x:f>IF('Debt strategy'!$C$16&gt;0,0,MIN(U261+V261-W261,MAX(0,'Debt strategy'!$C$5-SUM(E261,K261,Q261,W261,AC261)-SUM(IF(F261&lt;X261,C261+D261-E261,0),IF(L261&lt;X261,I261+J261-K261,0),IF(R261&lt;X261,O261+P261-Q261,0),IF(AD261&lt;X261,AA261+AB261-AC261,0)))))</x:f>
        <x:v>0</x:v>
      </x:c>
      <x:c r="Z261" s="6" t="n">
        <x:f>ROUND(MAX(0,U261+V261-W261-Y261),2)</x:f>
        <x:v>0</x:v>
      </x:c>
      <x:c r="AA261" s="6" t="n">
        <x:f>AF260</x:f>
        <x:v>0</x:v>
      </x:c>
      <x:c r="AB261" s="6" t="n">
        <x:f>ROUND(AA261*'Debt strategy'!$D$13/12,2)</x:f>
        <x:v>0</x:v>
      </x:c>
      <x:c r="AC261" s="6" t="n">
        <x:f>MIN(AA261+AB261,'Debt strategy'!$E$13)</x:f>
        <x:v>0</x:v>
      </x:c>
      <x:c r="AD261" s="27" t="n">
        <x:f>IF(AA261+AB261-AC261&lt;=0,99,1+SUM(IF(AND(C261+D261-E261&gt;0,OR('Debt strategy'!$D$9&gt;'Debt strategy'!$D$13,AND('Debt strategy'!$D$9='Debt strategy'!$D$13,0&lt;4))),1,0),IF(AND(I261+J261-K261&gt;0,OR('Debt strategy'!$D$10&gt;'Debt strategy'!$D$13,AND('Debt strategy'!$D$10='Debt strategy'!$D$13,1&lt;4))),1,0),IF(AND(O261+P261-Q261&gt;0,OR('Debt strategy'!$D$11&gt;'Debt strategy'!$D$13,AND('Debt strategy'!$D$11='Debt strategy'!$D$13,2&lt;4))),1,0),IF(AND(U261+V261-W261&gt;0,OR('Debt strategy'!$D$12&gt;'Debt strategy'!$D$13,AND('Debt strategy'!$D$12='Debt strategy'!$D$13,3&lt;4))),1,0)))</x:f>
        <x:v>99</x:v>
      </x:c>
      <x:c r="AE261" s="6" t="n">
        <x:f>IF('Debt strategy'!$C$16&gt;0,0,MIN(AA261+AB261-AC261,MAX(0,'Debt strategy'!$C$5-SUM(E261,K261,Q261,W261,AC261)-SUM(IF(F261&lt;AD261,C261+D261-E261,0),IF(L261&lt;AD261,I261+J261-K261,0),IF(R261&lt;AD261,O261+P261-Q261,0),IF(X261&lt;AD261,U261+V261-W261,0)))))</x:f>
        <x:v>0</x:v>
      </x:c>
      <x:c r="AF261" s="6" t="n">
        <x:f>ROUND(MAX(0,AA261+AB261-AC261-AE261),2)</x:f>
        <x:v>0</x:v>
      </x:c>
      <x:c r="AG261" s="6" t="n">
        <x:f>SUM(H261,N261,T261,Z261,AF261)</x:f>
        <x:v>0</x:v>
      </x:c>
      <x:c r="AH261" s="6" t="n">
        <x:f>SUM(D261,J261,P261,V261,AB261)+AH260</x:f>
        <x:v>1220.8400000000001</x:v>
      </x:c>
      <x:c r="AI261" s="2"/>
    </x:row>
    <x:row r="262" ht="23" customHeight="1">
      <x:c r="B262" s="2" t="n">
        <x:f>254</x:f>
        <x:v>254</x:v>
      </x:c>
      <x:c r="C262" s="6" t="n">
        <x:f>H261</x:f>
        <x:v>0</x:v>
      </x:c>
      <x:c r="D262" s="6" t="n">
        <x:f>ROUND(C262*'Debt strategy'!$D$9/12,2)</x:f>
        <x:v>0</x:v>
      </x:c>
      <x:c r="E262" s="6" t="n">
        <x:f>MIN(C262+D262,'Debt strategy'!$E$9)</x:f>
        <x:v>0</x:v>
      </x:c>
      <x:c r="F262" s="27" t="n">
        <x:f>IF(C262+D262-E262&lt;=0,99,1+SUM(IF(AND(I262+J262-K262&gt;0,OR('Debt strategy'!$D$10&gt;'Debt strategy'!$D$9,AND('Debt strategy'!$D$10='Debt strategy'!$D$9,1&lt;0))),1,0),IF(AND(O262+P262-Q262&gt;0,OR('Debt strategy'!$D$11&gt;'Debt strategy'!$D$9,AND('Debt strategy'!$D$11='Debt strategy'!$D$9,2&lt;0))),1,0),IF(AND(U262+V262-W262&gt;0,OR('Debt strategy'!$D$12&gt;'Debt strategy'!$D$9,AND('Debt strategy'!$D$12='Debt strategy'!$D$9,3&lt;0))),1,0),IF(AND(AA262+AB262-AC262&gt;0,OR('Debt strategy'!$D$13&gt;'Debt strategy'!$D$9,AND('Debt strategy'!$D$13='Debt strategy'!$D$9,4&lt;0))),1,0)))</x:f>
        <x:v>99</x:v>
      </x:c>
      <x:c r="G262" s="6" t="n">
        <x:f>IF('Debt strategy'!$C$16&gt;0,0,MIN(C262+D262-E262,MAX(0,'Debt strategy'!$C$5-SUM(E262,K262,Q262,W262,AC262)-SUM(IF(L262&lt;F262,I262+J262-K262,0),IF(R262&lt;F262,O262+P262-Q262,0),IF(X262&lt;F262,U262+V262-W262,0),IF(AD262&lt;F262,AA262+AB262-AC262,0)))))</x:f>
        <x:v>0</x:v>
      </x:c>
      <x:c r="H262" s="6" t="n">
        <x:f>ROUND(MAX(0,C262+D262-E262-G262),2)</x:f>
        <x:v>0</x:v>
      </x:c>
      <x:c r="I262" s="6" t="n">
        <x:f>N261</x:f>
        <x:v>0</x:v>
      </x:c>
      <x:c r="J262" s="6" t="n">
        <x:f>ROUND(I262*'Debt strategy'!$D$10/12,2)</x:f>
        <x:v>0</x:v>
      </x:c>
      <x:c r="K262" s="6" t="n">
        <x:f>MIN(I262+J262,'Debt strategy'!$E$10)</x:f>
        <x:v>0</x:v>
      </x:c>
      <x:c r="L262" s="27" t="n">
        <x:f>IF(I262+J262-K262&lt;=0,99,1+SUM(IF(AND(C262+D262-E262&gt;0,OR('Debt strategy'!$D$9&gt;'Debt strategy'!$D$10,AND('Debt strategy'!$D$9='Debt strategy'!$D$10,0&lt;1))),1,0),IF(AND(O262+P262-Q262&gt;0,OR('Debt strategy'!$D$11&gt;'Debt strategy'!$D$10,AND('Debt strategy'!$D$11='Debt strategy'!$D$10,2&lt;1))),1,0),IF(AND(U262+V262-W262&gt;0,OR('Debt strategy'!$D$12&gt;'Debt strategy'!$D$10,AND('Debt strategy'!$D$12='Debt strategy'!$D$10,3&lt;1))),1,0),IF(AND(AA262+AB262-AC262&gt;0,OR('Debt strategy'!$D$13&gt;'Debt strategy'!$D$10,AND('Debt strategy'!$D$13='Debt strategy'!$D$10,4&lt;1))),1,0)))</x:f>
        <x:v>99</x:v>
      </x:c>
      <x:c r="M262" s="6" t="n">
        <x:f>IF('Debt strategy'!$C$16&gt;0,0,MIN(I262+J262-K262,MAX(0,'Debt strategy'!$C$5-SUM(E262,K262,Q262,W262,AC262)-SUM(IF(F262&lt;L262,C262+D262-E262,0),IF(R262&lt;L262,O262+P262-Q262,0),IF(X262&lt;L262,U262+V262-W262,0),IF(AD262&lt;L262,AA262+AB262-AC262,0)))))</x:f>
        <x:v>0</x:v>
      </x:c>
      <x:c r="N262" s="6" t="n">
        <x:f>ROUND(MAX(0,I262+J262-K262-M262),2)</x:f>
        <x:v>0</x:v>
      </x:c>
      <x:c r="O262" s="6" t="n">
        <x:f>T261</x:f>
        <x:v>0</x:v>
      </x:c>
      <x:c r="P262" s="6" t="n">
        <x:f>ROUND(O262*'Debt strategy'!$D$11/12,2)</x:f>
        <x:v>0</x:v>
      </x:c>
      <x:c r="Q262" s="6" t="n">
        <x:f>MIN(O262+P262,'Debt strategy'!$E$11)</x:f>
        <x:v>0</x:v>
      </x:c>
      <x:c r="R262" s="27" t="n">
        <x:f>IF(O262+P262-Q262&lt;=0,99,1+SUM(IF(AND(C262+D262-E262&gt;0,OR('Debt strategy'!$D$9&gt;'Debt strategy'!$D$11,AND('Debt strategy'!$D$9='Debt strategy'!$D$11,0&lt;2))),1,0),IF(AND(I262+J262-K262&gt;0,OR('Debt strategy'!$D$10&gt;'Debt strategy'!$D$11,AND('Debt strategy'!$D$10='Debt strategy'!$D$11,1&lt;2))),1,0),IF(AND(U262+V262-W262&gt;0,OR('Debt strategy'!$D$12&gt;'Debt strategy'!$D$11,AND('Debt strategy'!$D$12='Debt strategy'!$D$11,3&lt;2))),1,0),IF(AND(AA262+AB262-AC262&gt;0,OR('Debt strategy'!$D$13&gt;'Debt strategy'!$D$11,AND('Debt strategy'!$D$13='Debt strategy'!$D$11,4&lt;2))),1,0)))</x:f>
        <x:v>99</x:v>
      </x:c>
      <x:c r="S262" s="6" t="n">
        <x:f>IF('Debt strategy'!$C$16&gt;0,0,MIN(O262+P262-Q262,MAX(0,'Debt strategy'!$C$5-SUM(E262,K262,Q262,W262,AC262)-SUM(IF(F262&lt;R262,C262+D262-E262,0),IF(L262&lt;R262,I262+J262-K262,0),IF(X262&lt;R262,U262+V262-W262,0),IF(AD262&lt;R262,AA262+AB262-AC262,0)))))</x:f>
        <x:v>0</x:v>
      </x:c>
      <x:c r="T262" s="6" t="n">
        <x:f>ROUND(MAX(0,O262+P262-Q262-S262),2)</x:f>
        <x:v>0</x:v>
      </x:c>
      <x:c r="U262" s="6" t="n">
        <x:f>Z261</x:f>
        <x:v>0</x:v>
      </x:c>
      <x:c r="V262" s="6" t="n">
        <x:f>ROUND(U262*'Debt strategy'!$D$12/12,2)</x:f>
        <x:v>0</x:v>
      </x:c>
      <x:c r="W262" s="6" t="n">
        <x:f>MIN(U262+V262,'Debt strategy'!$E$12)</x:f>
        <x:v>0</x:v>
      </x:c>
      <x:c r="X262" s="27" t="n">
        <x:f>IF(U262+V262-W262&lt;=0,99,1+SUM(IF(AND(C262+D262-E262&gt;0,OR('Debt strategy'!$D$9&gt;'Debt strategy'!$D$12,AND('Debt strategy'!$D$9='Debt strategy'!$D$12,0&lt;3))),1,0),IF(AND(I262+J262-K262&gt;0,OR('Debt strategy'!$D$10&gt;'Debt strategy'!$D$12,AND('Debt strategy'!$D$10='Debt strategy'!$D$12,1&lt;3))),1,0),IF(AND(O262+P262-Q262&gt;0,OR('Debt strategy'!$D$11&gt;'Debt strategy'!$D$12,AND('Debt strategy'!$D$11='Debt strategy'!$D$12,2&lt;3))),1,0),IF(AND(AA262+AB262-AC262&gt;0,OR('Debt strategy'!$D$13&gt;'Debt strategy'!$D$12,AND('Debt strategy'!$D$13='Debt strategy'!$D$12,4&lt;3))),1,0)))</x:f>
        <x:v>99</x:v>
      </x:c>
      <x:c r="Y262" s="6" t="n">
        <x:f>IF('Debt strategy'!$C$16&gt;0,0,MIN(U262+V262-W262,MAX(0,'Debt strategy'!$C$5-SUM(E262,K262,Q262,W262,AC262)-SUM(IF(F262&lt;X262,C262+D262-E262,0),IF(L262&lt;X262,I262+J262-K262,0),IF(R262&lt;X262,O262+P262-Q262,0),IF(AD262&lt;X262,AA262+AB262-AC262,0)))))</x:f>
        <x:v>0</x:v>
      </x:c>
      <x:c r="Z262" s="6" t="n">
        <x:f>ROUND(MAX(0,U262+V262-W262-Y262),2)</x:f>
        <x:v>0</x:v>
      </x:c>
      <x:c r="AA262" s="6" t="n">
        <x:f>AF261</x:f>
        <x:v>0</x:v>
      </x:c>
      <x:c r="AB262" s="6" t="n">
        <x:f>ROUND(AA262*'Debt strategy'!$D$13/12,2)</x:f>
        <x:v>0</x:v>
      </x:c>
      <x:c r="AC262" s="6" t="n">
        <x:f>MIN(AA262+AB262,'Debt strategy'!$E$13)</x:f>
        <x:v>0</x:v>
      </x:c>
      <x:c r="AD262" s="27" t="n">
        <x:f>IF(AA262+AB262-AC262&lt;=0,99,1+SUM(IF(AND(C262+D262-E262&gt;0,OR('Debt strategy'!$D$9&gt;'Debt strategy'!$D$13,AND('Debt strategy'!$D$9='Debt strategy'!$D$13,0&lt;4))),1,0),IF(AND(I262+J262-K262&gt;0,OR('Debt strategy'!$D$10&gt;'Debt strategy'!$D$13,AND('Debt strategy'!$D$10='Debt strategy'!$D$13,1&lt;4))),1,0),IF(AND(O262+P262-Q262&gt;0,OR('Debt strategy'!$D$11&gt;'Debt strategy'!$D$13,AND('Debt strategy'!$D$11='Debt strategy'!$D$13,2&lt;4))),1,0),IF(AND(U262+V262-W262&gt;0,OR('Debt strategy'!$D$12&gt;'Debt strategy'!$D$13,AND('Debt strategy'!$D$12='Debt strategy'!$D$13,3&lt;4))),1,0)))</x:f>
        <x:v>99</x:v>
      </x:c>
      <x:c r="AE262" s="6" t="n">
        <x:f>IF('Debt strategy'!$C$16&gt;0,0,MIN(AA262+AB262-AC262,MAX(0,'Debt strategy'!$C$5-SUM(E262,K262,Q262,W262,AC262)-SUM(IF(F262&lt;AD262,C262+D262-E262,0),IF(L262&lt;AD262,I262+J262-K262,0),IF(R262&lt;AD262,O262+P262-Q262,0),IF(X262&lt;AD262,U262+V262-W262,0)))))</x:f>
        <x:v>0</x:v>
      </x:c>
      <x:c r="AF262" s="6" t="n">
        <x:f>ROUND(MAX(0,AA262+AB262-AC262-AE262),2)</x:f>
        <x:v>0</x:v>
      </x:c>
      <x:c r="AG262" s="6" t="n">
        <x:f>SUM(H262,N262,T262,Z262,AF262)</x:f>
        <x:v>0</x:v>
      </x:c>
      <x:c r="AH262" s="6" t="n">
        <x:f>SUM(D262,J262,P262,V262,AB262)+AH261</x:f>
        <x:v>1220.8400000000001</x:v>
      </x:c>
      <x:c r="AI262" s="2"/>
    </x:row>
    <x:row r="263" ht="23" customHeight="1">
      <x:c r="B263" s="2" t="n">
        <x:f>255</x:f>
        <x:v>255</x:v>
      </x:c>
      <x:c r="C263" s="6" t="n">
        <x:f>H262</x:f>
        <x:v>0</x:v>
      </x:c>
      <x:c r="D263" s="6" t="n">
        <x:f>ROUND(C263*'Debt strategy'!$D$9/12,2)</x:f>
        <x:v>0</x:v>
      </x:c>
      <x:c r="E263" s="6" t="n">
        <x:f>MIN(C263+D263,'Debt strategy'!$E$9)</x:f>
        <x:v>0</x:v>
      </x:c>
      <x:c r="F263" s="27" t="n">
        <x:f>IF(C263+D263-E263&lt;=0,99,1+SUM(IF(AND(I263+J263-K263&gt;0,OR('Debt strategy'!$D$10&gt;'Debt strategy'!$D$9,AND('Debt strategy'!$D$10='Debt strategy'!$D$9,1&lt;0))),1,0),IF(AND(O263+P263-Q263&gt;0,OR('Debt strategy'!$D$11&gt;'Debt strategy'!$D$9,AND('Debt strategy'!$D$11='Debt strategy'!$D$9,2&lt;0))),1,0),IF(AND(U263+V263-W263&gt;0,OR('Debt strategy'!$D$12&gt;'Debt strategy'!$D$9,AND('Debt strategy'!$D$12='Debt strategy'!$D$9,3&lt;0))),1,0),IF(AND(AA263+AB263-AC263&gt;0,OR('Debt strategy'!$D$13&gt;'Debt strategy'!$D$9,AND('Debt strategy'!$D$13='Debt strategy'!$D$9,4&lt;0))),1,0)))</x:f>
        <x:v>99</x:v>
      </x:c>
      <x:c r="G263" s="6" t="n">
        <x:f>IF('Debt strategy'!$C$16&gt;0,0,MIN(C263+D263-E263,MAX(0,'Debt strategy'!$C$5-SUM(E263,K263,Q263,W263,AC263)-SUM(IF(L263&lt;F263,I263+J263-K263,0),IF(R263&lt;F263,O263+P263-Q263,0),IF(X263&lt;F263,U263+V263-W263,0),IF(AD263&lt;F263,AA263+AB263-AC263,0)))))</x:f>
        <x:v>0</x:v>
      </x:c>
      <x:c r="H263" s="6" t="n">
        <x:f>ROUND(MAX(0,C263+D263-E263-G263),2)</x:f>
        <x:v>0</x:v>
      </x:c>
      <x:c r="I263" s="6" t="n">
        <x:f>N262</x:f>
        <x:v>0</x:v>
      </x:c>
      <x:c r="J263" s="6" t="n">
        <x:f>ROUND(I263*'Debt strategy'!$D$10/12,2)</x:f>
        <x:v>0</x:v>
      </x:c>
      <x:c r="K263" s="6" t="n">
        <x:f>MIN(I263+J263,'Debt strategy'!$E$10)</x:f>
        <x:v>0</x:v>
      </x:c>
      <x:c r="L263" s="27" t="n">
        <x:f>IF(I263+J263-K263&lt;=0,99,1+SUM(IF(AND(C263+D263-E263&gt;0,OR('Debt strategy'!$D$9&gt;'Debt strategy'!$D$10,AND('Debt strategy'!$D$9='Debt strategy'!$D$10,0&lt;1))),1,0),IF(AND(O263+P263-Q263&gt;0,OR('Debt strategy'!$D$11&gt;'Debt strategy'!$D$10,AND('Debt strategy'!$D$11='Debt strategy'!$D$10,2&lt;1))),1,0),IF(AND(U263+V263-W263&gt;0,OR('Debt strategy'!$D$12&gt;'Debt strategy'!$D$10,AND('Debt strategy'!$D$12='Debt strategy'!$D$10,3&lt;1))),1,0),IF(AND(AA263+AB263-AC263&gt;0,OR('Debt strategy'!$D$13&gt;'Debt strategy'!$D$10,AND('Debt strategy'!$D$13='Debt strategy'!$D$10,4&lt;1))),1,0)))</x:f>
        <x:v>99</x:v>
      </x:c>
      <x:c r="M263" s="6" t="n">
        <x:f>IF('Debt strategy'!$C$16&gt;0,0,MIN(I263+J263-K263,MAX(0,'Debt strategy'!$C$5-SUM(E263,K263,Q263,W263,AC263)-SUM(IF(F263&lt;L263,C263+D263-E263,0),IF(R263&lt;L263,O263+P263-Q263,0),IF(X263&lt;L263,U263+V263-W263,0),IF(AD263&lt;L263,AA263+AB263-AC263,0)))))</x:f>
        <x:v>0</x:v>
      </x:c>
      <x:c r="N263" s="6" t="n">
        <x:f>ROUND(MAX(0,I263+J263-K263-M263),2)</x:f>
        <x:v>0</x:v>
      </x:c>
      <x:c r="O263" s="6" t="n">
        <x:f>T262</x:f>
        <x:v>0</x:v>
      </x:c>
      <x:c r="P263" s="6" t="n">
        <x:f>ROUND(O263*'Debt strategy'!$D$11/12,2)</x:f>
        <x:v>0</x:v>
      </x:c>
      <x:c r="Q263" s="6" t="n">
        <x:f>MIN(O263+P263,'Debt strategy'!$E$11)</x:f>
        <x:v>0</x:v>
      </x:c>
      <x:c r="R263" s="27" t="n">
        <x:f>IF(O263+P263-Q263&lt;=0,99,1+SUM(IF(AND(C263+D263-E263&gt;0,OR('Debt strategy'!$D$9&gt;'Debt strategy'!$D$11,AND('Debt strategy'!$D$9='Debt strategy'!$D$11,0&lt;2))),1,0),IF(AND(I263+J263-K263&gt;0,OR('Debt strategy'!$D$10&gt;'Debt strategy'!$D$11,AND('Debt strategy'!$D$10='Debt strategy'!$D$11,1&lt;2))),1,0),IF(AND(U263+V263-W263&gt;0,OR('Debt strategy'!$D$12&gt;'Debt strategy'!$D$11,AND('Debt strategy'!$D$12='Debt strategy'!$D$11,3&lt;2))),1,0),IF(AND(AA263+AB263-AC263&gt;0,OR('Debt strategy'!$D$13&gt;'Debt strategy'!$D$11,AND('Debt strategy'!$D$13='Debt strategy'!$D$11,4&lt;2))),1,0)))</x:f>
        <x:v>99</x:v>
      </x:c>
      <x:c r="S263" s="6" t="n">
        <x:f>IF('Debt strategy'!$C$16&gt;0,0,MIN(O263+P263-Q263,MAX(0,'Debt strategy'!$C$5-SUM(E263,K263,Q263,W263,AC263)-SUM(IF(F263&lt;R263,C263+D263-E263,0),IF(L263&lt;R263,I263+J263-K263,0),IF(X263&lt;R263,U263+V263-W263,0),IF(AD263&lt;R263,AA263+AB263-AC263,0)))))</x:f>
        <x:v>0</x:v>
      </x:c>
      <x:c r="T263" s="6" t="n">
        <x:f>ROUND(MAX(0,O263+P263-Q263-S263),2)</x:f>
        <x:v>0</x:v>
      </x:c>
      <x:c r="U263" s="6" t="n">
        <x:f>Z262</x:f>
        <x:v>0</x:v>
      </x:c>
      <x:c r="V263" s="6" t="n">
        <x:f>ROUND(U263*'Debt strategy'!$D$12/12,2)</x:f>
        <x:v>0</x:v>
      </x:c>
      <x:c r="W263" s="6" t="n">
        <x:f>MIN(U263+V263,'Debt strategy'!$E$12)</x:f>
        <x:v>0</x:v>
      </x:c>
      <x:c r="X263" s="27" t="n">
        <x:f>IF(U263+V263-W263&lt;=0,99,1+SUM(IF(AND(C263+D263-E263&gt;0,OR('Debt strategy'!$D$9&gt;'Debt strategy'!$D$12,AND('Debt strategy'!$D$9='Debt strategy'!$D$12,0&lt;3))),1,0),IF(AND(I263+J263-K263&gt;0,OR('Debt strategy'!$D$10&gt;'Debt strategy'!$D$12,AND('Debt strategy'!$D$10='Debt strategy'!$D$12,1&lt;3))),1,0),IF(AND(O263+P263-Q263&gt;0,OR('Debt strategy'!$D$11&gt;'Debt strategy'!$D$12,AND('Debt strategy'!$D$11='Debt strategy'!$D$12,2&lt;3))),1,0),IF(AND(AA263+AB263-AC263&gt;0,OR('Debt strategy'!$D$13&gt;'Debt strategy'!$D$12,AND('Debt strategy'!$D$13='Debt strategy'!$D$12,4&lt;3))),1,0)))</x:f>
        <x:v>99</x:v>
      </x:c>
      <x:c r="Y263" s="6" t="n">
        <x:f>IF('Debt strategy'!$C$16&gt;0,0,MIN(U263+V263-W263,MAX(0,'Debt strategy'!$C$5-SUM(E263,K263,Q263,W263,AC263)-SUM(IF(F263&lt;X263,C263+D263-E263,0),IF(L263&lt;X263,I263+J263-K263,0),IF(R263&lt;X263,O263+P263-Q263,0),IF(AD263&lt;X263,AA263+AB263-AC263,0)))))</x:f>
        <x:v>0</x:v>
      </x:c>
      <x:c r="Z263" s="6" t="n">
        <x:f>ROUND(MAX(0,U263+V263-W263-Y263),2)</x:f>
        <x:v>0</x:v>
      </x:c>
      <x:c r="AA263" s="6" t="n">
        <x:f>AF262</x:f>
        <x:v>0</x:v>
      </x:c>
      <x:c r="AB263" s="6" t="n">
        <x:f>ROUND(AA263*'Debt strategy'!$D$13/12,2)</x:f>
        <x:v>0</x:v>
      </x:c>
      <x:c r="AC263" s="6" t="n">
        <x:f>MIN(AA263+AB263,'Debt strategy'!$E$13)</x:f>
        <x:v>0</x:v>
      </x:c>
      <x:c r="AD263" s="27" t="n">
        <x:f>IF(AA263+AB263-AC263&lt;=0,99,1+SUM(IF(AND(C263+D263-E263&gt;0,OR('Debt strategy'!$D$9&gt;'Debt strategy'!$D$13,AND('Debt strategy'!$D$9='Debt strategy'!$D$13,0&lt;4))),1,0),IF(AND(I263+J263-K263&gt;0,OR('Debt strategy'!$D$10&gt;'Debt strategy'!$D$13,AND('Debt strategy'!$D$10='Debt strategy'!$D$13,1&lt;4))),1,0),IF(AND(O263+P263-Q263&gt;0,OR('Debt strategy'!$D$11&gt;'Debt strategy'!$D$13,AND('Debt strategy'!$D$11='Debt strategy'!$D$13,2&lt;4))),1,0),IF(AND(U263+V263-W263&gt;0,OR('Debt strategy'!$D$12&gt;'Debt strategy'!$D$13,AND('Debt strategy'!$D$12='Debt strategy'!$D$13,3&lt;4))),1,0)))</x:f>
        <x:v>99</x:v>
      </x:c>
      <x:c r="AE263" s="6" t="n">
        <x:f>IF('Debt strategy'!$C$16&gt;0,0,MIN(AA263+AB263-AC263,MAX(0,'Debt strategy'!$C$5-SUM(E263,K263,Q263,W263,AC263)-SUM(IF(F263&lt;AD263,C263+D263-E263,0),IF(L263&lt;AD263,I263+J263-K263,0),IF(R263&lt;AD263,O263+P263-Q263,0),IF(X263&lt;AD263,U263+V263-W263,0)))))</x:f>
        <x:v>0</x:v>
      </x:c>
      <x:c r="AF263" s="6" t="n">
        <x:f>ROUND(MAX(0,AA263+AB263-AC263-AE263),2)</x:f>
        <x:v>0</x:v>
      </x:c>
      <x:c r="AG263" s="6" t="n">
        <x:f>SUM(H263,N263,T263,Z263,AF263)</x:f>
        <x:v>0</x:v>
      </x:c>
      <x:c r="AH263" s="6" t="n">
        <x:f>SUM(D263,J263,P263,V263,AB263)+AH262</x:f>
        <x:v>1220.8400000000001</x:v>
      </x:c>
      <x:c r="AI263" s="2"/>
    </x:row>
    <x:row r="264" ht="23" customHeight="1">
      <x:c r="B264" s="2" t="n">
        <x:f>256</x:f>
        <x:v>256</x:v>
      </x:c>
      <x:c r="C264" s="6" t="n">
        <x:f>H263</x:f>
        <x:v>0</x:v>
      </x:c>
      <x:c r="D264" s="6" t="n">
        <x:f>ROUND(C264*'Debt strategy'!$D$9/12,2)</x:f>
        <x:v>0</x:v>
      </x:c>
      <x:c r="E264" s="6" t="n">
        <x:f>MIN(C264+D264,'Debt strategy'!$E$9)</x:f>
        <x:v>0</x:v>
      </x:c>
      <x:c r="F264" s="27" t="n">
        <x:f>IF(C264+D264-E264&lt;=0,99,1+SUM(IF(AND(I264+J264-K264&gt;0,OR('Debt strategy'!$D$10&gt;'Debt strategy'!$D$9,AND('Debt strategy'!$D$10='Debt strategy'!$D$9,1&lt;0))),1,0),IF(AND(O264+P264-Q264&gt;0,OR('Debt strategy'!$D$11&gt;'Debt strategy'!$D$9,AND('Debt strategy'!$D$11='Debt strategy'!$D$9,2&lt;0))),1,0),IF(AND(U264+V264-W264&gt;0,OR('Debt strategy'!$D$12&gt;'Debt strategy'!$D$9,AND('Debt strategy'!$D$12='Debt strategy'!$D$9,3&lt;0))),1,0),IF(AND(AA264+AB264-AC264&gt;0,OR('Debt strategy'!$D$13&gt;'Debt strategy'!$D$9,AND('Debt strategy'!$D$13='Debt strategy'!$D$9,4&lt;0))),1,0)))</x:f>
        <x:v>99</x:v>
      </x:c>
      <x:c r="G264" s="6" t="n">
        <x:f>IF('Debt strategy'!$C$16&gt;0,0,MIN(C264+D264-E264,MAX(0,'Debt strategy'!$C$5-SUM(E264,K264,Q264,W264,AC264)-SUM(IF(L264&lt;F264,I264+J264-K264,0),IF(R264&lt;F264,O264+P264-Q264,0),IF(X264&lt;F264,U264+V264-W264,0),IF(AD264&lt;F264,AA264+AB264-AC264,0)))))</x:f>
        <x:v>0</x:v>
      </x:c>
      <x:c r="H264" s="6" t="n">
        <x:f>ROUND(MAX(0,C264+D264-E264-G264),2)</x:f>
        <x:v>0</x:v>
      </x:c>
      <x:c r="I264" s="6" t="n">
        <x:f>N263</x:f>
        <x:v>0</x:v>
      </x:c>
      <x:c r="J264" s="6" t="n">
        <x:f>ROUND(I264*'Debt strategy'!$D$10/12,2)</x:f>
        <x:v>0</x:v>
      </x:c>
      <x:c r="K264" s="6" t="n">
        <x:f>MIN(I264+J264,'Debt strategy'!$E$10)</x:f>
        <x:v>0</x:v>
      </x:c>
      <x:c r="L264" s="27" t="n">
        <x:f>IF(I264+J264-K264&lt;=0,99,1+SUM(IF(AND(C264+D264-E264&gt;0,OR('Debt strategy'!$D$9&gt;'Debt strategy'!$D$10,AND('Debt strategy'!$D$9='Debt strategy'!$D$10,0&lt;1))),1,0),IF(AND(O264+P264-Q264&gt;0,OR('Debt strategy'!$D$11&gt;'Debt strategy'!$D$10,AND('Debt strategy'!$D$11='Debt strategy'!$D$10,2&lt;1))),1,0),IF(AND(U264+V264-W264&gt;0,OR('Debt strategy'!$D$12&gt;'Debt strategy'!$D$10,AND('Debt strategy'!$D$12='Debt strategy'!$D$10,3&lt;1))),1,0),IF(AND(AA264+AB264-AC264&gt;0,OR('Debt strategy'!$D$13&gt;'Debt strategy'!$D$10,AND('Debt strategy'!$D$13='Debt strategy'!$D$10,4&lt;1))),1,0)))</x:f>
        <x:v>99</x:v>
      </x:c>
      <x:c r="M264" s="6" t="n">
        <x:f>IF('Debt strategy'!$C$16&gt;0,0,MIN(I264+J264-K264,MAX(0,'Debt strategy'!$C$5-SUM(E264,K264,Q264,W264,AC264)-SUM(IF(F264&lt;L264,C264+D264-E264,0),IF(R264&lt;L264,O264+P264-Q264,0),IF(X264&lt;L264,U264+V264-W264,0),IF(AD264&lt;L264,AA264+AB264-AC264,0)))))</x:f>
        <x:v>0</x:v>
      </x:c>
      <x:c r="N264" s="6" t="n">
        <x:f>ROUND(MAX(0,I264+J264-K264-M264),2)</x:f>
        <x:v>0</x:v>
      </x:c>
      <x:c r="O264" s="6" t="n">
        <x:f>T263</x:f>
        <x:v>0</x:v>
      </x:c>
      <x:c r="P264" s="6" t="n">
        <x:f>ROUND(O264*'Debt strategy'!$D$11/12,2)</x:f>
        <x:v>0</x:v>
      </x:c>
      <x:c r="Q264" s="6" t="n">
        <x:f>MIN(O264+P264,'Debt strategy'!$E$11)</x:f>
        <x:v>0</x:v>
      </x:c>
      <x:c r="R264" s="27" t="n">
        <x:f>IF(O264+P264-Q264&lt;=0,99,1+SUM(IF(AND(C264+D264-E264&gt;0,OR('Debt strategy'!$D$9&gt;'Debt strategy'!$D$11,AND('Debt strategy'!$D$9='Debt strategy'!$D$11,0&lt;2))),1,0),IF(AND(I264+J264-K264&gt;0,OR('Debt strategy'!$D$10&gt;'Debt strategy'!$D$11,AND('Debt strategy'!$D$10='Debt strategy'!$D$11,1&lt;2))),1,0),IF(AND(U264+V264-W264&gt;0,OR('Debt strategy'!$D$12&gt;'Debt strategy'!$D$11,AND('Debt strategy'!$D$12='Debt strategy'!$D$11,3&lt;2))),1,0),IF(AND(AA264+AB264-AC264&gt;0,OR('Debt strategy'!$D$13&gt;'Debt strategy'!$D$11,AND('Debt strategy'!$D$13='Debt strategy'!$D$11,4&lt;2))),1,0)))</x:f>
        <x:v>99</x:v>
      </x:c>
      <x:c r="S264" s="6" t="n">
        <x:f>IF('Debt strategy'!$C$16&gt;0,0,MIN(O264+P264-Q264,MAX(0,'Debt strategy'!$C$5-SUM(E264,K264,Q264,W264,AC264)-SUM(IF(F264&lt;R264,C264+D264-E264,0),IF(L264&lt;R264,I264+J264-K264,0),IF(X264&lt;R264,U264+V264-W264,0),IF(AD264&lt;R264,AA264+AB264-AC264,0)))))</x:f>
        <x:v>0</x:v>
      </x:c>
      <x:c r="T264" s="6" t="n">
        <x:f>ROUND(MAX(0,O264+P264-Q264-S264),2)</x:f>
        <x:v>0</x:v>
      </x:c>
      <x:c r="U264" s="6" t="n">
        <x:f>Z263</x:f>
        <x:v>0</x:v>
      </x:c>
      <x:c r="V264" s="6" t="n">
        <x:f>ROUND(U264*'Debt strategy'!$D$12/12,2)</x:f>
        <x:v>0</x:v>
      </x:c>
      <x:c r="W264" s="6" t="n">
        <x:f>MIN(U264+V264,'Debt strategy'!$E$12)</x:f>
        <x:v>0</x:v>
      </x:c>
      <x:c r="X264" s="27" t="n">
        <x:f>IF(U264+V264-W264&lt;=0,99,1+SUM(IF(AND(C264+D264-E264&gt;0,OR('Debt strategy'!$D$9&gt;'Debt strategy'!$D$12,AND('Debt strategy'!$D$9='Debt strategy'!$D$12,0&lt;3))),1,0),IF(AND(I264+J264-K264&gt;0,OR('Debt strategy'!$D$10&gt;'Debt strategy'!$D$12,AND('Debt strategy'!$D$10='Debt strategy'!$D$12,1&lt;3))),1,0),IF(AND(O264+P264-Q264&gt;0,OR('Debt strategy'!$D$11&gt;'Debt strategy'!$D$12,AND('Debt strategy'!$D$11='Debt strategy'!$D$12,2&lt;3))),1,0),IF(AND(AA264+AB264-AC264&gt;0,OR('Debt strategy'!$D$13&gt;'Debt strategy'!$D$12,AND('Debt strategy'!$D$13='Debt strategy'!$D$12,4&lt;3))),1,0)))</x:f>
        <x:v>99</x:v>
      </x:c>
      <x:c r="Y264" s="6" t="n">
        <x:f>IF('Debt strategy'!$C$16&gt;0,0,MIN(U264+V264-W264,MAX(0,'Debt strategy'!$C$5-SUM(E264,K264,Q264,W264,AC264)-SUM(IF(F264&lt;X264,C264+D264-E264,0),IF(L264&lt;X264,I264+J264-K264,0),IF(R264&lt;X264,O264+P264-Q264,0),IF(AD264&lt;X264,AA264+AB264-AC264,0)))))</x:f>
        <x:v>0</x:v>
      </x:c>
      <x:c r="Z264" s="6" t="n">
        <x:f>ROUND(MAX(0,U264+V264-W264-Y264),2)</x:f>
        <x:v>0</x:v>
      </x:c>
      <x:c r="AA264" s="6" t="n">
        <x:f>AF263</x:f>
        <x:v>0</x:v>
      </x:c>
      <x:c r="AB264" s="6" t="n">
        <x:f>ROUND(AA264*'Debt strategy'!$D$13/12,2)</x:f>
        <x:v>0</x:v>
      </x:c>
      <x:c r="AC264" s="6" t="n">
        <x:f>MIN(AA264+AB264,'Debt strategy'!$E$13)</x:f>
        <x:v>0</x:v>
      </x:c>
      <x:c r="AD264" s="27" t="n">
        <x:f>IF(AA264+AB264-AC264&lt;=0,99,1+SUM(IF(AND(C264+D264-E264&gt;0,OR('Debt strategy'!$D$9&gt;'Debt strategy'!$D$13,AND('Debt strategy'!$D$9='Debt strategy'!$D$13,0&lt;4))),1,0),IF(AND(I264+J264-K264&gt;0,OR('Debt strategy'!$D$10&gt;'Debt strategy'!$D$13,AND('Debt strategy'!$D$10='Debt strategy'!$D$13,1&lt;4))),1,0),IF(AND(O264+P264-Q264&gt;0,OR('Debt strategy'!$D$11&gt;'Debt strategy'!$D$13,AND('Debt strategy'!$D$11='Debt strategy'!$D$13,2&lt;4))),1,0),IF(AND(U264+V264-W264&gt;0,OR('Debt strategy'!$D$12&gt;'Debt strategy'!$D$13,AND('Debt strategy'!$D$12='Debt strategy'!$D$13,3&lt;4))),1,0)))</x:f>
        <x:v>99</x:v>
      </x:c>
      <x:c r="AE264" s="6" t="n">
        <x:f>IF('Debt strategy'!$C$16&gt;0,0,MIN(AA264+AB264-AC264,MAX(0,'Debt strategy'!$C$5-SUM(E264,K264,Q264,W264,AC264)-SUM(IF(F264&lt;AD264,C264+D264-E264,0),IF(L264&lt;AD264,I264+J264-K264,0),IF(R264&lt;AD264,O264+P264-Q264,0),IF(X264&lt;AD264,U264+V264-W264,0)))))</x:f>
        <x:v>0</x:v>
      </x:c>
      <x:c r="AF264" s="6" t="n">
        <x:f>ROUND(MAX(0,AA264+AB264-AC264-AE264),2)</x:f>
        <x:v>0</x:v>
      </x:c>
      <x:c r="AG264" s="6" t="n">
        <x:f>SUM(H264,N264,T264,Z264,AF264)</x:f>
        <x:v>0</x:v>
      </x:c>
      <x:c r="AH264" s="6" t="n">
        <x:f>SUM(D264,J264,P264,V264,AB264)+AH263</x:f>
        <x:v>1220.8400000000001</x:v>
      </x:c>
      <x:c r="AI264" s="2"/>
    </x:row>
    <x:row r="265" ht="23" customHeight="1">
      <x:c r="B265" s="2" t="n">
        <x:f>257</x:f>
        <x:v>257</x:v>
      </x:c>
      <x:c r="C265" s="6" t="n">
        <x:f>H264</x:f>
        <x:v>0</x:v>
      </x:c>
      <x:c r="D265" s="6" t="n">
        <x:f>ROUND(C265*'Debt strategy'!$D$9/12,2)</x:f>
        <x:v>0</x:v>
      </x:c>
      <x:c r="E265" s="6" t="n">
        <x:f>MIN(C265+D265,'Debt strategy'!$E$9)</x:f>
        <x:v>0</x:v>
      </x:c>
      <x:c r="F265" s="27" t="n">
        <x:f>IF(C265+D265-E265&lt;=0,99,1+SUM(IF(AND(I265+J265-K265&gt;0,OR('Debt strategy'!$D$10&gt;'Debt strategy'!$D$9,AND('Debt strategy'!$D$10='Debt strategy'!$D$9,1&lt;0))),1,0),IF(AND(O265+P265-Q265&gt;0,OR('Debt strategy'!$D$11&gt;'Debt strategy'!$D$9,AND('Debt strategy'!$D$11='Debt strategy'!$D$9,2&lt;0))),1,0),IF(AND(U265+V265-W265&gt;0,OR('Debt strategy'!$D$12&gt;'Debt strategy'!$D$9,AND('Debt strategy'!$D$12='Debt strategy'!$D$9,3&lt;0))),1,0),IF(AND(AA265+AB265-AC265&gt;0,OR('Debt strategy'!$D$13&gt;'Debt strategy'!$D$9,AND('Debt strategy'!$D$13='Debt strategy'!$D$9,4&lt;0))),1,0)))</x:f>
        <x:v>99</x:v>
      </x:c>
      <x:c r="G265" s="6" t="n">
        <x:f>IF('Debt strategy'!$C$16&gt;0,0,MIN(C265+D265-E265,MAX(0,'Debt strategy'!$C$5-SUM(E265,K265,Q265,W265,AC265)-SUM(IF(L265&lt;F265,I265+J265-K265,0),IF(R265&lt;F265,O265+P265-Q265,0),IF(X265&lt;F265,U265+V265-W265,0),IF(AD265&lt;F265,AA265+AB265-AC265,0)))))</x:f>
        <x:v>0</x:v>
      </x:c>
      <x:c r="H265" s="6" t="n">
        <x:f>ROUND(MAX(0,C265+D265-E265-G265),2)</x:f>
        <x:v>0</x:v>
      </x:c>
      <x:c r="I265" s="6" t="n">
        <x:f>N264</x:f>
        <x:v>0</x:v>
      </x:c>
      <x:c r="J265" s="6" t="n">
        <x:f>ROUND(I265*'Debt strategy'!$D$10/12,2)</x:f>
        <x:v>0</x:v>
      </x:c>
      <x:c r="K265" s="6" t="n">
        <x:f>MIN(I265+J265,'Debt strategy'!$E$10)</x:f>
        <x:v>0</x:v>
      </x:c>
      <x:c r="L265" s="27" t="n">
        <x:f>IF(I265+J265-K265&lt;=0,99,1+SUM(IF(AND(C265+D265-E265&gt;0,OR('Debt strategy'!$D$9&gt;'Debt strategy'!$D$10,AND('Debt strategy'!$D$9='Debt strategy'!$D$10,0&lt;1))),1,0),IF(AND(O265+P265-Q265&gt;0,OR('Debt strategy'!$D$11&gt;'Debt strategy'!$D$10,AND('Debt strategy'!$D$11='Debt strategy'!$D$10,2&lt;1))),1,0),IF(AND(U265+V265-W265&gt;0,OR('Debt strategy'!$D$12&gt;'Debt strategy'!$D$10,AND('Debt strategy'!$D$12='Debt strategy'!$D$10,3&lt;1))),1,0),IF(AND(AA265+AB265-AC265&gt;0,OR('Debt strategy'!$D$13&gt;'Debt strategy'!$D$10,AND('Debt strategy'!$D$13='Debt strategy'!$D$10,4&lt;1))),1,0)))</x:f>
        <x:v>99</x:v>
      </x:c>
      <x:c r="M265" s="6" t="n">
        <x:f>IF('Debt strategy'!$C$16&gt;0,0,MIN(I265+J265-K265,MAX(0,'Debt strategy'!$C$5-SUM(E265,K265,Q265,W265,AC265)-SUM(IF(F265&lt;L265,C265+D265-E265,0),IF(R265&lt;L265,O265+P265-Q265,0),IF(X265&lt;L265,U265+V265-W265,0),IF(AD265&lt;L265,AA265+AB265-AC265,0)))))</x:f>
        <x:v>0</x:v>
      </x:c>
      <x:c r="N265" s="6" t="n">
        <x:f>ROUND(MAX(0,I265+J265-K265-M265),2)</x:f>
        <x:v>0</x:v>
      </x:c>
      <x:c r="O265" s="6" t="n">
        <x:f>T264</x:f>
        <x:v>0</x:v>
      </x:c>
      <x:c r="P265" s="6" t="n">
        <x:f>ROUND(O265*'Debt strategy'!$D$11/12,2)</x:f>
        <x:v>0</x:v>
      </x:c>
      <x:c r="Q265" s="6" t="n">
        <x:f>MIN(O265+P265,'Debt strategy'!$E$11)</x:f>
        <x:v>0</x:v>
      </x:c>
      <x:c r="R265" s="27" t="n">
        <x:f>IF(O265+P265-Q265&lt;=0,99,1+SUM(IF(AND(C265+D265-E265&gt;0,OR('Debt strategy'!$D$9&gt;'Debt strategy'!$D$11,AND('Debt strategy'!$D$9='Debt strategy'!$D$11,0&lt;2))),1,0),IF(AND(I265+J265-K265&gt;0,OR('Debt strategy'!$D$10&gt;'Debt strategy'!$D$11,AND('Debt strategy'!$D$10='Debt strategy'!$D$11,1&lt;2))),1,0),IF(AND(U265+V265-W265&gt;0,OR('Debt strategy'!$D$12&gt;'Debt strategy'!$D$11,AND('Debt strategy'!$D$12='Debt strategy'!$D$11,3&lt;2))),1,0),IF(AND(AA265+AB265-AC265&gt;0,OR('Debt strategy'!$D$13&gt;'Debt strategy'!$D$11,AND('Debt strategy'!$D$13='Debt strategy'!$D$11,4&lt;2))),1,0)))</x:f>
        <x:v>99</x:v>
      </x:c>
      <x:c r="S265" s="6" t="n">
        <x:f>IF('Debt strategy'!$C$16&gt;0,0,MIN(O265+P265-Q265,MAX(0,'Debt strategy'!$C$5-SUM(E265,K265,Q265,W265,AC265)-SUM(IF(F265&lt;R265,C265+D265-E265,0),IF(L265&lt;R265,I265+J265-K265,0),IF(X265&lt;R265,U265+V265-W265,0),IF(AD265&lt;R265,AA265+AB265-AC265,0)))))</x:f>
        <x:v>0</x:v>
      </x:c>
      <x:c r="T265" s="6" t="n">
        <x:f>ROUND(MAX(0,O265+P265-Q265-S265),2)</x:f>
        <x:v>0</x:v>
      </x:c>
      <x:c r="U265" s="6" t="n">
        <x:f>Z264</x:f>
        <x:v>0</x:v>
      </x:c>
      <x:c r="V265" s="6" t="n">
        <x:f>ROUND(U265*'Debt strategy'!$D$12/12,2)</x:f>
        <x:v>0</x:v>
      </x:c>
      <x:c r="W265" s="6" t="n">
        <x:f>MIN(U265+V265,'Debt strategy'!$E$12)</x:f>
        <x:v>0</x:v>
      </x:c>
      <x:c r="X265" s="27" t="n">
        <x:f>IF(U265+V265-W265&lt;=0,99,1+SUM(IF(AND(C265+D265-E265&gt;0,OR('Debt strategy'!$D$9&gt;'Debt strategy'!$D$12,AND('Debt strategy'!$D$9='Debt strategy'!$D$12,0&lt;3))),1,0),IF(AND(I265+J265-K265&gt;0,OR('Debt strategy'!$D$10&gt;'Debt strategy'!$D$12,AND('Debt strategy'!$D$10='Debt strategy'!$D$12,1&lt;3))),1,0),IF(AND(O265+P265-Q265&gt;0,OR('Debt strategy'!$D$11&gt;'Debt strategy'!$D$12,AND('Debt strategy'!$D$11='Debt strategy'!$D$12,2&lt;3))),1,0),IF(AND(AA265+AB265-AC265&gt;0,OR('Debt strategy'!$D$13&gt;'Debt strategy'!$D$12,AND('Debt strategy'!$D$13='Debt strategy'!$D$12,4&lt;3))),1,0)))</x:f>
        <x:v>99</x:v>
      </x:c>
      <x:c r="Y265" s="6" t="n">
        <x:f>IF('Debt strategy'!$C$16&gt;0,0,MIN(U265+V265-W265,MAX(0,'Debt strategy'!$C$5-SUM(E265,K265,Q265,W265,AC265)-SUM(IF(F265&lt;X265,C265+D265-E265,0),IF(L265&lt;X265,I265+J265-K265,0),IF(R265&lt;X265,O265+P265-Q265,0),IF(AD265&lt;X265,AA265+AB265-AC265,0)))))</x:f>
        <x:v>0</x:v>
      </x:c>
      <x:c r="Z265" s="6" t="n">
        <x:f>ROUND(MAX(0,U265+V265-W265-Y265),2)</x:f>
        <x:v>0</x:v>
      </x:c>
      <x:c r="AA265" s="6" t="n">
        <x:f>AF264</x:f>
        <x:v>0</x:v>
      </x:c>
      <x:c r="AB265" s="6" t="n">
        <x:f>ROUND(AA265*'Debt strategy'!$D$13/12,2)</x:f>
        <x:v>0</x:v>
      </x:c>
      <x:c r="AC265" s="6" t="n">
        <x:f>MIN(AA265+AB265,'Debt strategy'!$E$13)</x:f>
        <x:v>0</x:v>
      </x:c>
      <x:c r="AD265" s="27" t="n">
        <x:f>IF(AA265+AB265-AC265&lt;=0,99,1+SUM(IF(AND(C265+D265-E265&gt;0,OR('Debt strategy'!$D$9&gt;'Debt strategy'!$D$13,AND('Debt strategy'!$D$9='Debt strategy'!$D$13,0&lt;4))),1,0),IF(AND(I265+J265-K265&gt;0,OR('Debt strategy'!$D$10&gt;'Debt strategy'!$D$13,AND('Debt strategy'!$D$10='Debt strategy'!$D$13,1&lt;4))),1,0),IF(AND(O265+P265-Q265&gt;0,OR('Debt strategy'!$D$11&gt;'Debt strategy'!$D$13,AND('Debt strategy'!$D$11='Debt strategy'!$D$13,2&lt;4))),1,0),IF(AND(U265+V265-W265&gt;0,OR('Debt strategy'!$D$12&gt;'Debt strategy'!$D$13,AND('Debt strategy'!$D$12='Debt strategy'!$D$13,3&lt;4))),1,0)))</x:f>
        <x:v>99</x:v>
      </x:c>
      <x:c r="AE265" s="6" t="n">
        <x:f>IF('Debt strategy'!$C$16&gt;0,0,MIN(AA265+AB265-AC265,MAX(0,'Debt strategy'!$C$5-SUM(E265,K265,Q265,W265,AC265)-SUM(IF(F265&lt;AD265,C265+D265-E265,0),IF(L265&lt;AD265,I265+J265-K265,0),IF(R265&lt;AD265,O265+P265-Q265,0),IF(X265&lt;AD265,U265+V265-W265,0)))))</x:f>
        <x:v>0</x:v>
      </x:c>
      <x:c r="AF265" s="6" t="n">
        <x:f>ROUND(MAX(0,AA265+AB265-AC265-AE265),2)</x:f>
        <x:v>0</x:v>
      </x:c>
      <x:c r="AG265" s="6" t="n">
        <x:f>SUM(H265,N265,T265,Z265,AF265)</x:f>
        <x:v>0</x:v>
      </x:c>
      <x:c r="AH265" s="6" t="n">
        <x:f>SUM(D265,J265,P265,V265,AB265)+AH264</x:f>
        <x:v>1220.8400000000001</x:v>
      </x:c>
      <x:c r="AI265" s="2"/>
    </x:row>
    <x:row r="266" ht="23" customHeight="1">
      <x:c r="B266" s="2" t="n">
        <x:f>258</x:f>
        <x:v>258</x:v>
      </x:c>
      <x:c r="C266" s="6" t="n">
        <x:f>H265</x:f>
        <x:v>0</x:v>
      </x:c>
      <x:c r="D266" s="6" t="n">
        <x:f>ROUND(C266*'Debt strategy'!$D$9/12,2)</x:f>
        <x:v>0</x:v>
      </x:c>
      <x:c r="E266" s="6" t="n">
        <x:f>MIN(C266+D266,'Debt strategy'!$E$9)</x:f>
        <x:v>0</x:v>
      </x:c>
      <x:c r="F266" s="27" t="n">
        <x:f>IF(C266+D266-E266&lt;=0,99,1+SUM(IF(AND(I266+J266-K266&gt;0,OR('Debt strategy'!$D$10&gt;'Debt strategy'!$D$9,AND('Debt strategy'!$D$10='Debt strategy'!$D$9,1&lt;0))),1,0),IF(AND(O266+P266-Q266&gt;0,OR('Debt strategy'!$D$11&gt;'Debt strategy'!$D$9,AND('Debt strategy'!$D$11='Debt strategy'!$D$9,2&lt;0))),1,0),IF(AND(U266+V266-W266&gt;0,OR('Debt strategy'!$D$12&gt;'Debt strategy'!$D$9,AND('Debt strategy'!$D$12='Debt strategy'!$D$9,3&lt;0))),1,0),IF(AND(AA266+AB266-AC266&gt;0,OR('Debt strategy'!$D$13&gt;'Debt strategy'!$D$9,AND('Debt strategy'!$D$13='Debt strategy'!$D$9,4&lt;0))),1,0)))</x:f>
        <x:v>99</x:v>
      </x:c>
      <x:c r="G266" s="6" t="n">
        <x:f>IF('Debt strategy'!$C$16&gt;0,0,MIN(C266+D266-E266,MAX(0,'Debt strategy'!$C$5-SUM(E266,K266,Q266,W266,AC266)-SUM(IF(L266&lt;F266,I266+J266-K266,0),IF(R266&lt;F266,O266+P266-Q266,0),IF(X266&lt;F266,U266+V266-W266,0),IF(AD266&lt;F266,AA266+AB266-AC266,0)))))</x:f>
        <x:v>0</x:v>
      </x:c>
      <x:c r="H266" s="6" t="n">
        <x:f>ROUND(MAX(0,C266+D266-E266-G266),2)</x:f>
        <x:v>0</x:v>
      </x:c>
      <x:c r="I266" s="6" t="n">
        <x:f>N265</x:f>
        <x:v>0</x:v>
      </x:c>
      <x:c r="J266" s="6" t="n">
        <x:f>ROUND(I266*'Debt strategy'!$D$10/12,2)</x:f>
        <x:v>0</x:v>
      </x:c>
      <x:c r="K266" s="6" t="n">
        <x:f>MIN(I266+J266,'Debt strategy'!$E$10)</x:f>
        <x:v>0</x:v>
      </x:c>
      <x:c r="L266" s="27" t="n">
        <x:f>IF(I266+J266-K266&lt;=0,99,1+SUM(IF(AND(C266+D266-E266&gt;0,OR('Debt strategy'!$D$9&gt;'Debt strategy'!$D$10,AND('Debt strategy'!$D$9='Debt strategy'!$D$10,0&lt;1))),1,0),IF(AND(O266+P266-Q266&gt;0,OR('Debt strategy'!$D$11&gt;'Debt strategy'!$D$10,AND('Debt strategy'!$D$11='Debt strategy'!$D$10,2&lt;1))),1,0),IF(AND(U266+V266-W266&gt;0,OR('Debt strategy'!$D$12&gt;'Debt strategy'!$D$10,AND('Debt strategy'!$D$12='Debt strategy'!$D$10,3&lt;1))),1,0),IF(AND(AA266+AB266-AC266&gt;0,OR('Debt strategy'!$D$13&gt;'Debt strategy'!$D$10,AND('Debt strategy'!$D$13='Debt strategy'!$D$10,4&lt;1))),1,0)))</x:f>
        <x:v>99</x:v>
      </x:c>
      <x:c r="M266" s="6" t="n">
        <x:f>IF('Debt strategy'!$C$16&gt;0,0,MIN(I266+J266-K266,MAX(0,'Debt strategy'!$C$5-SUM(E266,K266,Q266,W266,AC266)-SUM(IF(F266&lt;L266,C266+D266-E266,0),IF(R266&lt;L266,O266+P266-Q266,0),IF(X266&lt;L266,U266+V266-W266,0),IF(AD266&lt;L266,AA266+AB266-AC266,0)))))</x:f>
        <x:v>0</x:v>
      </x:c>
      <x:c r="N266" s="6" t="n">
        <x:f>ROUND(MAX(0,I266+J266-K266-M266),2)</x:f>
        <x:v>0</x:v>
      </x:c>
      <x:c r="O266" s="6" t="n">
        <x:f>T265</x:f>
        <x:v>0</x:v>
      </x:c>
      <x:c r="P266" s="6" t="n">
        <x:f>ROUND(O266*'Debt strategy'!$D$11/12,2)</x:f>
        <x:v>0</x:v>
      </x:c>
      <x:c r="Q266" s="6" t="n">
        <x:f>MIN(O266+P266,'Debt strategy'!$E$11)</x:f>
        <x:v>0</x:v>
      </x:c>
      <x:c r="R266" s="27" t="n">
        <x:f>IF(O266+P266-Q266&lt;=0,99,1+SUM(IF(AND(C266+D266-E266&gt;0,OR('Debt strategy'!$D$9&gt;'Debt strategy'!$D$11,AND('Debt strategy'!$D$9='Debt strategy'!$D$11,0&lt;2))),1,0),IF(AND(I266+J266-K266&gt;0,OR('Debt strategy'!$D$10&gt;'Debt strategy'!$D$11,AND('Debt strategy'!$D$10='Debt strategy'!$D$11,1&lt;2))),1,0),IF(AND(U266+V266-W266&gt;0,OR('Debt strategy'!$D$12&gt;'Debt strategy'!$D$11,AND('Debt strategy'!$D$12='Debt strategy'!$D$11,3&lt;2))),1,0),IF(AND(AA266+AB266-AC266&gt;0,OR('Debt strategy'!$D$13&gt;'Debt strategy'!$D$11,AND('Debt strategy'!$D$13='Debt strategy'!$D$11,4&lt;2))),1,0)))</x:f>
        <x:v>99</x:v>
      </x:c>
      <x:c r="S266" s="6" t="n">
        <x:f>IF('Debt strategy'!$C$16&gt;0,0,MIN(O266+P266-Q266,MAX(0,'Debt strategy'!$C$5-SUM(E266,K266,Q266,W266,AC266)-SUM(IF(F266&lt;R266,C266+D266-E266,0),IF(L266&lt;R266,I266+J266-K266,0),IF(X266&lt;R266,U266+V266-W266,0),IF(AD266&lt;R266,AA266+AB266-AC266,0)))))</x:f>
        <x:v>0</x:v>
      </x:c>
      <x:c r="T266" s="6" t="n">
        <x:f>ROUND(MAX(0,O266+P266-Q266-S266),2)</x:f>
        <x:v>0</x:v>
      </x:c>
      <x:c r="U266" s="6" t="n">
        <x:f>Z265</x:f>
        <x:v>0</x:v>
      </x:c>
      <x:c r="V266" s="6" t="n">
        <x:f>ROUND(U266*'Debt strategy'!$D$12/12,2)</x:f>
        <x:v>0</x:v>
      </x:c>
      <x:c r="W266" s="6" t="n">
        <x:f>MIN(U266+V266,'Debt strategy'!$E$12)</x:f>
        <x:v>0</x:v>
      </x:c>
      <x:c r="X266" s="27" t="n">
        <x:f>IF(U266+V266-W266&lt;=0,99,1+SUM(IF(AND(C266+D266-E266&gt;0,OR('Debt strategy'!$D$9&gt;'Debt strategy'!$D$12,AND('Debt strategy'!$D$9='Debt strategy'!$D$12,0&lt;3))),1,0),IF(AND(I266+J266-K266&gt;0,OR('Debt strategy'!$D$10&gt;'Debt strategy'!$D$12,AND('Debt strategy'!$D$10='Debt strategy'!$D$12,1&lt;3))),1,0),IF(AND(O266+P266-Q266&gt;0,OR('Debt strategy'!$D$11&gt;'Debt strategy'!$D$12,AND('Debt strategy'!$D$11='Debt strategy'!$D$12,2&lt;3))),1,0),IF(AND(AA266+AB266-AC266&gt;0,OR('Debt strategy'!$D$13&gt;'Debt strategy'!$D$12,AND('Debt strategy'!$D$13='Debt strategy'!$D$12,4&lt;3))),1,0)))</x:f>
        <x:v>99</x:v>
      </x:c>
      <x:c r="Y266" s="6" t="n">
        <x:f>IF('Debt strategy'!$C$16&gt;0,0,MIN(U266+V266-W266,MAX(0,'Debt strategy'!$C$5-SUM(E266,K266,Q266,W266,AC266)-SUM(IF(F266&lt;X266,C266+D266-E266,0),IF(L266&lt;X266,I266+J266-K266,0),IF(R266&lt;X266,O266+P266-Q266,0),IF(AD266&lt;X266,AA266+AB266-AC266,0)))))</x:f>
        <x:v>0</x:v>
      </x:c>
      <x:c r="Z266" s="6" t="n">
        <x:f>ROUND(MAX(0,U266+V266-W266-Y266),2)</x:f>
        <x:v>0</x:v>
      </x:c>
      <x:c r="AA266" s="6" t="n">
        <x:f>AF265</x:f>
        <x:v>0</x:v>
      </x:c>
      <x:c r="AB266" s="6" t="n">
        <x:f>ROUND(AA266*'Debt strategy'!$D$13/12,2)</x:f>
        <x:v>0</x:v>
      </x:c>
      <x:c r="AC266" s="6" t="n">
        <x:f>MIN(AA266+AB266,'Debt strategy'!$E$13)</x:f>
        <x:v>0</x:v>
      </x:c>
      <x:c r="AD266" s="27" t="n">
        <x:f>IF(AA266+AB266-AC266&lt;=0,99,1+SUM(IF(AND(C266+D266-E266&gt;0,OR('Debt strategy'!$D$9&gt;'Debt strategy'!$D$13,AND('Debt strategy'!$D$9='Debt strategy'!$D$13,0&lt;4))),1,0),IF(AND(I266+J266-K266&gt;0,OR('Debt strategy'!$D$10&gt;'Debt strategy'!$D$13,AND('Debt strategy'!$D$10='Debt strategy'!$D$13,1&lt;4))),1,0),IF(AND(O266+P266-Q266&gt;0,OR('Debt strategy'!$D$11&gt;'Debt strategy'!$D$13,AND('Debt strategy'!$D$11='Debt strategy'!$D$13,2&lt;4))),1,0),IF(AND(U266+V266-W266&gt;0,OR('Debt strategy'!$D$12&gt;'Debt strategy'!$D$13,AND('Debt strategy'!$D$12='Debt strategy'!$D$13,3&lt;4))),1,0)))</x:f>
        <x:v>99</x:v>
      </x:c>
      <x:c r="AE266" s="6" t="n">
        <x:f>IF('Debt strategy'!$C$16&gt;0,0,MIN(AA266+AB266-AC266,MAX(0,'Debt strategy'!$C$5-SUM(E266,K266,Q266,W266,AC266)-SUM(IF(F266&lt;AD266,C266+D266-E266,0),IF(L266&lt;AD266,I266+J266-K266,0),IF(R266&lt;AD266,O266+P266-Q266,0),IF(X266&lt;AD266,U266+V266-W266,0)))))</x:f>
        <x:v>0</x:v>
      </x:c>
      <x:c r="AF266" s="6" t="n">
        <x:f>ROUND(MAX(0,AA266+AB266-AC266-AE266),2)</x:f>
        <x:v>0</x:v>
      </x:c>
      <x:c r="AG266" s="6" t="n">
        <x:f>SUM(H266,N266,T266,Z266,AF266)</x:f>
        <x:v>0</x:v>
      </x:c>
      <x:c r="AH266" s="6" t="n">
        <x:f>SUM(D266,J266,P266,V266,AB266)+AH265</x:f>
        <x:v>1220.8400000000001</x:v>
      </x:c>
      <x:c r="AI266" s="2"/>
    </x:row>
    <x:row r="267" ht="23" customHeight="1">
      <x:c r="B267" s="2" t="n">
        <x:f>259</x:f>
        <x:v>259</x:v>
      </x:c>
      <x:c r="C267" s="6" t="n">
        <x:f>H266</x:f>
        <x:v>0</x:v>
      </x:c>
      <x:c r="D267" s="6" t="n">
        <x:f>ROUND(C267*'Debt strategy'!$D$9/12,2)</x:f>
        <x:v>0</x:v>
      </x:c>
      <x:c r="E267" s="6" t="n">
        <x:f>MIN(C267+D267,'Debt strategy'!$E$9)</x:f>
        <x:v>0</x:v>
      </x:c>
      <x:c r="F267" s="27" t="n">
        <x:f>IF(C267+D267-E267&lt;=0,99,1+SUM(IF(AND(I267+J267-K267&gt;0,OR('Debt strategy'!$D$10&gt;'Debt strategy'!$D$9,AND('Debt strategy'!$D$10='Debt strategy'!$D$9,1&lt;0))),1,0),IF(AND(O267+P267-Q267&gt;0,OR('Debt strategy'!$D$11&gt;'Debt strategy'!$D$9,AND('Debt strategy'!$D$11='Debt strategy'!$D$9,2&lt;0))),1,0),IF(AND(U267+V267-W267&gt;0,OR('Debt strategy'!$D$12&gt;'Debt strategy'!$D$9,AND('Debt strategy'!$D$12='Debt strategy'!$D$9,3&lt;0))),1,0),IF(AND(AA267+AB267-AC267&gt;0,OR('Debt strategy'!$D$13&gt;'Debt strategy'!$D$9,AND('Debt strategy'!$D$13='Debt strategy'!$D$9,4&lt;0))),1,0)))</x:f>
        <x:v>99</x:v>
      </x:c>
      <x:c r="G267" s="6" t="n">
        <x:f>IF('Debt strategy'!$C$16&gt;0,0,MIN(C267+D267-E267,MAX(0,'Debt strategy'!$C$5-SUM(E267,K267,Q267,W267,AC267)-SUM(IF(L267&lt;F267,I267+J267-K267,0),IF(R267&lt;F267,O267+P267-Q267,0),IF(X267&lt;F267,U267+V267-W267,0),IF(AD267&lt;F267,AA267+AB267-AC267,0)))))</x:f>
        <x:v>0</x:v>
      </x:c>
      <x:c r="H267" s="6" t="n">
        <x:f>ROUND(MAX(0,C267+D267-E267-G267),2)</x:f>
        <x:v>0</x:v>
      </x:c>
      <x:c r="I267" s="6" t="n">
        <x:f>N266</x:f>
        <x:v>0</x:v>
      </x:c>
      <x:c r="J267" s="6" t="n">
        <x:f>ROUND(I267*'Debt strategy'!$D$10/12,2)</x:f>
        <x:v>0</x:v>
      </x:c>
      <x:c r="K267" s="6" t="n">
        <x:f>MIN(I267+J267,'Debt strategy'!$E$10)</x:f>
        <x:v>0</x:v>
      </x:c>
      <x:c r="L267" s="27" t="n">
        <x:f>IF(I267+J267-K267&lt;=0,99,1+SUM(IF(AND(C267+D267-E267&gt;0,OR('Debt strategy'!$D$9&gt;'Debt strategy'!$D$10,AND('Debt strategy'!$D$9='Debt strategy'!$D$10,0&lt;1))),1,0),IF(AND(O267+P267-Q267&gt;0,OR('Debt strategy'!$D$11&gt;'Debt strategy'!$D$10,AND('Debt strategy'!$D$11='Debt strategy'!$D$10,2&lt;1))),1,0),IF(AND(U267+V267-W267&gt;0,OR('Debt strategy'!$D$12&gt;'Debt strategy'!$D$10,AND('Debt strategy'!$D$12='Debt strategy'!$D$10,3&lt;1))),1,0),IF(AND(AA267+AB267-AC267&gt;0,OR('Debt strategy'!$D$13&gt;'Debt strategy'!$D$10,AND('Debt strategy'!$D$13='Debt strategy'!$D$10,4&lt;1))),1,0)))</x:f>
        <x:v>99</x:v>
      </x:c>
      <x:c r="M267" s="6" t="n">
        <x:f>IF('Debt strategy'!$C$16&gt;0,0,MIN(I267+J267-K267,MAX(0,'Debt strategy'!$C$5-SUM(E267,K267,Q267,W267,AC267)-SUM(IF(F267&lt;L267,C267+D267-E267,0),IF(R267&lt;L267,O267+P267-Q267,0),IF(X267&lt;L267,U267+V267-W267,0),IF(AD267&lt;L267,AA267+AB267-AC267,0)))))</x:f>
        <x:v>0</x:v>
      </x:c>
      <x:c r="N267" s="6" t="n">
        <x:f>ROUND(MAX(0,I267+J267-K267-M267),2)</x:f>
        <x:v>0</x:v>
      </x:c>
      <x:c r="O267" s="6" t="n">
        <x:f>T266</x:f>
        <x:v>0</x:v>
      </x:c>
      <x:c r="P267" s="6" t="n">
        <x:f>ROUND(O267*'Debt strategy'!$D$11/12,2)</x:f>
        <x:v>0</x:v>
      </x:c>
      <x:c r="Q267" s="6" t="n">
        <x:f>MIN(O267+P267,'Debt strategy'!$E$11)</x:f>
        <x:v>0</x:v>
      </x:c>
      <x:c r="R267" s="27" t="n">
        <x:f>IF(O267+P267-Q267&lt;=0,99,1+SUM(IF(AND(C267+D267-E267&gt;0,OR('Debt strategy'!$D$9&gt;'Debt strategy'!$D$11,AND('Debt strategy'!$D$9='Debt strategy'!$D$11,0&lt;2))),1,0),IF(AND(I267+J267-K267&gt;0,OR('Debt strategy'!$D$10&gt;'Debt strategy'!$D$11,AND('Debt strategy'!$D$10='Debt strategy'!$D$11,1&lt;2))),1,0),IF(AND(U267+V267-W267&gt;0,OR('Debt strategy'!$D$12&gt;'Debt strategy'!$D$11,AND('Debt strategy'!$D$12='Debt strategy'!$D$11,3&lt;2))),1,0),IF(AND(AA267+AB267-AC267&gt;0,OR('Debt strategy'!$D$13&gt;'Debt strategy'!$D$11,AND('Debt strategy'!$D$13='Debt strategy'!$D$11,4&lt;2))),1,0)))</x:f>
        <x:v>99</x:v>
      </x:c>
      <x:c r="S267" s="6" t="n">
        <x:f>IF('Debt strategy'!$C$16&gt;0,0,MIN(O267+P267-Q267,MAX(0,'Debt strategy'!$C$5-SUM(E267,K267,Q267,W267,AC267)-SUM(IF(F267&lt;R267,C267+D267-E267,0),IF(L267&lt;R267,I267+J267-K267,0),IF(X267&lt;R267,U267+V267-W267,0),IF(AD267&lt;R267,AA267+AB267-AC267,0)))))</x:f>
        <x:v>0</x:v>
      </x:c>
      <x:c r="T267" s="6" t="n">
        <x:f>ROUND(MAX(0,O267+P267-Q267-S267),2)</x:f>
        <x:v>0</x:v>
      </x:c>
      <x:c r="U267" s="6" t="n">
        <x:f>Z266</x:f>
        <x:v>0</x:v>
      </x:c>
      <x:c r="V267" s="6" t="n">
        <x:f>ROUND(U267*'Debt strategy'!$D$12/12,2)</x:f>
        <x:v>0</x:v>
      </x:c>
      <x:c r="W267" s="6" t="n">
        <x:f>MIN(U267+V267,'Debt strategy'!$E$12)</x:f>
        <x:v>0</x:v>
      </x:c>
      <x:c r="X267" s="27" t="n">
        <x:f>IF(U267+V267-W267&lt;=0,99,1+SUM(IF(AND(C267+D267-E267&gt;0,OR('Debt strategy'!$D$9&gt;'Debt strategy'!$D$12,AND('Debt strategy'!$D$9='Debt strategy'!$D$12,0&lt;3))),1,0),IF(AND(I267+J267-K267&gt;0,OR('Debt strategy'!$D$10&gt;'Debt strategy'!$D$12,AND('Debt strategy'!$D$10='Debt strategy'!$D$12,1&lt;3))),1,0),IF(AND(O267+P267-Q267&gt;0,OR('Debt strategy'!$D$11&gt;'Debt strategy'!$D$12,AND('Debt strategy'!$D$11='Debt strategy'!$D$12,2&lt;3))),1,0),IF(AND(AA267+AB267-AC267&gt;0,OR('Debt strategy'!$D$13&gt;'Debt strategy'!$D$12,AND('Debt strategy'!$D$13='Debt strategy'!$D$12,4&lt;3))),1,0)))</x:f>
        <x:v>99</x:v>
      </x:c>
      <x:c r="Y267" s="6" t="n">
        <x:f>IF('Debt strategy'!$C$16&gt;0,0,MIN(U267+V267-W267,MAX(0,'Debt strategy'!$C$5-SUM(E267,K267,Q267,W267,AC267)-SUM(IF(F267&lt;X267,C267+D267-E267,0),IF(L267&lt;X267,I267+J267-K267,0),IF(R267&lt;X267,O267+P267-Q267,0),IF(AD267&lt;X267,AA267+AB267-AC267,0)))))</x:f>
        <x:v>0</x:v>
      </x:c>
      <x:c r="Z267" s="6" t="n">
        <x:f>ROUND(MAX(0,U267+V267-W267-Y267),2)</x:f>
        <x:v>0</x:v>
      </x:c>
      <x:c r="AA267" s="6" t="n">
        <x:f>AF266</x:f>
        <x:v>0</x:v>
      </x:c>
      <x:c r="AB267" s="6" t="n">
        <x:f>ROUND(AA267*'Debt strategy'!$D$13/12,2)</x:f>
        <x:v>0</x:v>
      </x:c>
      <x:c r="AC267" s="6" t="n">
        <x:f>MIN(AA267+AB267,'Debt strategy'!$E$13)</x:f>
        <x:v>0</x:v>
      </x:c>
      <x:c r="AD267" s="27" t="n">
        <x:f>IF(AA267+AB267-AC267&lt;=0,99,1+SUM(IF(AND(C267+D267-E267&gt;0,OR('Debt strategy'!$D$9&gt;'Debt strategy'!$D$13,AND('Debt strategy'!$D$9='Debt strategy'!$D$13,0&lt;4))),1,0),IF(AND(I267+J267-K267&gt;0,OR('Debt strategy'!$D$10&gt;'Debt strategy'!$D$13,AND('Debt strategy'!$D$10='Debt strategy'!$D$13,1&lt;4))),1,0),IF(AND(O267+P267-Q267&gt;0,OR('Debt strategy'!$D$11&gt;'Debt strategy'!$D$13,AND('Debt strategy'!$D$11='Debt strategy'!$D$13,2&lt;4))),1,0),IF(AND(U267+V267-W267&gt;0,OR('Debt strategy'!$D$12&gt;'Debt strategy'!$D$13,AND('Debt strategy'!$D$12='Debt strategy'!$D$13,3&lt;4))),1,0)))</x:f>
        <x:v>99</x:v>
      </x:c>
      <x:c r="AE267" s="6" t="n">
        <x:f>IF('Debt strategy'!$C$16&gt;0,0,MIN(AA267+AB267-AC267,MAX(0,'Debt strategy'!$C$5-SUM(E267,K267,Q267,W267,AC267)-SUM(IF(F267&lt;AD267,C267+D267-E267,0),IF(L267&lt;AD267,I267+J267-K267,0),IF(R267&lt;AD267,O267+P267-Q267,0),IF(X267&lt;AD267,U267+V267-W267,0)))))</x:f>
        <x:v>0</x:v>
      </x:c>
      <x:c r="AF267" s="6" t="n">
        <x:f>ROUND(MAX(0,AA267+AB267-AC267-AE267),2)</x:f>
        <x:v>0</x:v>
      </x:c>
      <x:c r="AG267" s="6" t="n">
        <x:f>SUM(H267,N267,T267,Z267,AF267)</x:f>
        <x:v>0</x:v>
      </x:c>
      <x:c r="AH267" s="6" t="n">
        <x:f>SUM(D267,J267,P267,V267,AB267)+AH266</x:f>
        <x:v>1220.8400000000001</x:v>
      </x:c>
      <x:c r="AI267" s="2"/>
    </x:row>
    <x:row r="268" ht="23" customHeight="1">
      <x:c r="B268" s="2" t="n">
        <x:f>260</x:f>
        <x:v>260</x:v>
      </x:c>
      <x:c r="C268" s="6" t="n">
        <x:f>H267</x:f>
        <x:v>0</x:v>
      </x:c>
      <x:c r="D268" s="6" t="n">
        <x:f>ROUND(C268*'Debt strategy'!$D$9/12,2)</x:f>
        <x:v>0</x:v>
      </x:c>
      <x:c r="E268" s="6" t="n">
        <x:f>MIN(C268+D268,'Debt strategy'!$E$9)</x:f>
        <x:v>0</x:v>
      </x:c>
      <x:c r="F268" s="27" t="n">
        <x:f>IF(C268+D268-E268&lt;=0,99,1+SUM(IF(AND(I268+J268-K268&gt;0,OR('Debt strategy'!$D$10&gt;'Debt strategy'!$D$9,AND('Debt strategy'!$D$10='Debt strategy'!$D$9,1&lt;0))),1,0),IF(AND(O268+P268-Q268&gt;0,OR('Debt strategy'!$D$11&gt;'Debt strategy'!$D$9,AND('Debt strategy'!$D$11='Debt strategy'!$D$9,2&lt;0))),1,0),IF(AND(U268+V268-W268&gt;0,OR('Debt strategy'!$D$12&gt;'Debt strategy'!$D$9,AND('Debt strategy'!$D$12='Debt strategy'!$D$9,3&lt;0))),1,0),IF(AND(AA268+AB268-AC268&gt;0,OR('Debt strategy'!$D$13&gt;'Debt strategy'!$D$9,AND('Debt strategy'!$D$13='Debt strategy'!$D$9,4&lt;0))),1,0)))</x:f>
        <x:v>99</x:v>
      </x:c>
      <x:c r="G268" s="6" t="n">
        <x:f>IF('Debt strategy'!$C$16&gt;0,0,MIN(C268+D268-E268,MAX(0,'Debt strategy'!$C$5-SUM(E268,K268,Q268,W268,AC268)-SUM(IF(L268&lt;F268,I268+J268-K268,0),IF(R268&lt;F268,O268+P268-Q268,0),IF(X268&lt;F268,U268+V268-W268,0),IF(AD268&lt;F268,AA268+AB268-AC268,0)))))</x:f>
        <x:v>0</x:v>
      </x:c>
      <x:c r="H268" s="6" t="n">
        <x:f>ROUND(MAX(0,C268+D268-E268-G268),2)</x:f>
        <x:v>0</x:v>
      </x:c>
      <x:c r="I268" s="6" t="n">
        <x:f>N267</x:f>
        <x:v>0</x:v>
      </x:c>
      <x:c r="J268" s="6" t="n">
        <x:f>ROUND(I268*'Debt strategy'!$D$10/12,2)</x:f>
        <x:v>0</x:v>
      </x:c>
      <x:c r="K268" s="6" t="n">
        <x:f>MIN(I268+J268,'Debt strategy'!$E$10)</x:f>
        <x:v>0</x:v>
      </x:c>
      <x:c r="L268" s="27" t="n">
        <x:f>IF(I268+J268-K268&lt;=0,99,1+SUM(IF(AND(C268+D268-E268&gt;0,OR('Debt strategy'!$D$9&gt;'Debt strategy'!$D$10,AND('Debt strategy'!$D$9='Debt strategy'!$D$10,0&lt;1))),1,0),IF(AND(O268+P268-Q268&gt;0,OR('Debt strategy'!$D$11&gt;'Debt strategy'!$D$10,AND('Debt strategy'!$D$11='Debt strategy'!$D$10,2&lt;1))),1,0),IF(AND(U268+V268-W268&gt;0,OR('Debt strategy'!$D$12&gt;'Debt strategy'!$D$10,AND('Debt strategy'!$D$12='Debt strategy'!$D$10,3&lt;1))),1,0),IF(AND(AA268+AB268-AC268&gt;0,OR('Debt strategy'!$D$13&gt;'Debt strategy'!$D$10,AND('Debt strategy'!$D$13='Debt strategy'!$D$10,4&lt;1))),1,0)))</x:f>
        <x:v>99</x:v>
      </x:c>
      <x:c r="M268" s="6" t="n">
        <x:f>IF('Debt strategy'!$C$16&gt;0,0,MIN(I268+J268-K268,MAX(0,'Debt strategy'!$C$5-SUM(E268,K268,Q268,W268,AC268)-SUM(IF(F268&lt;L268,C268+D268-E268,0),IF(R268&lt;L268,O268+P268-Q268,0),IF(X268&lt;L268,U268+V268-W268,0),IF(AD268&lt;L268,AA268+AB268-AC268,0)))))</x:f>
        <x:v>0</x:v>
      </x:c>
      <x:c r="N268" s="6" t="n">
        <x:f>ROUND(MAX(0,I268+J268-K268-M268),2)</x:f>
        <x:v>0</x:v>
      </x:c>
      <x:c r="O268" s="6" t="n">
        <x:f>T267</x:f>
        <x:v>0</x:v>
      </x:c>
      <x:c r="P268" s="6" t="n">
        <x:f>ROUND(O268*'Debt strategy'!$D$11/12,2)</x:f>
        <x:v>0</x:v>
      </x:c>
      <x:c r="Q268" s="6" t="n">
        <x:f>MIN(O268+P268,'Debt strategy'!$E$11)</x:f>
        <x:v>0</x:v>
      </x:c>
      <x:c r="R268" s="27" t="n">
        <x:f>IF(O268+P268-Q268&lt;=0,99,1+SUM(IF(AND(C268+D268-E268&gt;0,OR('Debt strategy'!$D$9&gt;'Debt strategy'!$D$11,AND('Debt strategy'!$D$9='Debt strategy'!$D$11,0&lt;2))),1,0),IF(AND(I268+J268-K268&gt;0,OR('Debt strategy'!$D$10&gt;'Debt strategy'!$D$11,AND('Debt strategy'!$D$10='Debt strategy'!$D$11,1&lt;2))),1,0),IF(AND(U268+V268-W268&gt;0,OR('Debt strategy'!$D$12&gt;'Debt strategy'!$D$11,AND('Debt strategy'!$D$12='Debt strategy'!$D$11,3&lt;2))),1,0),IF(AND(AA268+AB268-AC268&gt;0,OR('Debt strategy'!$D$13&gt;'Debt strategy'!$D$11,AND('Debt strategy'!$D$13='Debt strategy'!$D$11,4&lt;2))),1,0)))</x:f>
        <x:v>99</x:v>
      </x:c>
      <x:c r="S268" s="6" t="n">
        <x:f>IF('Debt strategy'!$C$16&gt;0,0,MIN(O268+P268-Q268,MAX(0,'Debt strategy'!$C$5-SUM(E268,K268,Q268,W268,AC268)-SUM(IF(F268&lt;R268,C268+D268-E268,0),IF(L268&lt;R268,I268+J268-K268,0),IF(X268&lt;R268,U268+V268-W268,0),IF(AD268&lt;R268,AA268+AB268-AC268,0)))))</x:f>
        <x:v>0</x:v>
      </x:c>
      <x:c r="T268" s="6" t="n">
        <x:f>ROUND(MAX(0,O268+P268-Q268-S268),2)</x:f>
        <x:v>0</x:v>
      </x:c>
      <x:c r="U268" s="6" t="n">
        <x:f>Z267</x:f>
        <x:v>0</x:v>
      </x:c>
      <x:c r="V268" s="6" t="n">
        <x:f>ROUND(U268*'Debt strategy'!$D$12/12,2)</x:f>
        <x:v>0</x:v>
      </x:c>
      <x:c r="W268" s="6" t="n">
        <x:f>MIN(U268+V268,'Debt strategy'!$E$12)</x:f>
        <x:v>0</x:v>
      </x:c>
      <x:c r="X268" s="27" t="n">
        <x:f>IF(U268+V268-W268&lt;=0,99,1+SUM(IF(AND(C268+D268-E268&gt;0,OR('Debt strategy'!$D$9&gt;'Debt strategy'!$D$12,AND('Debt strategy'!$D$9='Debt strategy'!$D$12,0&lt;3))),1,0),IF(AND(I268+J268-K268&gt;0,OR('Debt strategy'!$D$10&gt;'Debt strategy'!$D$12,AND('Debt strategy'!$D$10='Debt strategy'!$D$12,1&lt;3))),1,0),IF(AND(O268+P268-Q268&gt;0,OR('Debt strategy'!$D$11&gt;'Debt strategy'!$D$12,AND('Debt strategy'!$D$11='Debt strategy'!$D$12,2&lt;3))),1,0),IF(AND(AA268+AB268-AC268&gt;0,OR('Debt strategy'!$D$13&gt;'Debt strategy'!$D$12,AND('Debt strategy'!$D$13='Debt strategy'!$D$12,4&lt;3))),1,0)))</x:f>
        <x:v>99</x:v>
      </x:c>
      <x:c r="Y268" s="6" t="n">
        <x:f>IF('Debt strategy'!$C$16&gt;0,0,MIN(U268+V268-W268,MAX(0,'Debt strategy'!$C$5-SUM(E268,K268,Q268,W268,AC268)-SUM(IF(F268&lt;X268,C268+D268-E268,0),IF(L268&lt;X268,I268+J268-K268,0),IF(R268&lt;X268,O268+P268-Q268,0),IF(AD268&lt;X268,AA268+AB268-AC268,0)))))</x:f>
        <x:v>0</x:v>
      </x:c>
      <x:c r="Z268" s="6" t="n">
        <x:f>ROUND(MAX(0,U268+V268-W268-Y268),2)</x:f>
        <x:v>0</x:v>
      </x:c>
      <x:c r="AA268" s="6" t="n">
        <x:f>AF267</x:f>
        <x:v>0</x:v>
      </x:c>
      <x:c r="AB268" s="6" t="n">
        <x:f>ROUND(AA268*'Debt strategy'!$D$13/12,2)</x:f>
        <x:v>0</x:v>
      </x:c>
      <x:c r="AC268" s="6" t="n">
        <x:f>MIN(AA268+AB268,'Debt strategy'!$E$13)</x:f>
        <x:v>0</x:v>
      </x:c>
      <x:c r="AD268" s="27" t="n">
        <x:f>IF(AA268+AB268-AC268&lt;=0,99,1+SUM(IF(AND(C268+D268-E268&gt;0,OR('Debt strategy'!$D$9&gt;'Debt strategy'!$D$13,AND('Debt strategy'!$D$9='Debt strategy'!$D$13,0&lt;4))),1,0),IF(AND(I268+J268-K268&gt;0,OR('Debt strategy'!$D$10&gt;'Debt strategy'!$D$13,AND('Debt strategy'!$D$10='Debt strategy'!$D$13,1&lt;4))),1,0),IF(AND(O268+P268-Q268&gt;0,OR('Debt strategy'!$D$11&gt;'Debt strategy'!$D$13,AND('Debt strategy'!$D$11='Debt strategy'!$D$13,2&lt;4))),1,0),IF(AND(U268+V268-W268&gt;0,OR('Debt strategy'!$D$12&gt;'Debt strategy'!$D$13,AND('Debt strategy'!$D$12='Debt strategy'!$D$13,3&lt;4))),1,0)))</x:f>
        <x:v>99</x:v>
      </x:c>
      <x:c r="AE268" s="6" t="n">
        <x:f>IF('Debt strategy'!$C$16&gt;0,0,MIN(AA268+AB268-AC268,MAX(0,'Debt strategy'!$C$5-SUM(E268,K268,Q268,W268,AC268)-SUM(IF(F268&lt;AD268,C268+D268-E268,0),IF(L268&lt;AD268,I268+J268-K268,0),IF(R268&lt;AD268,O268+P268-Q268,0),IF(X268&lt;AD268,U268+V268-W268,0)))))</x:f>
        <x:v>0</x:v>
      </x:c>
      <x:c r="AF268" s="6" t="n">
        <x:f>ROUND(MAX(0,AA268+AB268-AC268-AE268),2)</x:f>
        <x:v>0</x:v>
      </x:c>
      <x:c r="AG268" s="6" t="n">
        <x:f>SUM(H268,N268,T268,Z268,AF268)</x:f>
        <x:v>0</x:v>
      </x:c>
      <x:c r="AH268" s="6" t="n">
        <x:f>SUM(D268,J268,P268,V268,AB268)+AH267</x:f>
        <x:v>1220.8400000000001</x:v>
      </x:c>
      <x:c r="AI268" s="2"/>
    </x:row>
    <x:row r="269" ht="23" customHeight="1">
      <x:c r="B269" s="2" t="n">
        <x:f>261</x:f>
        <x:v>261</x:v>
      </x:c>
      <x:c r="C269" s="6" t="n">
        <x:f>H268</x:f>
        <x:v>0</x:v>
      </x:c>
      <x:c r="D269" s="6" t="n">
        <x:f>ROUND(C269*'Debt strategy'!$D$9/12,2)</x:f>
        <x:v>0</x:v>
      </x:c>
      <x:c r="E269" s="6" t="n">
        <x:f>MIN(C269+D269,'Debt strategy'!$E$9)</x:f>
        <x:v>0</x:v>
      </x:c>
      <x:c r="F269" s="27" t="n">
        <x:f>IF(C269+D269-E269&lt;=0,99,1+SUM(IF(AND(I269+J269-K269&gt;0,OR('Debt strategy'!$D$10&gt;'Debt strategy'!$D$9,AND('Debt strategy'!$D$10='Debt strategy'!$D$9,1&lt;0))),1,0),IF(AND(O269+P269-Q269&gt;0,OR('Debt strategy'!$D$11&gt;'Debt strategy'!$D$9,AND('Debt strategy'!$D$11='Debt strategy'!$D$9,2&lt;0))),1,0),IF(AND(U269+V269-W269&gt;0,OR('Debt strategy'!$D$12&gt;'Debt strategy'!$D$9,AND('Debt strategy'!$D$12='Debt strategy'!$D$9,3&lt;0))),1,0),IF(AND(AA269+AB269-AC269&gt;0,OR('Debt strategy'!$D$13&gt;'Debt strategy'!$D$9,AND('Debt strategy'!$D$13='Debt strategy'!$D$9,4&lt;0))),1,0)))</x:f>
        <x:v>99</x:v>
      </x:c>
      <x:c r="G269" s="6" t="n">
        <x:f>IF('Debt strategy'!$C$16&gt;0,0,MIN(C269+D269-E269,MAX(0,'Debt strategy'!$C$5-SUM(E269,K269,Q269,W269,AC269)-SUM(IF(L269&lt;F269,I269+J269-K269,0),IF(R269&lt;F269,O269+P269-Q269,0),IF(X269&lt;F269,U269+V269-W269,0),IF(AD269&lt;F269,AA269+AB269-AC269,0)))))</x:f>
        <x:v>0</x:v>
      </x:c>
      <x:c r="H269" s="6" t="n">
        <x:f>ROUND(MAX(0,C269+D269-E269-G269),2)</x:f>
        <x:v>0</x:v>
      </x:c>
      <x:c r="I269" s="6" t="n">
        <x:f>N268</x:f>
        <x:v>0</x:v>
      </x:c>
      <x:c r="J269" s="6" t="n">
        <x:f>ROUND(I269*'Debt strategy'!$D$10/12,2)</x:f>
        <x:v>0</x:v>
      </x:c>
      <x:c r="K269" s="6" t="n">
        <x:f>MIN(I269+J269,'Debt strategy'!$E$10)</x:f>
        <x:v>0</x:v>
      </x:c>
      <x:c r="L269" s="27" t="n">
        <x:f>IF(I269+J269-K269&lt;=0,99,1+SUM(IF(AND(C269+D269-E269&gt;0,OR('Debt strategy'!$D$9&gt;'Debt strategy'!$D$10,AND('Debt strategy'!$D$9='Debt strategy'!$D$10,0&lt;1))),1,0),IF(AND(O269+P269-Q269&gt;0,OR('Debt strategy'!$D$11&gt;'Debt strategy'!$D$10,AND('Debt strategy'!$D$11='Debt strategy'!$D$10,2&lt;1))),1,0),IF(AND(U269+V269-W269&gt;0,OR('Debt strategy'!$D$12&gt;'Debt strategy'!$D$10,AND('Debt strategy'!$D$12='Debt strategy'!$D$10,3&lt;1))),1,0),IF(AND(AA269+AB269-AC269&gt;0,OR('Debt strategy'!$D$13&gt;'Debt strategy'!$D$10,AND('Debt strategy'!$D$13='Debt strategy'!$D$10,4&lt;1))),1,0)))</x:f>
        <x:v>99</x:v>
      </x:c>
      <x:c r="M269" s="6" t="n">
        <x:f>IF('Debt strategy'!$C$16&gt;0,0,MIN(I269+J269-K269,MAX(0,'Debt strategy'!$C$5-SUM(E269,K269,Q269,W269,AC269)-SUM(IF(F269&lt;L269,C269+D269-E269,0),IF(R269&lt;L269,O269+P269-Q269,0),IF(X269&lt;L269,U269+V269-W269,0),IF(AD269&lt;L269,AA269+AB269-AC269,0)))))</x:f>
        <x:v>0</x:v>
      </x:c>
      <x:c r="N269" s="6" t="n">
        <x:f>ROUND(MAX(0,I269+J269-K269-M269),2)</x:f>
        <x:v>0</x:v>
      </x:c>
      <x:c r="O269" s="6" t="n">
        <x:f>T268</x:f>
        <x:v>0</x:v>
      </x:c>
      <x:c r="P269" s="6" t="n">
        <x:f>ROUND(O269*'Debt strategy'!$D$11/12,2)</x:f>
        <x:v>0</x:v>
      </x:c>
      <x:c r="Q269" s="6" t="n">
        <x:f>MIN(O269+P269,'Debt strategy'!$E$11)</x:f>
        <x:v>0</x:v>
      </x:c>
      <x:c r="R269" s="27" t="n">
        <x:f>IF(O269+P269-Q269&lt;=0,99,1+SUM(IF(AND(C269+D269-E269&gt;0,OR('Debt strategy'!$D$9&gt;'Debt strategy'!$D$11,AND('Debt strategy'!$D$9='Debt strategy'!$D$11,0&lt;2))),1,0),IF(AND(I269+J269-K269&gt;0,OR('Debt strategy'!$D$10&gt;'Debt strategy'!$D$11,AND('Debt strategy'!$D$10='Debt strategy'!$D$11,1&lt;2))),1,0),IF(AND(U269+V269-W269&gt;0,OR('Debt strategy'!$D$12&gt;'Debt strategy'!$D$11,AND('Debt strategy'!$D$12='Debt strategy'!$D$11,3&lt;2))),1,0),IF(AND(AA269+AB269-AC269&gt;0,OR('Debt strategy'!$D$13&gt;'Debt strategy'!$D$11,AND('Debt strategy'!$D$13='Debt strategy'!$D$11,4&lt;2))),1,0)))</x:f>
        <x:v>99</x:v>
      </x:c>
      <x:c r="S269" s="6" t="n">
        <x:f>IF('Debt strategy'!$C$16&gt;0,0,MIN(O269+P269-Q269,MAX(0,'Debt strategy'!$C$5-SUM(E269,K269,Q269,W269,AC269)-SUM(IF(F269&lt;R269,C269+D269-E269,0),IF(L269&lt;R269,I269+J269-K269,0),IF(X269&lt;R269,U269+V269-W269,0),IF(AD269&lt;R269,AA269+AB269-AC269,0)))))</x:f>
        <x:v>0</x:v>
      </x:c>
      <x:c r="T269" s="6" t="n">
        <x:f>ROUND(MAX(0,O269+P269-Q269-S269),2)</x:f>
        <x:v>0</x:v>
      </x:c>
      <x:c r="U269" s="6" t="n">
        <x:f>Z268</x:f>
        <x:v>0</x:v>
      </x:c>
      <x:c r="V269" s="6" t="n">
        <x:f>ROUND(U269*'Debt strategy'!$D$12/12,2)</x:f>
        <x:v>0</x:v>
      </x:c>
      <x:c r="W269" s="6" t="n">
        <x:f>MIN(U269+V269,'Debt strategy'!$E$12)</x:f>
        <x:v>0</x:v>
      </x:c>
      <x:c r="X269" s="27" t="n">
        <x:f>IF(U269+V269-W269&lt;=0,99,1+SUM(IF(AND(C269+D269-E269&gt;0,OR('Debt strategy'!$D$9&gt;'Debt strategy'!$D$12,AND('Debt strategy'!$D$9='Debt strategy'!$D$12,0&lt;3))),1,0),IF(AND(I269+J269-K269&gt;0,OR('Debt strategy'!$D$10&gt;'Debt strategy'!$D$12,AND('Debt strategy'!$D$10='Debt strategy'!$D$12,1&lt;3))),1,0),IF(AND(O269+P269-Q269&gt;0,OR('Debt strategy'!$D$11&gt;'Debt strategy'!$D$12,AND('Debt strategy'!$D$11='Debt strategy'!$D$12,2&lt;3))),1,0),IF(AND(AA269+AB269-AC269&gt;0,OR('Debt strategy'!$D$13&gt;'Debt strategy'!$D$12,AND('Debt strategy'!$D$13='Debt strategy'!$D$12,4&lt;3))),1,0)))</x:f>
        <x:v>99</x:v>
      </x:c>
      <x:c r="Y269" s="6" t="n">
        <x:f>IF('Debt strategy'!$C$16&gt;0,0,MIN(U269+V269-W269,MAX(0,'Debt strategy'!$C$5-SUM(E269,K269,Q269,W269,AC269)-SUM(IF(F269&lt;X269,C269+D269-E269,0),IF(L269&lt;X269,I269+J269-K269,0),IF(R269&lt;X269,O269+P269-Q269,0),IF(AD269&lt;X269,AA269+AB269-AC269,0)))))</x:f>
        <x:v>0</x:v>
      </x:c>
      <x:c r="Z269" s="6" t="n">
        <x:f>ROUND(MAX(0,U269+V269-W269-Y269),2)</x:f>
        <x:v>0</x:v>
      </x:c>
      <x:c r="AA269" s="6" t="n">
        <x:f>AF268</x:f>
        <x:v>0</x:v>
      </x:c>
      <x:c r="AB269" s="6" t="n">
        <x:f>ROUND(AA269*'Debt strategy'!$D$13/12,2)</x:f>
        <x:v>0</x:v>
      </x:c>
      <x:c r="AC269" s="6" t="n">
        <x:f>MIN(AA269+AB269,'Debt strategy'!$E$13)</x:f>
        <x:v>0</x:v>
      </x:c>
      <x:c r="AD269" s="27" t="n">
        <x:f>IF(AA269+AB269-AC269&lt;=0,99,1+SUM(IF(AND(C269+D269-E269&gt;0,OR('Debt strategy'!$D$9&gt;'Debt strategy'!$D$13,AND('Debt strategy'!$D$9='Debt strategy'!$D$13,0&lt;4))),1,0),IF(AND(I269+J269-K269&gt;0,OR('Debt strategy'!$D$10&gt;'Debt strategy'!$D$13,AND('Debt strategy'!$D$10='Debt strategy'!$D$13,1&lt;4))),1,0),IF(AND(O269+P269-Q269&gt;0,OR('Debt strategy'!$D$11&gt;'Debt strategy'!$D$13,AND('Debt strategy'!$D$11='Debt strategy'!$D$13,2&lt;4))),1,0),IF(AND(U269+V269-W269&gt;0,OR('Debt strategy'!$D$12&gt;'Debt strategy'!$D$13,AND('Debt strategy'!$D$12='Debt strategy'!$D$13,3&lt;4))),1,0)))</x:f>
        <x:v>99</x:v>
      </x:c>
      <x:c r="AE269" s="6" t="n">
        <x:f>IF('Debt strategy'!$C$16&gt;0,0,MIN(AA269+AB269-AC269,MAX(0,'Debt strategy'!$C$5-SUM(E269,K269,Q269,W269,AC269)-SUM(IF(F269&lt;AD269,C269+D269-E269,0),IF(L269&lt;AD269,I269+J269-K269,0),IF(R269&lt;AD269,O269+P269-Q269,0),IF(X269&lt;AD269,U269+V269-W269,0)))))</x:f>
        <x:v>0</x:v>
      </x:c>
      <x:c r="AF269" s="6" t="n">
        <x:f>ROUND(MAX(0,AA269+AB269-AC269-AE269),2)</x:f>
        <x:v>0</x:v>
      </x:c>
      <x:c r="AG269" s="6" t="n">
        <x:f>SUM(H269,N269,T269,Z269,AF269)</x:f>
        <x:v>0</x:v>
      </x:c>
      <x:c r="AH269" s="6" t="n">
        <x:f>SUM(D269,J269,P269,V269,AB269)+AH268</x:f>
        <x:v>1220.8400000000001</x:v>
      </x:c>
      <x:c r="AI269" s="2"/>
    </x:row>
    <x:row r="270" ht="23" customHeight="1">
      <x:c r="B270" s="2" t="n">
        <x:f>262</x:f>
        <x:v>262</x:v>
      </x:c>
      <x:c r="C270" s="6" t="n">
        <x:f>H269</x:f>
        <x:v>0</x:v>
      </x:c>
      <x:c r="D270" s="6" t="n">
        <x:f>ROUND(C270*'Debt strategy'!$D$9/12,2)</x:f>
        <x:v>0</x:v>
      </x:c>
      <x:c r="E270" s="6" t="n">
        <x:f>MIN(C270+D270,'Debt strategy'!$E$9)</x:f>
        <x:v>0</x:v>
      </x:c>
      <x:c r="F270" s="27" t="n">
        <x:f>IF(C270+D270-E270&lt;=0,99,1+SUM(IF(AND(I270+J270-K270&gt;0,OR('Debt strategy'!$D$10&gt;'Debt strategy'!$D$9,AND('Debt strategy'!$D$10='Debt strategy'!$D$9,1&lt;0))),1,0),IF(AND(O270+P270-Q270&gt;0,OR('Debt strategy'!$D$11&gt;'Debt strategy'!$D$9,AND('Debt strategy'!$D$11='Debt strategy'!$D$9,2&lt;0))),1,0),IF(AND(U270+V270-W270&gt;0,OR('Debt strategy'!$D$12&gt;'Debt strategy'!$D$9,AND('Debt strategy'!$D$12='Debt strategy'!$D$9,3&lt;0))),1,0),IF(AND(AA270+AB270-AC270&gt;0,OR('Debt strategy'!$D$13&gt;'Debt strategy'!$D$9,AND('Debt strategy'!$D$13='Debt strategy'!$D$9,4&lt;0))),1,0)))</x:f>
        <x:v>99</x:v>
      </x:c>
      <x:c r="G270" s="6" t="n">
        <x:f>IF('Debt strategy'!$C$16&gt;0,0,MIN(C270+D270-E270,MAX(0,'Debt strategy'!$C$5-SUM(E270,K270,Q270,W270,AC270)-SUM(IF(L270&lt;F270,I270+J270-K270,0),IF(R270&lt;F270,O270+P270-Q270,0),IF(X270&lt;F270,U270+V270-W270,0),IF(AD270&lt;F270,AA270+AB270-AC270,0)))))</x:f>
        <x:v>0</x:v>
      </x:c>
      <x:c r="H270" s="6" t="n">
        <x:f>ROUND(MAX(0,C270+D270-E270-G270),2)</x:f>
        <x:v>0</x:v>
      </x:c>
      <x:c r="I270" s="6" t="n">
        <x:f>N269</x:f>
        <x:v>0</x:v>
      </x:c>
      <x:c r="J270" s="6" t="n">
        <x:f>ROUND(I270*'Debt strategy'!$D$10/12,2)</x:f>
        <x:v>0</x:v>
      </x:c>
      <x:c r="K270" s="6" t="n">
        <x:f>MIN(I270+J270,'Debt strategy'!$E$10)</x:f>
        <x:v>0</x:v>
      </x:c>
      <x:c r="L270" s="27" t="n">
        <x:f>IF(I270+J270-K270&lt;=0,99,1+SUM(IF(AND(C270+D270-E270&gt;0,OR('Debt strategy'!$D$9&gt;'Debt strategy'!$D$10,AND('Debt strategy'!$D$9='Debt strategy'!$D$10,0&lt;1))),1,0),IF(AND(O270+P270-Q270&gt;0,OR('Debt strategy'!$D$11&gt;'Debt strategy'!$D$10,AND('Debt strategy'!$D$11='Debt strategy'!$D$10,2&lt;1))),1,0),IF(AND(U270+V270-W270&gt;0,OR('Debt strategy'!$D$12&gt;'Debt strategy'!$D$10,AND('Debt strategy'!$D$12='Debt strategy'!$D$10,3&lt;1))),1,0),IF(AND(AA270+AB270-AC270&gt;0,OR('Debt strategy'!$D$13&gt;'Debt strategy'!$D$10,AND('Debt strategy'!$D$13='Debt strategy'!$D$10,4&lt;1))),1,0)))</x:f>
        <x:v>99</x:v>
      </x:c>
      <x:c r="M270" s="6" t="n">
        <x:f>IF('Debt strategy'!$C$16&gt;0,0,MIN(I270+J270-K270,MAX(0,'Debt strategy'!$C$5-SUM(E270,K270,Q270,W270,AC270)-SUM(IF(F270&lt;L270,C270+D270-E270,0),IF(R270&lt;L270,O270+P270-Q270,0),IF(X270&lt;L270,U270+V270-W270,0),IF(AD270&lt;L270,AA270+AB270-AC270,0)))))</x:f>
        <x:v>0</x:v>
      </x:c>
      <x:c r="N270" s="6" t="n">
        <x:f>ROUND(MAX(0,I270+J270-K270-M270),2)</x:f>
        <x:v>0</x:v>
      </x:c>
      <x:c r="O270" s="6" t="n">
        <x:f>T269</x:f>
        <x:v>0</x:v>
      </x:c>
      <x:c r="P270" s="6" t="n">
        <x:f>ROUND(O270*'Debt strategy'!$D$11/12,2)</x:f>
        <x:v>0</x:v>
      </x:c>
      <x:c r="Q270" s="6" t="n">
        <x:f>MIN(O270+P270,'Debt strategy'!$E$11)</x:f>
        <x:v>0</x:v>
      </x:c>
      <x:c r="R270" s="27" t="n">
        <x:f>IF(O270+P270-Q270&lt;=0,99,1+SUM(IF(AND(C270+D270-E270&gt;0,OR('Debt strategy'!$D$9&gt;'Debt strategy'!$D$11,AND('Debt strategy'!$D$9='Debt strategy'!$D$11,0&lt;2))),1,0),IF(AND(I270+J270-K270&gt;0,OR('Debt strategy'!$D$10&gt;'Debt strategy'!$D$11,AND('Debt strategy'!$D$10='Debt strategy'!$D$11,1&lt;2))),1,0),IF(AND(U270+V270-W270&gt;0,OR('Debt strategy'!$D$12&gt;'Debt strategy'!$D$11,AND('Debt strategy'!$D$12='Debt strategy'!$D$11,3&lt;2))),1,0),IF(AND(AA270+AB270-AC270&gt;0,OR('Debt strategy'!$D$13&gt;'Debt strategy'!$D$11,AND('Debt strategy'!$D$13='Debt strategy'!$D$11,4&lt;2))),1,0)))</x:f>
        <x:v>99</x:v>
      </x:c>
      <x:c r="S270" s="6" t="n">
        <x:f>IF('Debt strategy'!$C$16&gt;0,0,MIN(O270+P270-Q270,MAX(0,'Debt strategy'!$C$5-SUM(E270,K270,Q270,W270,AC270)-SUM(IF(F270&lt;R270,C270+D270-E270,0),IF(L270&lt;R270,I270+J270-K270,0),IF(X270&lt;R270,U270+V270-W270,0),IF(AD270&lt;R270,AA270+AB270-AC270,0)))))</x:f>
        <x:v>0</x:v>
      </x:c>
      <x:c r="T270" s="6" t="n">
        <x:f>ROUND(MAX(0,O270+P270-Q270-S270),2)</x:f>
        <x:v>0</x:v>
      </x:c>
      <x:c r="U270" s="6" t="n">
        <x:f>Z269</x:f>
        <x:v>0</x:v>
      </x:c>
      <x:c r="V270" s="6" t="n">
        <x:f>ROUND(U270*'Debt strategy'!$D$12/12,2)</x:f>
        <x:v>0</x:v>
      </x:c>
      <x:c r="W270" s="6" t="n">
        <x:f>MIN(U270+V270,'Debt strategy'!$E$12)</x:f>
        <x:v>0</x:v>
      </x:c>
      <x:c r="X270" s="27" t="n">
        <x:f>IF(U270+V270-W270&lt;=0,99,1+SUM(IF(AND(C270+D270-E270&gt;0,OR('Debt strategy'!$D$9&gt;'Debt strategy'!$D$12,AND('Debt strategy'!$D$9='Debt strategy'!$D$12,0&lt;3))),1,0),IF(AND(I270+J270-K270&gt;0,OR('Debt strategy'!$D$10&gt;'Debt strategy'!$D$12,AND('Debt strategy'!$D$10='Debt strategy'!$D$12,1&lt;3))),1,0),IF(AND(O270+P270-Q270&gt;0,OR('Debt strategy'!$D$11&gt;'Debt strategy'!$D$12,AND('Debt strategy'!$D$11='Debt strategy'!$D$12,2&lt;3))),1,0),IF(AND(AA270+AB270-AC270&gt;0,OR('Debt strategy'!$D$13&gt;'Debt strategy'!$D$12,AND('Debt strategy'!$D$13='Debt strategy'!$D$12,4&lt;3))),1,0)))</x:f>
        <x:v>99</x:v>
      </x:c>
      <x:c r="Y270" s="6" t="n">
        <x:f>IF('Debt strategy'!$C$16&gt;0,0,MIN(U270+V270-W270,MAX(0,'Debt strategy'!$C$5-SUM(E270,K270,Q270,W270,AC270)-SUM(IF(F270&lt;X270,C270+D270-E270,0),IF(L270&lt;X270,I270+J270-K270,0),IF(R270&lt;X270,O270+P270-Q270,0),IF(AD270&lt;X270,AA270+AB270-AC270,0)))))</x:f>
        <x:v>0</x:v>
      </x:c>
      <x:c r="Z270" s="6" t="n">
        <x:f>ROUND(MAX(0,U270+V270-W270-Y270),2)</x:f>
        <x:v>0</x:v>
      </x:c>
      <x:c r="AA270" s="6" t="n">
        <x:f>AF269</x:f>
        <x:v>0</x:v>
      </x:c>
      <x:c r="AB270" s="6" t="n">
        <x:f>ROUND(AA270*'Debt strategy'!$D$13/12,2)</x:f>
        <x:v>0</x:v>
      </x:c>
      <x:c r="AC270" s="6" t="n">
        <x:f>MIN(AA270+AB270,'Debt strategy'!$E$13)</x:f>
        <x:v>0</x:v>
      </x:c>
      <x:c r="AD270" s="27" t="n">
        <x:f>IF(AA270+AB270-AC270&lt;=0,99,1+SUM(IF(AND(C270+D270-E270&gt;0,OR('Debt strategy'!$D$9&gt;'Debt strategy'!$D$13,AND('Debt strategy'!$D$9='Debt strategy'!$D$13,0&lt;4))),1,0),IF(AND(I270+J270-K270&gt;0,OR('Debt strategy'!$D$10&gt;'Debt strategy'!$D$13,AND('Debt strategy'!$D$10='Debt strategy'!$D$13,1&lt;4))),1,0),IF(AND(O270+P270-Q270&gt;0,OR('Debt strategy'!$D$11&gt;'Debt strategy'!$D$13,AND('Debt strategy'!$D$11='Debt strategy'!$D$13,2&lt;4))),1,0),IF(AND(U270+V270-W270&gt;0,OR('Debt strategy'!$D$12&gt;'Debt strategy'!$D$13,AND('Debt strategy'!$D$12='Debt strategy'!$D$13,3&lt;4))),1,0)))</x:f>
        <x:v>99</x:v>
      </x:c>
      <x:c r="AE270" s="6" t="n">
        <x:f>IF('Debt strategy'!$C$16&gt;0,0,MIN(AA270+AB270-AC270,MAX(0,'Debt strategy'!$C$5-SUM(E270,K270,Q270,W270,AC270)-SUM(IF(F270&lt;AD270,C270+D270-E270,0),IF(L270&lt;AD270,I270+J270-K270,0),IF(R270&lt;AD270,O270+P270-Q270,0),IF(X270&lt;AD270,U270+V270-W270,0)))))</x:f>
        <x:v>0</x:v>
      </x:c>
      <x:c r="AF270" s="6" t="n">
        <x:f>ROUND(MAX(0,AA270+AB270-AC270-AE270),2)</x:f>
        <x:v>0</x:v>
      </x:c>
      <x:c r="AG270" s="6" t="n">
        <x:f>SUM(H270,N270,T270,Z270,AF270)</x:f>
        <x:v>0</x:v>
      </x:c>
      <x:c r="AH270" s="6" t="n">
        <x:f>SUM(D270,J270,P270,V270,AB270)+AH269</x:f>
        <x:v>1220.8400000000001</x:v>
      </x:c>
      <x:c r="AI270" s="2"/>
    </x:row>
    <x:row r="271" ht="23" customHeight="1">
      <x:c r="B271" s="2" t="n">
        <x:f>263</x:f>
        <x:v>263</x:v>
      </x:c>
      <x:c r="C271" s="6" t="n">
        <x:f>H270</x:f>
        <x:v>0</x:v>
      </x:c>
      <x:c r="D271" s="6" t="n">
        <x:f>ROUND(C271*'Debt strategy'!$D$9/12,2)</x:f>
        <x:v>0</x:v>
      </x:c>
      <x:c r="E271" s="6" t="n">
        <x:f>MIN(C271+D271,'Debt strategy'!$E$9)</x:f>
        <x:v>0</x:v>
      </x:c>
      <x:c r="F271" s="27" t="n">
        <x:f>IF(C271+D271-E271&lt;=0,99,1+SUM(IF(AND(I271+J271-K271&gt;0,OR('Debt strategy'!$D$10&gt;'Debt strategy'!$D$9,AND('Debt strategy'!$D$10='Debt strategy'!$D$9,1&lt;0))),1,0),IF(AND(O271+P271-Q271&gt;0,OR('Debt strategy'!$D$11&gt;'Debt strategy'!$D$9,AND('Debt strategy'!$D$11='Debt strategy'!$D$9,2&lt;0))),1,0),IF(AND(U271+V271-W271&gt;0,OR('Debt strategy'!$D$12&gt;'Debt strategy'!$D$9,AND('Debt strategy'!$D$12='Debt strategy'!$D$9,3&lt;0))),1,0),IF(AND(AA271+AB271-AC271&gt;0,OR('Debt strategy'!$D$13&gt;'Debt strategy'!$D$9,AND('Debt strategy'!$D$13='Debt strategy'!$D$9,4&lt;0))),1,0)))</x:f>
        <x:v>99</x:v>
      </x:c>
      <x:c r="G271" s="6" t="n">
        <x:f>IF('Debt strategy'!$C$16&gt;0,0,MIN(C271+D271-E271,MAX(0,'Debt strategy'!$C$5-SUM(E271,K271,Q271,W271,AC271)-SUM(IF(L271&lt;F271,I271+J271-K271,0),IF(R271&lt;F271,O271+P271-Q271,0),IF(X271&lt;F271,U271+V271-W271,0),IF(AD271&lt;F271,AA271+AB271-AC271,0)))))</x:f>
        <x:v>0</x:v>
      </x:c>
      <x:c r="H271" s="6" t="n">
        <x:f>ROUND(MAX(0,C271+D271-E271-G271),2)</x:f>
        <x:v>0</x:v>
      </x:c>
      <x:c r="I271" s="6" t="n">
        <x:f>N270</x:f>
        <x:v>0</x:v>
      </x:c>
      <x:c r="J271" s="6" t="n">
        <x:f>ROUND(I271*'Debt strategy'!$D$10/12,2)</x:f>
        <x:v>0</x:v>
      </x:c>
      <x:c r="K271" s="6" t="n">
        <x:f>MIN(I271+J271,'Debt strategy'!$E$10)</x:f>
        <x:v>0</x:v>
      </x:c>
      <x:c r="L271" s="27" t="n">
        <x:f>IF(I271+J271-K271&lt;=0,99,1+SUM(IF(AND(C271+D271-E271&gt;0,OR('Debt strategy'!$D$9&gt;'Debt strategy'!$D$10,AND('Debt strategy'!$D$9='Debt strategy'!$D$10,0&lt;1))),1,0),IF(AND(O271+P271-Q271&gt;0,OR('Debt strategy'!$D$11&gt;'Debt strategy'!$D$10,AND('Debt strategy'!$D$11='Debt strategy'!$D$10,2&lt;1))),1,0),IF(AND(U271+V271-W271&gt;0,OR('Debt strategy'!$D$12&gt;'Debt strategy'!$D$10,AND('Debt strategy'!$D$12='Debt strategy'!$D$10,3&lt;1))),1,0),IF(AND(AA271+AB271-AC271&gt;0,OR('Debt strategy'!$D$13&gt;'Debt strategy'!$D$10,AND('Debt strategy'!$D$13='Debt strategy'!$D$10,4&lt;1))),1,0)))</x:f>
        <x:v>99</x:v>
      </x:c>
      <x:c r="M271" s="6" t="n">
        <x:f>IF('Debt strategy'!$C$16&gt;0,0,MIN(I271+J271-K271,MAX(0,'Debt strategy'!$C$5-SUM(E271,K271,Q271,W271,AC271)-SUM(IF(F271&lt;L271,C271+D271-E271,0),IF(R271&lt;L271,O271+P271-Q271,0),IF(X271&lt;L271,U271+V271-W271,0),IF(AD271&lt;L271,AA271+AB271-AC271,0)))))</x:f>
        <x:v>0</x:v>
      </x:c>
      <x:c r="N271" s="6" t="n">
        <x:f>ROUND(MAX(0,I271+J271-K271-M271),2)</x:f>
        <x:v>0</x:v>
      </x:c>
      <x:c r="O271" s="6" t="n">
        <x:f>T270</x:f>
        <x:v>0</x:v>
      </x:c>
      <x:c r="P271" s="6" t="n">
        <x:f>ROUND(O271*'Debt strategy'!$D$11/12,2)</x:f>
        <x:v>0</x:v>
      </x:c>
      <x:c r="Q271" s="6" t="n">
        <x:f>MIN(O271+P271,'Debt strategy'!$E$11)</x:f>
        <x:v>0</x:v>
      </x:c>
      <x:c r="R271" s="27" t="n">
        <x:f>IF(O271+P271-Q271&lt;=0,99,1+SUM(IF(AND(C271+D271-E271&gt;0,OR('Debt strategy'!$D$9&gt;'Debt strategy'!$D$11,AND('Debt strategy'!$D$9='Debt strategy'!$D$11,0&lt;2))),1,0),IF(AND(I271+J271-K271&gt;0,OR('Debt strategy'!$D$10&gt;'Debt strategy'!$D$11,AND('Debt strategy'!$D$10='Debt strategy'!$D$11,1&lt;2))),1,0),IF(AND(U271+V271-W271&gt;0,OR('Debt strategy'!$D$12&gt;'Debt strategy'!$D$11,AND('Debt strategy'!$D$12='Debt strategy'!$D$11,3&lt;2))),1,0),IF(AND(AA271+AB271-AC271&gt;0,OR('Debt strategy'!$D$13&gt;'Debt strategy'!$D$11,AND('Debt strategy'!$D$13='Debt strategy'!$D$11,4&lt;2))),1,0)))</x:f>
        <x:v>99</x:v>
      </x:c>
      <x:c r="S271" s="6" t="n">
        <x:f>IF('Debt strategy'!$C$16&gt;0,0,MIN(O271+P271-Q271,MAX(0,'Debt strategy'!$C$5-SUM(E271,K271,Q271,W271,AC271)-SUM(IF(F271&lt;R271,C271+D271-E271,0),IF(L271&lt;R271,I271+J271-K271,0),IF(X271&lt;R271,U271+V271-W271,0),IF(AD271&lt;R271,AA271+AB271-AC271,0)))))</x:f>
        <x:v>0</x:v>
      </x:c>
      <x:c r="T271" s="6" t="n">
        <x:f>ROUND(MAX(0,O271+P271-Q271-S271),2)</x:f>
        <x:v>0</x:v>
      </x:c>
      <x:c r="U271" s="6" t="n">
        <x:f>Z270</x:f>
        <x:v>0</x:v>
      </x:c>
      <x:c r="V271" s="6" t="n">
        <x:f>ROUND(U271*'Debt strategy'!$D$12/12,2)</x:f>
        <x:v>0</x:v>
      </x:c>
      <x:c r="W271" s="6" t="n">
        <x:f>MIN(U271+V271,'Debt strategy'!$E$12)</x:f>
        <x:v>0</x:v>
      </x:c>
      <x:c r="X271" s="27" t="n">
        <x:f>IF(U271+V271-W271&lt;=0,99,1+SUM(IF(AND(C271+D271-E271&gt;0,OR('Debt strategy'!$D$9&gt;'Debt strategy'!$D$12,AND('Debt strategy'!$D$9='Debt strategy'!$D$12,0&lt;3))),1,0),IF(AND(I271+J271-K271&gt;0,OR('Debt strategy'!$D$10&gt;'Debt strategy'!$D$12,AND('Debt strategy'!$D$10='Debt strategy'!$D$12,1&lt;3))),1,0),IF(AND(O271+P271-Q271&gt;0,OR('Debt strategy'!$D$11&gt;'Debt strategy'!$D$12,AND('Debt strategy'!$D$11='Debt strategy'!$D$12,2&lt;3))),1,0),IF(AND(AA271+AB271-AC271&gt;0,OR('Debt strategy'!$D$13&gt;'Debt strategy'!$D$12,AND('Debt strategy'!$D$13='Debt strategy'!$D$12,4&lt;3))),1,0)))</x:f>
        <x:v>99</x:v>
      </x:c>
      <x:c r="Y271" s="6" t="n">
        <x:f>IF('Debt strategy'!$C$16&gt;0,0,MIN(U271+V271-W271,MAX(0,'Debt strategy'!$C$5-SUM(E271,K271,Q271,W271,AC271)-SUM(IF(F271&lt;X271,C271+D271-E271,0),IF(L271&lt;X271,I271+J271-K271,0),IF(R271&lt;X271,O271+P271-Q271,0),IF(AD271&lt;X271,AA271+AB271-AC271,0)))))</x:f>
        <x:v>0</x:v>
      </x:c>
      <x:c r="Z271" s="6" t="n">
        <x:f>ROUND(MAX(0,U271+V271-W271-Y271),2)</x:f>
        <x:v>0</x:v>
      </x:c>
      <x:c r="AA271" s="6" t="n">
        <x:f>AF270</x:f>
        <x:v>0</x:v>
      </x:c>
      <x:c r="AB271" s="6" t="n">
        <x:f>ROUND(AA271*'Debt strategy'!$D$13/12,2)</x:f>
        <x:v>0</x:v>
      </x:c>
      <x:c r="AC271" s="6" t="n">
        <x:f>MIN(AA271+AB271,'Debt strategy'!$E$13)</x:f>
        <x:v>0</x:v>
      </x:c>
      <x:c r="AD271" s="27" t="n">
        <x:f>IF(AA271+AB271-AC271&lt;=0,99,1+SUM(IF(AND(C271+D271-E271&gt;0,OR('Debt strategy'!$D$9&gt;'Debt strategy'!$D$13,AND('Debt strategy'!$D$9='Debt strategy'!$D$13,0&lt;4))),1,0),IF(AND(I271+J271-K271&gt;0,OR('Debt strategy'!$D$10&gt;'Debt strategy'!$D$13,AND('Debt strategy'!$D$10='Debt strategy'!$D$13,1&lt;4))),1,0),IF(AND(O271+P271-Q271&gt;0,OR('Debt strategy'!$D$11&gt;'Debt strategy'!$D$13,AND('Debt strategy'!$D$11='Debt strategy'!$D$13,2&lt;4))),1,0),IF(AND(U271+V271-W271&gt;0,OR('Debt strategy'!$D$12&gt;'Debt strategy'!$D$13,AND('Debt strategy'!$D$12='Debt strategy'!$D$13,3&lt;4))),1,0)))</x:f>
        <x:v>99</x:v>
      </x:c>
      <x:c r="AE271" s="6" t="n">
        <x:f>IF('Debt strategy'!$C$16&gt;0,0,MIN(AA271+AB271-AC271,MAX(0,'Debt strategy'!$C$5-SUM(E271,K271,Q271,W271,AC271)-SUM(IF(F271&lt;AD271,C271+D271-E271,0),IF(L271&lt;AD271,I271+J271-K271,0),IF(R271&lt;AD271,O271+P271-Q271,0),IF(X271&lt;AD271,U271+V271-W271,0)))))</x:f>
        <x:v>0</x:v>
      </x:c>
      <x:c r="AF271" s="6" t="n">
        <x:f>ROUND(MAX(0,AA271+AB271-AC271-AE271),2)</x:f>
        <x:v>0</x:v>
      </x:c>
      <x:c r="AG271" s="6" t="n">
        <x:f>SUM(H271,N271,T271,Z271,AF271)</x:f>
        <x:v>0</x:v>
      </x:c>
      <x:c r="AH271" s="6" t="n">
        <x:f>SUM(D271,J271,P271,V271,AB271)+AH270</x:f>
        <x:v>1220.8400000000001</x:v>
      </x:c>
      <x:c r="AI271" s="2"/>
    </x:row>
    <x:row r="272" ht="23" customHeight="1">
      <x:c r="B272" s="2" t="n">
        <x:f>264</x:f>
        <x:v>264</x:v>
      </x:c>
      <x:c r="C272" s="6" t="n">
        <x:f>H271</x:f>
        <x:v>0</x:v>
      </x:c>
      <x:c r="D272" s="6" t="n">
        <x:f>ROUND(C272*'Debt strategy'!$D$9/12,2)</x:f>
        <x:v>0</x:v>
      </x:c>
      <x:c r="E272" s="6" t="n">
        <x:f>MIN(C272+D272,'Debt strategy'!$E$9)</x:f>
        <x:v>0</x:v>
      </x:c>
      <x:c r="F272" s="27" t="n">
        <x:f>IF(C272+D272-E272&lt;=0,99,1+SUM(IF(AND(I272+J272-K272&gt;0,OR('Debt strategy'!$D$10&gt;'Debt strategy'!$D$9,AND('Debt strategy'!$D$10='Debt strategy'!$D$9,1&lt;0))),1,0),IF(AND(O272+P272-Q272&gt;0,OR('Debt strategy'!$D$11&gt;'Debt strategy'!$D$9,AND('Debt strategy'!$D$11='Debt strategy'!$D$9,2&lt;0))),1,0),IF(AND(U272+V272-W272&gt;0,OR('Debt strategy'!$D$12&gt;'Debt strategy'!$D$9,AND('Debt strategy'!$D$12='Debt strategy'!$D$9,3&lt;0))),1,0),IF(AND(AA272+AB272-AC272&gt;0,OR('Debt strategy'!$D$13&gt;'Debt strategy'!$D$9,AND('Debt strategy'!$D$13='Debt strategy'!$D$9,4&lt;0))),1,0)))</x:f>
        <x:v>99</x:v>
      </x:c>
      <x:c r="G272" s="6" t="n">
        <x:f>IF('Debt strategy'!$C$16&gt;0,0,MIN(C272+D272-E272,MAX(0,'Debt strategy'!$C$5-SUM(E272,K272,Q272,W272,AC272)-SUM(IF(L272&lt;F272,I272+J272-K272,0),IF(R272&lt;F272,O272+P272-Q272,0),IF(X272&lt;F272,U272+V272-W272,0),IF(AD272&lt;F272,AA272+AB272-AC272,0)))))</x:f>
        <x:v>0</x:v>
      </x:c>
      <x:c r="H272" s="6" t="n">
        <x:f>ROUND(MAX(0,C272+D272-E272-G272),2)</x:f>
        <x:v>0</x:v>
      </x:c>
      <x:c r="I272" s="6" t="n">
        <x:f>N271</x:f>
        <x:v>0</x:v>
      </x:c>
      <x:c r="J272" s="6" t="n">
        <x:f>ROUND(I272*'Debt strategy'!$D$10/12,2)</x:f>
        <x:v>0</x:v>
      </x:c>
      <x:c r="K272" s="6" t="n">
        <x:f>MIN(I272+J272,'Debt strategy'!$E$10)</x:f>
        <x:v>0</x:v>
      </x:c>
      <x:c r="L272" s="27" t="n">
        <x:f>IF(I272+J272-K272&lt;=0,99,1+SUM(IF(AND(C272+D272-E272&gt;0,OR('Debt strategy'!$D$9&gt;'Debt strategy'!$D$10,AND('Debt strategy'!$D$9='Debt strategy'!$D$10,0&lt;1))),1,0),IF(AND(O272+P272-Q272&gt;0,OR('Debt strategy'!$D$11&gt;'Debt strategy'!$D$10,AND('Debt strategy'!$D$11='Debt strategy'!$D$10,2&lt;1))),1,0),IF(AND(U272+V272-W272&gt;0,OR('Debt strategy'!$D$12&gt;'Debt strategy'!$D$10,AND('Debt strategy'!$D$12='Debt strategy'!$D$10,3&lt;1))),1,0),IF(AND(AA272+AB272-AC272&gt;0,OR('Debt strategy'!$D$13&gt;'Debt strategy'!$D$10,AND('Debt strategy'!$D$13='Debt strategy'!$D$10,4&lt;1))),1,0)))</x:f>
        <x:v>99</x:v>
      </x:c>
      <x:c r="M272" s="6" t="n">
        <x:f>IF('Debt strategy'!$C$16&gt;0,0,MIN(I272+J272-K272,MAX(0,'Debt strategy'!$C$5-SUM(E272,K272,Q272,W272,AC272)-SUM(IF(F272&lt;L272,C272+D272-E272,0),IF(R272&lt;L272,O272+P272-Q272,0),IF(X272&lt;L272,U272+V272-W272,0),IF(AD272&lt;L272,AA272+AB272-AC272,0)))))</x:f>
        <x:v>0</x:v>
      </x:c>
      <x:c r="N272" s="6" t="n">
        <x:f>ROUND(MAX(0,I272+J272-K272-M272),2)</x:f>
        <x:v>0</x:v>
      </x:c>
      <x:c r="O272" s="6" t="n">
        <x:f>T271</x:f>
        <x:v>0</x:v>
      </x:c>
      <x:c r="P272" s="6" t="n">
        <x:f>ROUND(O272*'Debt strategy'!$D$11/12,2)</x:f>
        <x:v>0</x:v>
      </x:c>
      <x:c r="Q272" s="6" t="n">
        <x:f>MIN(O272+P272,'Debt strategy'!$E$11)</x:f>
        <x:v>0</x:v>
      </x:c>
      <x:c r="R272" s="27" t="n">
        <x:f>IF(O272+P272-Q272&lt;=0,99,1+SUM(IF(AND(C272+D272-E272&gt;0,OR('Debt strategy'!$D$9&gt;'Debt strategy'!$D$11,AND('Debt strategy'!$D$9='Debt strategy'!$D$11,0&lt;2))),1,0),IF(AND(I272+J272-K272&gt;0,OR('Debt strategy'!$D$10&gt;'Debt strategy'!$D$11,AND('Debt strategy'!$D$10='Debt strategy'!$D$11,1&lt;2))),1,0),IF(AND(U272+V272-W272&gt;0,OR('Debt strategy'!$D$12&gt;'Debt strategy'!$D$11,AND('Debt strategy'!$D$12='Debt strategy'!$D$11,3&lt;2))),1,0),IF(AND(AA272+AB272-AC272&gt;0,OR('Debt strategy'!$D$13&gt;'Debt strategy'!$D$11,AND('Debt strategy'!$D$13='Debt strategy'!$D$11,4&lt;2))),1,0)))</x:f>
        <x:v>99</x:v>
      </x:c>
      <x:c r="S272" s="6" t="n">
        <x:f>IF('Debt strategy'!$C$16&gt;0,0,MIN(O272+P272-Q272,MAX(0,'Debt strategy'!$C$5-SUM(E272,K272,Q272,W272,AC272)-SUM(IF(F272&lt;R272,C272+D272-E272,0),IF(L272&lt;R272,I272+J272-K272,0),IF(X272&lt;R272,U272+V272-W272,0),IF(AD272&lt;R272,AA272+AB272-AC272,0)))))</x:f>
        <x:v>0</x:v>
      </x:c>
      <x:c r="T272" s="6" t="n">
        <x:f>ROUND(MAX(0,O272+P272-Q272-S272),2)</x:f>
        <x:v>0</x:v>
      </x:c>
      <x:c r="U272" s="6" t="n">
        <x:f>Z271</x:f>
        <x:v>0</x:v>
      </x:c>
      <x:c r="V272" s="6" t="n">
        <x:f>ROUND(U272*'Debt strategy'!$D$12/12,2)</x:f>
        <x:v>0</x:v>
      </x:c>
      <x:c r="W272" s="6" t="n">
        <x:f>MIN(U272+V272,'Debt strategy'!$E$12)</x:f>
        <x:v>0</x:v>
      </x:c>
      <x:c r="X272" s="27" t="n">
        <x:f>IF(U272+V272-W272&lt;=0,99,1+SUM(IF(AND(C272+D272-E272&gt;0,OR('Debt strategy'!$D$9&gt;'Debt strategy'!$D$12,AND('Debt strategy'!$D$9='Debt strategy'!$D$12,0&lt;3))),1,0),IF(AND(I272+J272-K272&gt;0,OR('Debt strategy'!$D$10&gt;'Debt strategy'!$D$12,AND('Debt strategy'!$D$10='Debt strategy'!$D$12,1&lt;3))),1,0),IF(AND(O272+P272-Q272&gt;0,OR('Debt strategy'!$D$11&gt;'Debt strategy'!$D$12,AND('Debt strategy'!$D$11='Debt strategy'!$D$12,2&lt;3))),1,0),IF(AND(AA272+AB272-AC272&gt;0,OR('Debt strategy'!$D$13&gt;'Debt strategy'!$D$12,AND('Debt strategy'!$D$13='Debt strategy'!$D$12,4&lt;3))),1,0)))</x:f>
        <x:v>99</x:v>
      </x:c>
      <x:c r="Y272" s="6" t="n">
        <x:f>IF('Debt strategy'!$C$16&gt;0,0,MIN(U272+V272-W272,MAX(0,'Debt strategy'!$C$5-SUM(E272,K272,Q272,W272,AC272)-SUM(IF(F272&lt;X272,C272+D272-E272,0),IF(L272&lt;X272,I272+J272-K272,0),IF(R272&lt;X272,O272+P272-Q272,0),IF(AD272&lt;X272,AA272+AB272-AC272,0)))))</x:f>
        <x:v>0</x:v>
      </x:c>
      <x:c r="Z272" s="6" t="n">
        <x:f>ROUND(MAX(0,U272+V272-W272-Y272),2)</x:f>
        <x:v>0</x:v>
      </x:c>
      <x:c r="AA272" s="6" t="n">
        <x:f>AF271</x:f>
        <x:v>0</x:v>
      </x:c>
      <x:c r="AB272" s="6" t="n">
        <x:f>ROUND(AA272*'Debt strategy'!$D$13/12,2)</x:f>
        <x:v>0</x:v>
      </x:c>
      <x:c r="AC272" s="6" t="n">
        <x:f>MIN(AA272+AB272,'Debt strategy'!$E$13)</x:f>
        <x:v>0</x:v>
      </x:c>
      <x:c r="AD272" s="27" t="n">
        <x:f>IF(AA272+AB272-AC272&lt;=0,99,1+SUM(IF(AND(C272+D272-E272&gt;0,OR('Debt strategy'!$D$9&gt;'Debt strategy'!$D$13,AND('Debt strategy'!$D$9='Debt strategy'!$D$13,0&lt;4))),1,0),IF(AND(I272+J272-K272&gt;0,OR('Debt strategy'!$D$10&gt;'Debt strategy'!$D$13,AND('Debt strategy'!$D$10='Debt strategy'!$D$13,1&lt;4))),1,0),IF(AND(O272+P272-Q272&gt;0,OR('Debt strategy'!$D$11&gt;'Debt strategy'!$D$13,AND('Debt strategy'!$D$11='Debt strategy'!$D$13,2&lt;4))),1,0),IF(AND(U272+V272-W272&gt;0,OR('Debt strategy'!$D$12&gt;'Debt strategy'!$D$13,AND('Debt strategy'!$D$12='Debt strategy'!$D$13,3&lt;4))),1,0)))</x:f>
        <x:v>99</x:v>
      </x:c>
      <x:c r="AE272" s="6" t="n">
        <x:f>IF('Debt strategy'!$C$16&gt;0,0,MIN(AA272+AB272-AC272,MAX(0,'Debt strategy'!$C$5-SUM(E272,K272,Q272,W272,AC272)-SUM(IF(F272&lt;AD272,C272+D272-E272,0),IF(L272&lt;AD272,I272+J272-K272,0),IF(R272&lt;AD272,O272+P272-Q272,0),IF(X272&lt;AD272,U272+V272-W272,0)))))</x:f>
        <x:v>0</x:v>
      </x:c>
      <x:c r="AF272" s="6" t="n">
        <x:f>ROUND(MAX(0,AA272+AB272-AC272-AE272),2)</x:f>
        <x:v>0</x:v>
      </x:c>
      <x:c r="AG272" s="6" t="n">
        <x:f>SUM(H272,N272,T272,Z272,AF272)</x:f>
        <x:v>0</x:v>
      </x:c>
      <x:c r="AH272" s="6" t="n">
        <x:f>SUM(D272,J272,P272,V272,AB272)+AH271</x:f>
        <x:v>1220.8400000000001</x:v>
      </x:c>
      <x:c r="AI272" s="2"/>
    </x:row>
    <x:row r="273" ht="23" customHeight="1">
      <x:c r="B273" s="2" t="n">
        <x:f>265</x:f>
        <x:v>265</x:v>
      </x:c>
      <x:c r="C273" s="6" t="n">
        <x:f>H272</x:f>
        <x:v>0</x:v>
      </x:c>
      <x:c r="D273" s="6" t="n">
        <x:f>ROUND(C273*'Debt strategy'!$D$9/12,2)</x:f>
        <x:v>0</x:v>
      </x:c>
      <x:c r="E273" s="6" t="n">
        <x:f>MIN(C273+D273,'Debt strategy'!$E$9)</x:f>
        <x:v>0</x:v>
      </x:c>
      <x:c r="F273" s="27" t="n">
        <x:f>IF(C273+D273-E273&lt;=0,99,1+SUM(IF(AND(I273+J273-K273&gt;0,OR('Debt strategy'!$D$10&gt;'Debt strategy'!$D$9,AND('Debt strategy'!$D$10='Debt strategy'!$D$9,1&lt;0))),1,0),IF(AND(O273+P273-Q273&gt;0,OR('Debt strategy'!$D$11&gt;'Debt strategy'!$D$9,AND('Debt strategy'!$D$11='Debt strategy'!$D$9,2&lt;0))),1,0),IF(AND(U273+V273-W273&gt;0,OR('Debt strategy'!$D$12&gt;'Debt strategy'!$D$9,AND('Debt strategy'!$D$12='Debt strategy'!$D$9,3&lt;0))),1,0),IF(AND(AA273+AB273-AC273&gt;0,OR('Debt strategy'!$D$13&gt;'Debt strategy'!$D$9,AND('Debt strategy'!$D$13='Debt strategy'!$D$9,4&lt;0))),1,0)))</x:f>
        <x:v>99</x:v>
      </x:c>
      <x:c r="G273" s="6" t="n">
        <x:f>IF('Debt strategy'!$C$16&gt;0,0,MIN(C273+D273-E273,MAX(0,'Debt strategy'!$C$5-SUM(E273,K273,Q273,W273,AC273)-SUM(IF(L273&lt;F273,I273+J273-K273,0),IF(R273&lt;F273,O273+P273-Q273,0),IF(X273&lt;F273,U273+V273-W273,0),IF(AD273&lt;F273,AA273+AB273-AC273,0)))))</x:f>
        <x:v>0</x:v>
      </x:c>
      <x:c r="H273" s="6" t="n">
        <x:f>ROUND(MAX(0,C273+D273-E273-G273),2)</x:f>
        <x:v>0</x:v>
      </x:c>
      <x:c r="I273" s="6" t="n">
        <x:f>N272</x:f>
        <x:v>0</x:v>
      </x:c>
      <x:c r="J273" s="6" t="n">
        <x:f>ROUND(I273*'Debt strategy'!$D$10/12,2)</x:f>
        <x:v>0</x:v>
      </x:c>
      <x:c r="K273" s="6" t="n">
        <x:f>MIN(I273+J273,'Debt strategy'!$E$10)</x:f>
        <x:v>0</x:v>
      </x:c>
      <x:c r="L273" s="27" t="n">
        <x:f>IF(I273+J273-K273&lt;=0,99,1+SUM(IF(AND(C273+D273-E273&gt;0,OR('Debt strategy'!$D$9&gt;'Debt strategy'!$D$10,AND('Debt strategy'!$D$9='Debt strategy'!$D$10,0&lt;1))),1,0),IF(AND(O273+P273-Q273&gt;0,OR('Debt strategy'!$D$11&gt;'Debt strategy'!$D$10,AND('Debt strategy'!$D$11='Debt strategy'!$D$10,2&lt;1))),1,0),IF(AND(U273+V273-W273&gt;0,OR('Debt strategy'!$D$12&gt;'Debt strategy'!$D$10,AND('Debt strategy'!$D$12='Debt strategy'!$D$10,3&lt;1))),1,0),IF(AND(AA273+AB273-AC273&gt;0,OR('Debt strategy'!$D$13&gt;'Debt strategy'!$D$10,AND('Debt strategy'!$D$13='Debt strategy'!$D$10,4&lt;1))),1,0)))</x:f>
        <x:v>99</x:v>
      </x:c>
      <x:c r="M273" s="6" t="n">
        <x:f>IF('Debt strategy'!$C$16&gt;0,0,MIN(I273+J273-K273,MAX(0,'Debt strategy'!$C$5-SUM(E273,K273,Q273,W273,AC273)-SUM(IF(F273&lt;L273,C273+D273-E273,0),IF(R273&lt;L273,O273+P273-Q273,0),IF(X273&lt;L273,U273+V273-W273,0),IF(AD273&lt;L273,AA273+AB273-AC273,0)))))</x:f>
        <x:v>0</x:v>
      </x:c>
      <x:c r="N273" s="6" t="n">
        <x:f>ROUND(MAX(0,I273+J273-K273-M273),2)</x:f>
        <x:v>0</x:v>
      </x:c>
      <x:c r="O273" s="6" t="n">
        <x:f>T272</x:f>
        <x:v>0</x:v>
      </x:c>
      <x:c r="P273" s="6" t="n">
        <x:f>ROUND(O273*'Debt strategy'!$D$11/12,2)</x:f>
        <x:v>0</x:v>
      </x:c>
      <x:c r="Q273" s="6" t="n">
        <x:f>MIN(O273+P273,'Debt strategy'!$E$11)</x:f>
        <x:v>0</x:v>
      </x:c>
      <x:c r="R273" s="27" t="n">
        <x:f>IF(O273+P273-Q273&lt;=0,99,1+SUM(IF(AND(C273+D273-E273&gt;0,OR('Debt strategy'!$D$9&gt;'Debt strategy'!$D$11,AND('Debt strategy'!$D$9='Debt strategy'!$D$11,0&lt;2))),1,0),IF(AND(I273+J273-K273&gt;0,OR('Debt strategy'!$D$10&gt;'Debt strategy'!$D$11,AND('Debt strategy'!$D$10='Debt strategy'!$D$11,1&lt;2))),1,0),IF(AND(U273+V273-W273&gt;0,OR('Debt strategy'!$D$12&gt;'Debt strategy'!$D$11,AND('Debt strategy'!$D$12='Debt strategy'!$D$11,3&lt;2))),1,0),IF(AND(AA273+AB273-AC273&gt;0,OR('Debt strategy'!$D$13&gt;'Debt strategy'!$D$11,AND('Debt strategy'!$D$13='Debt strategy'!$D$11,4&lt;2))),1,0)))</x:f>
        <x:v>99</x:v>
      </x:c>
      <x:c r="S273" s="6" t="n">
        <x:f>IF('Debt strategy'!$C$16&gt;0,0,MIN(O273+P273-Q273,MAX(0,'Debt strategy'!$C$5-SUM(E273,K273,Q273,W273,AC273)-SUM(IF(F273&lt;R273,C273+D273-E273,0),IF(L273&lt;R273,I273+J273-K273,0),IF(X273&lt;R273,U273+V273-W273,0),IF(AD273&lt;R273,AA273+AB273-AC273,0)))))</x:f>
        <x:v>0</x:v>
      </x:c>
      <x:c r="T273" s="6" t="n">
        <x:f>ROUND(MAX(0,O273+P273-Q273-S273),2)</x:f>
        <x:v>0</x:v>
      </x:c>
      <x:c r="U273" s="6" t="n">
        <x:f>Z272</x:f>
        <x:v>0</x:v>
      </x:c>
      <x:c r="V273" s="6" t="n">
        <x:f>ROUND(U273*'Debt strategy'!$D$12/12,2)</x:f>
        <x:v>0</x:v>
      </x:c>
      <x:c r="W273" s="6" t="n">
        <x:f>MIN(U273+V273,'Debt strategy'!$E$12)</x:f>
        <x:v>0</x:v>
      </x:c>
      <x:c r="X273" s="27" t="n">
        <x:f>IF(U273+V273-W273&lt;=0,99,1+SUM(IF(AND(C273+D273-E273&gt;0,OR('Debt strategy'!$D$9&gt;'Debt strategy'!$D$12,AND('Debt strategy'!$D$9='Debt strategy'!$D$12,0&lt;3))),1,0),IF(AND(I273+J273-K273&gt;0,OR('Debt strategy'!$D$10&gt;'Debt strategy'!$D$12,AND('Debt strategy'!$D$10='Debt strategy'!$D$12,1&lt;3))),1,0),IF(AND(O273+P273-Q273&gt;0,OR('Debt strategy'!$D$11&gt;'Debt strategy'!$D$12,AND('Debt strategy'!$D$11='Debt strategy'!$D$12,2&lt;3))),1,0),IF(AND(AA273+AB273-AC273&gt;0,OR('Debt strategy'!$D$13&gt;'Debt strategy'!$D$12,AND('Debt strategy'!$D$13='Debt strategy'!$D$12,4&lt;3))),1,0)))</x:f>
        <x:v>99</x:v>
      </x:c>
      <x:c r="Y273" s="6" t="n">
        <x:f>IF('Debt strategy'!$C$16&gt;0,0,MIN(U273+V273-W273,MAX(0,'Debt strategy'!$C$5-SUM(E273,K273,Q273,W273,AC273)-SUM(IF(F273&lt;X273,C273+D273-E273,0),IF(L273&lt;X273,I273+J273-K273,0),IF(R273&lt;X273,O273+P273-Q273,0),IF(AD273&lt;X273,AA273+AB273-AC273,0)))))</x:f>
        <x:v>0</x:v>
      </x:c>
      <x:c r="Z273" s="6" t="n">
        <x:f>ROUND(MAX(0,U273+V273-W273-Y273),2)</x:f>
        <x:v>0</x:v>
      </x:c>
      <x:c r="AA273" s="6" t="n">
        <x:f>AF272</x:f>
        <x:v>0</x:v>
      </x:c>
      <x:c r="AB273" s="6" t="n">
        <x:f>ROUND(AA273*'Debt strategy'!$D$13/12,2)</x:f>
        <x:v>0</x:v>
      </x:c>
      <x:c r="AC273" s="6" t="n">
        <x:f>MIN(AA273+AB273,'Debt strategy'!$E$13)</x:f>
        <x:v>0</x:v>
      </x:c>
      <x:c r="AD273" s="27" t="n">
        <x:f>IF(AA273+AB273-AC273&lt;=0,99,1+SUM(IF(AND(C273+D273-E273&gt;0,OR('Debt strategy'!$D$9&gt;'Debt strategy'!$D$13,AND('Debt strategy'!$D$9='Debt strategy'!$D$13,0&lt;4))),1,0),IF(AND(I273+J273-K273&gt;0,OR('Debt strategy'!$D$10&gt;'Debt strategy'!$D$13,AND('Debt strategy'!$D$10='Debt strategy'!$D$13,1&lt;4))),1,0),IF(AND(O273+P273-Q273&gt;0,OR('Debt strategy'!$D$11&gt;'Debt strategy'!$D$13,AND('Debt strategy'!$D$11='Debt strategy'!$D$13,2&lt;4))),1,0),IF(AND(U273+V273-W273&gt;0,OR('Debt strategy'!$D$12&gt;'Debt strategy'!$D$13,AND('Debt strategy'!$D$12='Debt strategy'!$D$13,3&lt;4))),1,0)))</x:f>
        <x:v>99</x:v>
      </x:c>
      <x:c r="AE273" s="6" t="n">
        <x:f>IF('Debt strategy'!$C$16&gt;0,0,MIN(AA273+AB273-AC273,MAX(0,'Debt strategy'!$C$5-SUM(E273,K273,Q273,W273,AC273)-SUM(IF(F273&lt;AD273,C273+D273-E273,0),IF(L273&lt;AD273,I273+J273-K273,0),IF(R273&lt;AD273,O273+P273-Q273,0),IF(X273&lt;AD273,U273+V273-W273,0)))))</x:f>
        <x:v>0</x:v>
      </x:c>
      <x:c r="AF273" s="6" t="n">
        <x:f>ROUND(MAX(0,AA273+AB273-AC273-AE273),2)</x:f>
        <x:v>0</x:v>
      </x:c>
      <x:c r="AG273" s="6" t="n">
        <x:f>SUM(H273,N273,T273,Z273,AF273)</x:f>
        <x:v>0</x:v>
      </x:c>
      <x:c r="AH273" s="6" t="n">
        <x:f>SUM(D273,J273,P273,V273,AB273)+AH272</x:f>
        <x:v>1220.8400000000001</x:v>
      </x:c>
      <x:c r="AI273" s="2"/>
    </x:row>
    <x:row r="274" ht="23" customHeight="1">
      <x:c r="B274" s="2" t="n">
        <x:f>266</x:f>
        <x:v>266</x:v>
      </x:c>
      <x:c r="C274" s="6" t="n">
        <x:f>H273</x:f>
        <x:v>0</x:v>
      </x:c>
      <x:c r="D274" s="6" t="n">
        <x:f>ROUND(C274*'Debt strategy'!$D$9/12,2)</x:f>
        <x:v>0</x:v>
      </x:c>
      <x:c r="E274" s="6" t="n">
        <x:f>MIN(C274+D274,'Debt strategy'!$E$9)</x:f>
        <x:v>0</x:v>
      </x:c>
      <x:c r="F274" s="27" t="n">
        <x:f>IF(C274+D274-E274&lt;=0,99,1+SUM(IF(AND(I274+J274-K274&gt;0,OR('Debt strategy'!$D$10&gt;'Debt strategy'!$D$9,AND('Debt strategy'!$D$10='Debt strategy'!$D$9,1&lt;0))),1,0),IF(AND(O274+P274-Q274&gt;0,OR('Debt strategy'!$D$11&gt;'Debt strategy'!$D$9,AND('Debt strategy'!$D$11='Debt strategy'!$D$9,2&lt;0))),1,0),IF(AND(U274+V274-W274&gt;0,OR('Debt strategy'!$D$12&gt;'Debt strategy'!$D$9,AND('Debt strategy'!$D$12='Debt strategy'!$D$9,3&lt;0))),1,0),IF(AND(AA274+AB274-AC274&gt;0,OR('Debt strategy'!$D$13&gt;'Debt strategy'!$D$9,AND('Debt strategy'!$D$13='Debt strategy'!$D$9,4&lt;0))),1,0)))</x:f>
        <x:v>99</x:v>
      </x:c>
      <x:c r="G274" s="6" t="n">
        <x:f>IF('Debt strategy'!$C$16&gt;0,0,MIN(C274+D274-E274,MAX(0,'Debt strategy'!$C$5-SUM(E274,K274,Q274,W274,AC274)-SUM(IF(L274&lt;F274,I274+J274-K274,0),IF(R274&lt;F274,O274+P274-Q274,0),IF(X274&lt;F274,U274+V274-W274,0),IF(AD274&lt;F274,AA274+AB274-AC274,0)))))</x:f>
        <x:v>0</x:v>
      </x:c>
      <x:c r="H274" s="6" t="n">
        <x:f>ROUND(MAX(0,C274+D274-E274-G274),2)</x:f>
        <x:v>0</x:v>
      </x:c>
      <x:c r="I274" s="6" t="n">
        <x:f>N273</x:f>
        <x:v>0</x:v>
      </x:c>
      <x:c r="J274" s="6" t="n">
        <x:f>ROUND(I274*'Debt strategy'!$D$10/12,2)</x:f>
        <x:v>0</x:v>
      </x:c>
      <x:c r="K274" s="6" t="n">
        <x:f>MIN(I274+J274,'Debt strategy'!$E$10)</x:f>
        <x:v>0</x:v>
      </x:c>
      <x:c r="L274" s="27" t="n">
        <x:f>IF(I274+J274-K274&lt;=0,99,1+SUM(IF(AND(C274+D274-E274&gt;0,OR('Debt strategy'!$D$9&gt;'Debt strategy'!$D$10,AND('Debt strategy'!$D$9='Debt strategy'!$D$10,0&lt;1))),1,0),IF(AND(O274+P274-Q274&gt;0,OR('Debt strategy'!$D$11&gt;'Debt strategy'!$D$10,AND('Debt strategy'!$D$11='Debt strategy'!$D$10,2&lt;1))),1,0),IF(AND(U274+V274-W274&gt;0,OR('Debt strategy'!$D$12&gt;'Debt strategy'!$D$10,AND('Debt strategy'!$D$12='Debt strategy'!$D$10,3&lt;1))),1,0),IF(AND(AA274+AB274-AC274&gt;0,OR('Debt strategy'!$D$13&gt;'Debt strategy'!$D$10,AND('Debt strategy'!$D$13='Debt strategy'!$D$10,4&lt;1))),1,0)))</x:f>
        <x:v>99</x:v>
      </x:c>
      <x:c r="M274" s="6" t="n">
        <x:f>IF('Debt strategy'!$C$16&gt;0,0,MIN(I274+J274-K274,MAX(0,'Debt strategy'!$C$5-SUM(E274,K274,Q274,W274,AC274)-SUM(IF(F274&lt;L274,C274+D274-E274,0),IF(R274&lt;L274,O274+P274-Q274,0),IF(X274&lt;L274,U274+V274-W274,0),IF(AD274&lt;L274,AA274+AB274-AC274,0)))))</x:f>
        <x:v>0</x:v>
      </x:c>
      <x:c r="N274" s="6" t="n">
        <x:f>ROUND(MAX(0,I274+J274-K274-M274),2)</x:f>
        <x:v>0</x:v>
      </x:c>
      <x:c r="O274" s="6" t="n">
        <x:f>T273</x:f>
        <x:v>0</x:v>
      </x:c>
      <x:c r="P274" s="6" t="n">
        <x:f>ROUND(O274*'Debt strategy'!$D$11/12,2)</x:f>
        <x:v>0</x:v>
      </x:c>
      <x:c r="Q274" s="6" t="n">
        <x:f>MIN(O274+P274,'Debt strategy'!$E$11)</x:f>
        <x:v>0</x:v>
      </x:c>
      <x:c r="R274" s="27" t="n">
        <x:f>IF(O274+P274-Q274&lt;=0,99,1+SUM(IF(AND(C274+D274-E274&gt;0,OR('Debt strategy'!$D$9&gt;'Debt strategy'!$D$11,AND('Debt strategy'!$D$9='Debt strategy'!$D$11,0&lt;2))),1,0),IF(AND(I274+J274-K274&gt;0,OR('Debt strategy'!$D$10&gt;'Debt strategy'!$D$11,AND('Debt strategy'!$D$10='Debt strategy'!$D$11,1&lt;2))),1,0),IF(AND(U274+V274-W274&gt;0,OR('Debt strategy'!$D$12&gt;'Debt strategy'!$D$11,AND('Debt strategy'!$D$12='Debt strategy'!$D$11,3&lt;2))),1,0),IF(AND(AA274+AB274-AC274&gt;0,OR('Debt strategy'!$D$13&gt;'Debt strategy'!$D$11,AND('Debt strategy'!$D$13='Debt strategy'!$D$11,4&lt;2))),1,0)))</x:f>
        <x:v>99</x:v>
      </x:c>
      <x:c r="S274" s="6" t="n">
        <x:f>IF('Debt strategy'!$C$16&gt;0,0,MIN(O274+P274-Q274,MAX(0,'Debt strategy'!$C$5-SUM(E274,K274,Q274,W274,AC274)-SUM(IF(F274&lt;R274,C274+D274-E274,0),IF(L274&lt;R274,I274+J274-K274,0),IF(X274&lt;R274,U274+V274-W274,0),IF(AD274&lt;R274,AA274+AB274-AC274,0)))))</x:f>
        <x:v>0</x:v>
      </x:c>
      <x:c r="T274" s="6" t="n">
        <x:f>ROUND(MAX(0,O274+P274-Q274-S274),2)</x:f>
        <x:v>0</x:v>
      </x:c>
      <x:c r="U274" s="6" t="n">
        <x:f>Z273</x:f>
        <x:v>0</x:v>
      </x:c>
      <x:c r="V274" s="6" t="n">
        <x:f>ROUND(U274*'Debt strategy'!$D$12/12,2)</x:f>
        <x:v>0</x:v>
      </x:c>
      <x:c r="W274" s="6" t="n">
        <x:f>MIN(U274+V274,'Debt strategy'!$E$12)</x:f>
        <x:v>0</x:v>
      </x:c>
      <x:c r="X274" s="27" t="n">
        <x:f>IF(U274+V274-W274&lt;=0,99,1+SUM(IF(AND(C274+D274-E274&gt;0,OR('Debt strategy'!$D$9&gt;'Debt strategy'!$D$12,AND('Debt strategy'!$D$9='Debt strategy'!$D$12,0&lt;3))),1,0),IF(AND(I274+J274-K274&gt;0,OR('Debt strategy'!$D$10&gt;'Debt strategy'!$D$12,AND('Debt strategy'!$D$10='Debt strategy'!$D$12,1&lt;3))),1,0),IF(AND(O274+P274-Q274&gt;0,OR('Debt strategy'!$D$11&gt;'Debt strategy'!$D$12,AND('Debt strategy'!$D$11='Debt strategy'!$D$12,2&lt;3))),1,0),IF(AND(AA274+AB274-AC274&gt;0,OR('Debt strategy'!$D$13&gt;'Debt strategy'!$D$12,AND('Debt strategy'!$D$13='Debt strategy'!$D$12,4&lt;3))),1,0)))</x:f>
        <x:v>99</x:v>
      </x:c>
      <x:c r="Y274" s="6" t="n">
        <x:f>IF('Debt strategy'!$C$16&gt;0,0,MIN(U274+V274-W274,MAX(0,'Debt strategy'!$C$5-SUM(E274,K274,Q274,W274,AC274)-SUM(IF(F274&lt;X274,C274+D274-E274,0),IF(L274&lt;X274,I274+J274-K274,0),IF(R274&lt;X274,O274+P274-Q274,0),IF(AD274&lt;X274,AA274+AB274-AC274,0)))))</x:f>
        <x:v>0</x:v>
      </x:c>
      <x:c r="Z274" s="6" t="n">
        <x:f>ROUND(MAX(0,U274+V274-W274-Y274),2)</x:f>
        <x:v>0</x:v>
      </x:c>
      <x:c r="AA274" s="6" t="n">
        <x:f>AF273</x:f>
        <x:v>0</x:v>
      </x:c>
      <x:c r="AB274" s="6" t="n">
        <x:f>ROUND(AA274*'Debt strategy'!$D$13/12,2)</x:f>
        <x:v>0</x:v>
      </x:c>
      <x:c r="AC274" s="6" t="n">
        <x:f>MIN(AA274+AB274,'Debt strategy'!$E$13)</x:f>
        <x:v>0</x:v>
      </x:c>
      <x:c r="AD274" s="27" t="n">
        <x:f>IF(AA274+AB274-AC274&lt;=0,99,1+SUM(IF(AND(C274+D274-E274&gt;0,OR('Debt strategy'!$D$9&gt;'Debt strategy'!$D$13,AND('Debt strategy'!$D$9='Debt strategy'!$D$13,0&lt;4))),1,0),IF(AND(I274+J274-K274&gt;0,OR('Debt strategy'!$D$10&gt;'Debt strategy'!$D$13,AND('Debt strategy'!$D$10='Debt strategy'!$D$13,1&lt;4))),1,0),IF(AND(O274+P274-Q274&gt;0,OR('Debt strategy'!$D$11&gt;'Debt strategy'!$D$13,AND('Debt strategy'!$D$11='Debt strategy'!$D$13,2&lt;4))),1,0),IF(AND(U274+V274-W274&gt;0,OR('Debt strategy'!$D$12&gt;'Debt strategy'!$D$13,AND('Debt strategy'!$D$12='Debt strategy'!$D$13,3&lt;4))),1,0)))</x:f>
        <x:v>99</x:v>
      </x:c>
      <x:c r="AE274" s="6" t="n">
        <x:f>IF('Debt strategy'!$C$16&gt;0,0,MIN(AA274+AB274-AC274,MAX(0,'Debt strategy'!$C$5-SUM(E274,K274,Q274,W274,AC274)-SUM(IF(F274&lt;AD274,C274+D274-E274,0),IF(L274&lt;AD274,I274+J274-K274,0),IF(R274&lt;AD274,O274+P274-Q274,0),IF(X274&lt;AD274,U274+V274-W274,0)))))</x:f>
        <x:v>0</x:v>
      </x:c>
      <x:c r="AF274" s="6" t="n">
        <x:f>ROUND(MAX(0,AA274+AB274-AC274-AE274),2)</x:f>
        <x:v>0</x:v>
      </x:c>
      <x:c r="AG274" s="6" t="n">
        <x:f>SUM(H274,N274,T274,Z274,AF274)</x:f>
        <x:v>0</x:v>
      </x:c>
      <x:c r="AH274" s="6" t="n">
        <x:f>SUM(D274,J274,P274,V274,AB274)+AH273</x:f>
        <x:v>1220.8400000000001</x:v>
      </x:c>
      <x:c r="AI274" s="2"/>
    </x:row>
    <x:row r="275" ht="23" customHeight="1">
      <x:c r="B275" s="2" t="n">
        <x:f>267</x:f>
        <x:v>267</x:v>
      </x:c>
      <x:c r="C275" s="6" t="n">
        <x:f>H274</x:f>
        <x:v>0</x:v>
      </x:c>
      <x:c r="D275" s="6" t="n">
        <x:f>ROUND(C275*'Debt strategy'!$D$9/12,2)</x:f>
        <x:v>0</x:v>
      </x:c>
      <x:c r="E275" s="6" t="n">
        <x:f>MIN(C275+D275,'Debt strategy'!$E$9)</x:f>
        <x:v>0</x:v>
      </x:c>
      <x:c r="F275" s="27" t="n">
        <x:f>IF(C275+D275-E275&lt;=0,99,1+SUM(IF(AND(I275+J275-K275&gt;0,OR('Debt strategy'!$D$10&gt;'Debt strategy'!$D$9,AND('Debt strategy'!$D$10='Debt strategy'!$D$9,1&lt;0))),1,0),IF(AND(O275+P275-Q275&gt;0,OR('Debt strategy'!$D$11&gt;'Debt strategy'!$D$9,AND('Debt strategy'!$D$11='Debt strategy'!$D$9,2&lt;0))),1,0),IF(AND(U275+V275-W275&gt;0,OR('Debt strategy'!$D$12&gt;'Debt strategy'!$D$9,AND('Debt strategy'!$D$12='Debt strategy'!$D$9,3&lt;0))),1,0),IF(AND(AA275+AB275-AC275&gt;0,OR('Debt strategy'!$D$13&gt;'Debt strategy'!$D$9,AND('Debt strategy'!$D$13='Debt strategy'!$D$9,4&lt;0))),1,0)))</x:f>
        <x:v>99</x:v>
      </x:c>
      <x:c r="G275" s="6" t="n">
        <x:f>IF('Debt strategy'!$C$16&gt;0,0,MIN(C275+D275-E275,MAX(0,'Debt strategy'!$C$5-SUM(E275,K275,Q275,W275,AC275)-SUM(IF(L275&lt;F275,I275+J275-K275,0),IF(R275&lt;F275,O275+P275-Q275,0),IF(X275&lt;F275,U275+V275-W275,0),IF(AD275&lt;F275,AA275+AB275-AC275,0)))))</x:f>
        <x:v>0</x:v>
      </x:c>
      <x:c r="H275" s="6" t="n">
        <x:f>ROUND(MAX(0,C275+D275-E275-G275),2)</x:f>
        <x:v>0</x:v>
      </x:c>
      <x:c r="I275" s="6" t="n">
        <x:f>N274</x:f>
        <x:v>0</x:v>
      </x:c>
      <x:c r="J275" s="6" t="n">
        <x:f>ROUND(I275*'Debt strategy'!$D$10/12,2)</x:f>
        <x:v>0</x:v>
      </x:c>
      <x:c r="K275" s="6" t="n">
        <x:f>MIN(I275+J275,'Debt strategy'!$E$10)</x:f>
        <x:v>0</x:v>
      </x:c>
      <x:c r="L275" s="27" t="n">
        <x:f>IF(I275+J275-K275&lt;=0,99,1+SUM(IF(AND(C275+D275-E275&gt;0,OR('Debt strategy'!$D$9&gt;'Debt strategy'!$D$10,AND('Debt strategy'!$D$9='Debt strategy'!$D$10,0&lt;1))),1,0),IF(AND(O275+P275-Q275&gt;0,OR('Debt strategy'!$D$11&gt;'Debt strategy'!$D$10,AND('Debt strategy'!$D$11='Debt strategy'!$D$10,2&lt;1))),1,0),IF(AND(U275+V275-W275&gt;0,OR('Debt strategy'!$D$12&gt;'Debt strategy'!$D$10,AND('Debt strategy'!$D$12='Debt strategy'!$D$10,3&lt;1))),1,0),IF(AND(AA275+AB275-AC275&gt;0,OR('Debt strategy'!$D$13&gt;'Debt strategy'!$D$10,AND('Debt strategy'!$D$13='Debt strategy'!$D$10,4&lt;1))),1,0)))</x:f>
        <x:v>99</x:v>
      </x:c>
      <x:c r="M275" s="6" t="n">
        <x:f>IF('Debt strategy'!$C$16&gt;0,0,MIN(I275+J275-K275,MAX(0,'Debt strategy'!$C$5-SUM(E275,K275,Q275,W275,AC275)-SUM(IF(F275&lt;L275,C275+D275-E275,0),IF(R275&lt;L275,O275+P275-Q275,0),IF(X275&lt;L275,U275+V275-W275,0),IF(AD275&lt;L275,AA275+AB275-AC275,0)))))</x:f>
        <x:v>0</x:v>
      </x:c>
      <x:c r="N275" s="6" t="n">
        <x:f>ROUND(MAX(0,I275+J275-K275-M275),2)</x:f>
        <x:v>0</x:v>
      </x:c>
      <x:c r="O275" s="6" t="n">
        <x:f>T274</x:f>
        <x:v>0</x:v>
      </x:c>
      <x:c r="P275" s="6" t="n">
        <x:f>ROUND(O275*'Debt strategy'!$D$11/12,2)</x:f>
        <x:v>0</x:v>
      </x:c>
      <x:c r="Q275" s="6" t="n">
        <x:f>MIN(O275+P275,'Debt strategy'!$E$11)</x:f>
        <x:v>0</x:v>
      </x:c>
      <x:c r="R275" s="27" t="n">
        <x:f>IF(O275+P275-Q275&lt;=0,99,1+SUM(IF(AND(C275+D275-E275&gt;0,OR('Debt strategy'!$D$9&gt;'Debt strategy'!$D$11,AND('Debt strategy'!$D$9='Debt strategy'!$D$11,0&lt;2))),1,0),IF(AND(I275+J275-K275&gt;0,OR('Debt strategy'!$D$10&gt;'Debt strategy'!$D$11,AND('Debt strategy'!$D$10='Debt strategy'!$D$11,1&lt;2))),1,0),IF(AND(U275+V275-W275&gt;0,OR('Debt strategy'!$D$12&gt;'Debt strategy'!$D$11,AND('Debt strategy'!$D$12='Debt strategy'!$D$11,3&lt;2))),1,0),IF(AND(AA275+AB275-AC275&gt;0,OR('Debt strategy'!$D$13&gt;'Debt strategy'!$D$11,AND('Debt strategy'!$D$13='Debt strategy'!$D$11,4&lt;2))),1,0)))</x:f>
        <x:v>99</x:v>
      </x:c>
      <x:c r="S275" s="6" t="n">
        <x:f>IF('Debt strategy'!$C$16&gt;0,0,MIN(O275+P275-Q275,MAX(0,'Debt strategy'!$C$5-SUM(E275,K275,Q275,W275,AC275)-SUM(IF(F275&lt;R275,C275+D275-E275,0),IF(L275&lt;R275,I275+J275-K275,0),IF(X275&lt;R275,U275+V275-W275,0),IF(AD275&lt;R275,AA275+AB275-AC275,0)))))</x:f>
        <x:v>0</x:v>
      </x:c>
      <x:c r="T275" s="6" t="n">
        <x:f>ROUND(MAX(0,O275+P275-Q275-S275),2)</x:f>
        <x:v>0</x:v>
      </x:c>
      <x:c r="U275" s="6" t="n">
        <x:f>Z274</x:f>
        <x:v>0</x:v>
      </x:c>
      <x:c r="V275" s="6" t="n">
        <x:f>ROUND(U275*'Debt strategy'!$D$12/12,2)</x:f>
        <x:v>0</x:v>
      </x:c>
      <x:c r="W275" s="6" t="n">
        <x:f>MIN(U275+V275,'Debt strategy'!$E$12)</x:f>
        <x:v>0</x:v>
      </x:c>
      <x:c r="X275" s="27" t="n">
        <x:f>IF(U275+V275-W275&lt;=0,99,1+SUM(IF(AND(C275+D275-E275&gt;0,OR('Debt strategy'!$D$9&gt;'Debt strategy'!$D$12,AND('Debt strategy'!$D$9='Debt strategy'!$D$12,0&lt;3))),1,0),IF(AND(I275+J275-K275&gt;0,OR('Debt strategy'!$D$10&gt;'Debt strategy'!$D$12,AND('Debt strategy'!$D$10='Debt strategy'!$D$12,1&lt;3))),1,0),IF(AND(O275+P275-Q275&gt;0,OR('Debt strategy'!$D$11&gt;'Debt strategy'!$D$12,AND('Debt strategy'!$D$11='Debt strategy'!$D$12,2&lt;3))),1,0),IF(AND(AA275+AB275-AC275&gt;0,OR('Debt strategy'!$D$13&gt;'Debt strategy'!$D$12,AND('Debt strategy'!$D$13='Debt strategy'!$D$12,4&lt;3))),1,0)))</x:f>
        <x:v>99</x:v>
      </x:c>
      <x:c r="Y275" s="6" t="n">
        <x:f>IF('Debt strategy'!$C$16&gt;0,0,MIN(U275+V275-W275,MAX(0,'Debt strategy'!$C$5-SUM(E275,K275,Q275,W275,AC275)-SUM(IF(F275&lt;X275,C275+D275-E275,0),IF(L275&lt;X275,I275+J275-K275,0),IF(R275&lt;X275,O275+P275-Q275,0),IF(AD275&lt;X275,AA275+AB275-AC275,0)))))</x:f>
        <x:v>0</x:v>
      </x:c>
      <x:c r="Z275" s="6" t="n">
        <x:f>ROUND(MAX(0,U275+V275-W275-Y275),2)</x:f>
        <x:v>0</x:v>
      </x:c>
      <x:c r="AA275" s="6" t="n">
        <x:f>AF274</x:f>
        <x:v>0</x:v>
      </x:c>
      <x:c r="AB275" s="6" t="n">
        <x:f>ROUND(AA275*'Debt strategy'!$D$13/12,2)</x:f>
        <x:v>0</x:v>
      </x:c>
      <x:c r="AC275" s="6" t="n">
        <x:f>MIN(AA275+AB275,'Debt strategy'!$E$13)</x:f>
        <x:v>0</x:v>
      </x:c>
      <x:c r="AD275" s="27" t="n">
        <x:f>IF(AA275+AB275-AC275&lt;=0,99,1+SUM(IF(AND(C275+D275-E275&gt;0,OR('Debt strategy'!$D$9&gt;'Debt strategy'!$D$13,AND('Debt strategy'!$D$9='Debt strategy'!$D$13,0&lt;4))),1,0),IF(AND(I275+J275-K275&gt;0,OR('Debt strategy'!$D$10&gt;'Debt strategy'!$D$13,AND('Debt strategy'!$D$10='Debt strategy'!$D$13,1&lt;4))),1,0),IF(AND(O275+P275-Q275&gt;0,OR('Debt strategy'!$D$11&gt;'Debt strategy'!$D$13,AND('Debt strategy'!$D$11='Debt strategy'!$D$13,2&lt;4))),1,0),IF(AND(U275+V275-W275&gt;0,OR('Debt strategy'!$D$12&gt;'Debt strategy'!$D$13,AND('Debt strategy'!$D$12='Debt strategy'!$D$13,3&lt;4))),1,0)))</x:f>
        <x:v>99</x:v>
      </x:c>
      <x:c r="AE275" s="6" t="n">
        <x:f>IF('Debt strategy'!$C$16&gt;0,0,MIN(AA275+AB275-AC275,MAX(0,'Debt strategy'!$C$5-SUM(E275,K275,Q275,W275,AC275)-SUM(IF(F275&lt;AD275,C275+D275-E275,0),IF(L275&lt;AD275,I275+J275-K275,0),IF(R275&lt;AD275,O275+P275-Q275,0),IF(X275&lt;AD275,U275+V275-W275,0)))))</x:f>
        <x:v>0</x:v>
      </x:c>
      <x:c r="AF275" s="6" t="n">
        <x:f>ROUND(MAX(0,AA275+AB275-AC275-AE275),2)</x:f>
        <x:v>0</x:v>
      </x:c>
      <x:c r="AG275" s="6" t="n">
        <x:f>SUM(H275,N275,T275,Z275,AF275)</x:f>
        <x:v>0</x:v>
      </x:c>
      <x:c r="AH275" s="6" t="n">
        <x:f>SUM(D275,J275,P275,V275,AB275)+AH274</x:f>
        <x:v>1220.8400000000001</x:v>
      </x:c>
      <x:c r="AI275" s="2"/>
    </x:row>
    <x:row r="276" ht="23" customHeight="1">
      <x:c r="B276" s="2" t="n">
        <x:f>268</x:f>
        <x:v>268</x:v>
      </x:c>
      <x:c r="C276" s="6" t="n">
        <x:f>H275</x:f>
        <x:v>0</x:v>
      </x:c>
      <x:c r="D276" s="6" t="n">
        <x:f>ROUND(C276*'Debt strategy'!$D$9/12,2)</x:f>
        <x:v>0</x:v>
      </x:c>
      <x:c r="E276" s="6" t="n">
        <x:f>MIN(C276+D276,'Debt strategy'!$E$9)</x:f>
        <x:v>0</x:v>
      </x:c>
      <x:c r="F276" s="27" t="n">
        <x:f>IF(C276+D276-E276&lt;=0,99,1+SUM(IF(AND(I276+J276-K276&gt;0,OR('Debt strategy'!$D$10&gt;'Debt strategy'!$D$9,AND('Debt strategy'!$D$10='Debt strategy'!$D$9,1&lt;0))),1,0),IF(AND(O276+P276-Q276&gt;0,OR('Debt strategy'!$D$11&gt;'Debt strategy'!$D$9,AND('Debt strategy'!$D$11='Debt strategy'!$D$9,2&lt;0))),1,0),IF(AND(U276+V276-W276&gt;0,OR('Debt strategy'!$D$12&gt;'Debt strategy'!$D$9,AND('Debt strategy'!$D$12='Debt strategy'!$D$9,3&lt;0))),1,0),IF(AND(AA276+AB276-AC276&gt;0,OR('Debt strategy'!$D$13&gt;'Debt strategy'!$D$9,AND('Debt strategy'!$D$13='Debt strategy'!$D$9,4&lt;0))),1,0)))</x:f>
        <x:v>99</x:v>
      </x:c>
      <x:c r="G276" s="6" t="n">
        <x:f>IF('Debt strategy'!$C$16&gt;0,0,MIN(C276+D276-E276,MAX(0,'Debt strategy'!$C$5-SUM(E276,K276,Q276,W276,AC276)-SUM(IF(L276&lt;F276,I276+J276-K276,0),IF(R276&lt;F276,O276+P276-Q276,0),IF(X276&lt;F276,U276+V276-W276,0),IF(AD276&lt;F276,AA276+AB276-AC276,0)))))</x:f>
        <x:v>0</x:v>
      </x:c>
      <x:c r="H276" s="6" t="n">
        <x:f>ROUND(MAX(0,C276+D276-E276-G276),2)</x:f>
        <x:v>0</x:v>
      </x:c>
      <x:c r="I276" s="6" t="n">
        <x:f>N275</x:f>
        <x:v>0</x:v>
      </x:c>
      <x:c r="J276" s="6" t="n">
        <x:f>ROUND(I276*'Debt strategy'!$D$10/12,2)</x:f>
        <x:v>0</x:v>
      </x:c>
      <x:c r="K276" s="6" t="n">
        <x:f>MIN(I276+J276,'Debt strategy'!$E$10)</x:f>
        <x:v>0</x:v>
      </x:c>
      <x:c r="L276" s="27" t="n">
        <x:f>IF(I276+J276-K276&lt;=0,99,1+SUM(IF(AND(C276+D276-E276&gt;0,OR('Debt strategy'!$D$9&gt;'Debt strategy'!$D$10,AND('Debt strategy'!$D$9='Debt strategy'!$D$10,0&lt;1))),1,0),IF(AND(O276+P276-Q276&gt;0,OR('Debt strategy'!$D$11&gt;'Debt strategy'!$D$10,AND('Debt strategy'!$D$11='Debt strategy'!$D$10,2&lt;1))),1,0),IF(AND(U276+V276-W276&gt;0,OR('Debt strategy'!$D$12&gt;'Debt strategy'!$D$10,AND('Debt strategy'!$D$12='Debt strategy'!$D$10,3&lt;1))),1,0),IF(AND(AA276+AB276-AC276&gt;0,OR('Debt strategy'!$D$13&gt;'Debt strategy'!$D$10,AND('Debt strategy'!$D$13='Debt strategy'!$D$10,4&lt;1))),1,0)))</x:f>
        <x:v>99</x:v>
      </x:c>
      <x:c r="M276" s="6" t="n">
        <x:f>IF('Debt strategy'!$C$16&gt;0,0,MIN(I276+J276-K276,MAX(0,'Debt strategy'!$C$5-SUM(E276,K276,Q276,W276,AC276)-SUM(IF(F276&lt;L276,C276+D276-E276,0),IF(R276&lt;L276,O276+P276-Q276,0),IF(X276&lt;L276,U276+V276-W276,0),IF(AD276&lt;L276,AA276+AB276-AC276,0)))))</x:f>
        <x:v>0</x:v>
      </x:c>
      <x:c r="N276" s="6" t="n">
        <x:f>ROUND(MAX(0,I276+J276-K276-M276),2)</x:f>
        <x:v>0</x:v>
      </x:c>
      <x:c r="O276" s="6" t="n">
        <x:f>T275</x:f>
        <x:v>0</x:v>
      </x:c>
      <x:c r="P276" s="6" t="n">
        <x:f>ROUND(O276*'Debt strategy'!$D$11/12,2)</x:f>
        <x:v>0</x:v>
      </x:c>
      <x:c r="Q276" s="6" t="n">
        <x:f>MIN(O276+P276,'Debt strategy'!$E$11)</x:f>
        <x:v>0</x:v>
      </x:c>
      <x:c r="R276" s="27" t="n">
        <x:f>IF(O276+P276-Q276&lt;=0,99,1+SUM(IF(AND(C276+D276-E276&gt;0,OR('Debt strategy'!$D$9&gt;'Debt strategy'!$D$11,AND('Debt strategy'!$D$9='Debt strategy'!$D$11,0&lt;2))),1,0),IF(AND(I276+J276-K276&gt;0,OR('Debt strategy'!$D$10&gt;'Debt strategy'!$D$11,AND('Debt strategy'!$D$10='Debt strategy'!$D$11,1&lt;2))),1,0),IF(AND(U276+V276-W276&gt;0,OR('Debt strategy'!$D$12&gt;'Debt strategy'!$D$11,AND('Debt strategy'!$D$12='Debt strategy'!$D$11,3&lt;2))),1,0),IF(AND(AA276+AB276-AC276&gt;0,OR('Debt strategy'!$D$13&gt;'Debt strategy'!$D$11,AND('Debt strategy'!$D$13='Debt strategy'!$D$11,4&lt;2))),1,0)))</x:f>
        <x:v>99</x:v>
      </x:c>
      <x:c r="S276" s="6" t="n">
        <x:f>IF('Debt strategy'!$C$16&gt;0,0,MIN(O276+P276-Q276,MAX(0,'Debt strategy'!$C$5-SUM(E276,K276,Q276,W276,AC276)-SUM(IF(F276&lt;R276,C276+D276-E276,0),IF(L276&lt;R276,I276+J276-K276,0),IF(X276&lt;R276,U276+V276-W276,0),IF(AD276&lt;R276,AA276+AB276-AC276,0)))))</x:f>
        <x:v>0</x:v>
      </x:c>
      <x:c r="T276" s="6" t="n">
        <x:f>ROUND(MAX(0,O276+P276-Q276-S276),2)</x:f>
        <x:v>0</x:v>
      </x:c>
      <x:c r="U276" s="6" t="n">
        <x:f>Z275</x:f>
        <x:v>0</x:v>
      </x:c>
      <x:c r="V276" s="6" t="n">
        <x:f>ROUND(U276*'Debt strategy'!$D$12/12,2)</x:f>
        <x:v>0</x:v>
      </x:c>
      <x:c r="W276" s="6" t="n">
        <x:f>MIN(U276+V276,'Debt strategy'!$E$12)</x:f>
        <x:v>0</x:v>
      </x:c>
      <x:c r="X276" s="27" t="n">
        <x:f>IF(U276+V276-W276&lt;=0,99,1+SUM(IF(AND(C276+D276-E276&gt;0,OR('Debt strategy'!$D$9&gt;'Debt strategy'!$D$12,AND('Debt strategy'!$D$9='Debt strategy'!$D$12,0&lt;3))),1,0),IF(AND(I276+J276-K276&gt;0,OR('Debt strategy'!$D$10&gt;'Debt strategy'!$D$12,AND('Debt strategy'!$D$10='Debt strategy'!$D$12,1&lt;3))),1,0),IF(AND(O276+P276-Q276&gt;0,OR('Debt strategy'!$D$11&gt;'Debt strategy'!$D$12,AND('Debt strategy'!$D$11='Debt strategy'!$D$12,2&lt;3))),1,0),IF(AND(AA276+AB276-AC276&gt;0,OR('Debt strategy'!$D$13&gt;'Debt strategy'!$D$12,AND('Debt strategy'!$D$13='Debt strategy'!$D$12,4&lt;3))),1,0)))</x:f>
        <x:v>99</x:v>
      </x:c>
      <x:c r="Y276" s="6" t="n">
        <x:f>IF('Debt strategy'!$C$16&gt;0,0,MIN(U276+V276-W276,MAX(0,'Debt strategy'!$C$5-SUM(E276,K276,Q276,W276,AC276)-SUM(IF(F276&lt;X276,C276+D276-E276,0),IF(L276&lt;X276,I276+J276-K276,0),IF(R276&lt;X276,O276+P276-Q276,0),IF(AD276&lt;X276,AA276+AB276-AC276,0)))))</x:f>
        <x:v>0</x:v>
      </x:c>
      <x:c r="Z276" s="6" t="n">
        <x:f>ROUND(MAX(0,U276+V276-W276-Y276),2)</x:f>
        <x:v>0</x:v>
      </x:c>
      <x:c r="AA276" s="6" t="n">
        <x:f>AF275</x:f>
        <x:v>0</x:v>
      </x:c>
      <x:c r="AB276" s="6" t="n">
        <x:f>ROUND(AA276*'Debt strategy'!$D$13/12,2)</x:f>
        <x:v>0</x:v>
      </x:c>
      <x:c r="AC276" s="6" t="n">
        <x:f>MIN(AA276+AB276,'Debt strategy'!$E$13)</x:f>
        <x:v>0</x:v>
      </x:c>
      <x:c r="AD276" s="27" t="n">
        <x:f>IF(AA276+AB276-AC276&lt;=0,99,1+SUM(IF(AND(C276+D276-E276&gt;0,OR('Debt strategy'!$D$9&gt;'Debt strategy'!$D$13,AND('Debt strategy'!$D$9='Debt strategy'!$D$13,0&lt;4))),1,0),IF(AND(I276+J276-K276&gt;0,OR('Debt strategy'!$D$10&gt;'Debt strategy'!$D$13,AND('Debt strategy'!$D$10='Debt strategy'!$D$13,1&lt;4))),1,0),IF(AND(O276+P276-Q276&gt;0,OR('Debt strategy'!$D$11&gt;'Debt strategy'!$D$13,AND('Debt strategy'!$D$11='Debt strategy'!$D$13,2&lt;4))),1,0),IF(AND(U276+V276-W276&gt;0,OR('Debt strategy'!$D$12&gt;'Debt strategy'!$D$13,AND('Debt strategy'!$D$12='Debt strategy'!$D$13,3&lt;4))),1,0)))</x:f>
        <x:v>99</x:v>
      </x:c>
      <x:c r="AE276" s="6" t="n">
        <x:f>IF('Debt strategy'!$C$16&gt;0,0,MIN(AA276+AB276-AC276,MAX(0,'Debt strategy'!$C$5-SUM(E276,K276,Q276,W276,AC276)-SUM(IF(F276&lt;AD276,C276+D276-E276,0),IF(L276&lt;AD276,I276+J276-K276,0),IF(R276&lt;AD276,O276+P276-Q276,0),IF(X276&lt;AD276,U276+V276-W276,0)))))</x:f>
        <x:v>0</x:v>
      </x:c>
      <x:c r="AF276" s="6" t="n">
        <x:f>ROUND(MAX(0,AA276+AB276-AC276-AE276),2)</x:f>
        <x:v>0</x:v>
      </x:c>
      <x:c r="AG276" s="6" t="n">
        <x:f>SUM(H276,N276,T276,Z276,AF276)</x:f>
        <x:v>0</x:v>
      </x:c>
      <x:c r="AH276" s="6" t="n">
        <x:f>SUM(D276,J276,P276,V276,AB276)+AH275</x:f>
        <x:v>1220.8400000000001</x:v>
      </x:c>
      <x:c r="AI276" s="2"/>
    </x:row>
    <x:row r="277" ht="23" customHeight="1">
      <x:c r="B277" s="2" t="n">
        <x:f>269</x:f>
        <x:v>269</x:v>
      </x:c>
      <x:c r="C277" s="6" t="n">
        <x:f>H276</x:f>
        <x:v>0</x:v>
      </x:c>
      <x:c r="D277" s="6" t="n">
        <x:f>ROUND(C277*'Debt strategy'!$D$9/12,2)</x:f>
        <x:v>0</x:v>
      </x:c>
      <x:c r="E277" s="6" t="n">
        <x:f>MIN(C277+D277,'Debt strategy'!$E$9)</x:f>
        <x:v>0</x:v>
      </x:c>
      <x:c r="F277" s="27" t="n">
        <x:f>IF(C277+D277-E277&lt;=0,99,1+SUM(IF(AND(I277+J277-K277&gt;0,OR('Debt strategy'!$D$10&gt;'Debt strategy'!$D$9,AND('Debt strategy'!$D$10='Debt strategy'!$D$9,1&lt;0))),1,0),IF(AND(O277+P277-Q277&gt;0,OR('Debt strategy'!$D$11&gt;'Debt strategy'!$D$9,AND('Debt strategy'!$D$11='Debt strategy'!$D$9,2&lt;0))),1,0),IF(AND(U277+V277-W277&gt;0,OR('Debt strategy'!$D$12&gt;'Debt strategy'!$D$9,AND('Debt strategy'!$D$12='Debt strategy'!$D$9,3&lt;0))),1,0),IF(AND(AA277+AB277-AC277&gt;0,OR('Debt strategy'!$D$13&gt;'Debt strategy'!$D$9,AND('Debt strategy'!$D$13='Debt strategy'!$D$9,4&lt;0))),1,0)))</x:f>
        <x:v>99</x:v>
      </x:c>
      <x:c r="G277" s="6" t="n">
        <x:f>IF('Debt strategy'!$C$16&gt;0,0,MIN(C277+D277-E277,MAX(0,'Debt strategy'!$C$5-SUM(E277,K277,Q277,W277,AC277)-SUM(IF(L277&lt;F277,I277+J277-K277,0),IF(R277&lt;F277,O277+P277-Q277,0),IF(X277&lt;F277,U277+V277-W277,0),IF(AD277&lt;F277,AA277+AB277-AC277,0)))))</x:f>
        <x:v>0</x:v>
      </x:c>
      <x:c r="H277" s="6" t="n">
        <x:f>ROUND(MAX(0,C277+D277-E277-G277),2)</x:f>
        <x:v>0</x:v>
      </x:c>
      <x:c r="I277" s="6" t="n">
        <x:f>N276</x:f>
        <x:v>0</x:v>
      </x:c>
      <x:c r="J277" s="6" t="n">
        <x:f>ROUND(I277*'Debt strategy'!$D$10/12,2)</x:f>
        <x:v>0</x:v>
      </x:c>
      <x:c r="K277" s="6" t="n">
        <x:f>MIN(I277+J277,'Debt strategy'!$E$10)</x:f>
        <x:v>0</x:v>
      </x:c>
      <x:c r="L277" s="27" t="n">
        <x:f>IF(I277+J277-K277&lt;=0,99,1+SUM(IF(AND(C277+D277-E277&gt;0,OR('Debt strategy'!$D$9&gt;'Debt strategy'!$D$10,AND('Debt strategy'!$D$9='Debt strategy'!$D$10,0&lt;1))),1,0),IF(AND(O277+P277-Q277&gt;0,OR('Debt strategy'!$D$11&gt;'Debt strategy'!$D$10,AND('Debt strategy'!$D$11='Debt strategy'!$D$10,2&lt;1))),1,0),IF(AND(U277+V277-W277&gt;0,OR('Debt strategy'!$D$12&gt;'Debt strategy'!$D$10,AND('Debt strategy'!$D$12='Debt strategy'!$D$10,3&lt;1))),1,0),IF(AND(AA277+AB277-AC277&gt;0,OR('Debt strategy'!$D$13&gt;'Debt strategy'!$D$10,AND('Debt strategy'!$D$13='Debt strategy'!$D$10,4&lt;1))),1,0)))</x:f>
        <x:v>99</x:v>
      </x:c>
      <x:c r="M277" s="6" t="n">
        <x:f>IF('Debt strategy'!$C$16&gt;0,0,MIN(I277+J277-K277,MAX(0,'Debt strategy'!$C$5-SUM(E277,K277,Q277,W277,AC277)-SUM(IF(F277&lt;L277,C277+D277-E277,0),IF(R277&lt;L277,O277+P277-Q277,0),IF(X277&lt;L277,U277+V277-W277,0),IF(AD277&lt;L277,AA277+AB277-AC277,0)))))</x:f>
        <x:v>0</x:v>
      </x:c>
      <x:c r="N277" s="6" t="n">
        <x:f>ROUND(MAX(0,I277+J277-K277-M277),2)</x:f>
        <x:v>0</x:v>
      </x:c>
      <x:c r="O277" s="6" t="n">
        <x:f>T276</x:f>
        <x:v>0</x:v>
      </x:c>
      <x:c r="P277" s="6" t="n">
        <x:f>ROUND(O277*'Debt strategy'!$D$11/12,2)</x:f>
        <x:v>0</x:v>
      </x:c>
      <x:c r="Q277" s="6" t="n">
        <x:f>MIN(O277+P277,'Debt strategy'!$E$11)</x:f>
        <x:v>0</x:v>
      </x:c>
      <x:c r="R277" s="27" t="n">
        <x:f>IF(O277+P277-Q277&lt;=0,99,1+SUM(IF(AND(C277+D277-E277&gt;0,OR('Debt strategy'!$D$9&gt;'Debt strategy'!$D$11,AND('Debt strategy'!$D$9='Debt strategy'!$D$11,0&lt;2))),1,0),IF(AND(I277+J277-K277&gt;0,OR('Debt strategy'!$D$10&gt;'Debt strategy'!$D$11,AND('Debt strategy'!$D$10='Debt strategy'!$D$11,1&lt;2))),1,0),IF(AND(U277+V277-W277&gt;0,OR('Debt strategy'!$D$12&gt;'Debt strategy'!$D$11,AND('Debt strategy'!$D$12='Debt strategy'!$D$11,3&lt;2))),1,0),IF(AND(AA277+AB277-AC277&gt;0,OR('Debt strategy'!$D$13&gt;'Debt strategy'!$D$11,AND('Debt strategy'!$D$13='Debt strategy'!$D$11,4&lt;2))),1,0)))</x:f>
        <x:v>99</x:v>
      </x:c>
      <x:c r="S277" s="6" t="n">
        <x:f>IF('Debt strategy'!$C$16&gt;0,0,MIN(O277+P277-Q277,MAX(0,'Debt strategy'!$C$5-SUM(E277,K277,Q277,W277,AC277)-SUM(IF(F277&lt;R277,C277+D277-E277,0),IF(L277&lt;R277,I277+J277-K277,0),IF(X277&lt;R277,U277+V277-W277,0),IF(AD277&lt;R277,AA277+AB277-AC277,0)))))</x:f>
        <x:v>0</x:v>
      </x:c>
      <x:c r="T277" s="6" t="n">
        <x:f>ROUND(MAX(0,O277+P277-Q277-S277),2)</x:f>
        <x:v>0</x:v>
      </x:c>
      <x:c r="U277" s="6" t="n">
        <x:f>Z276</x:f>
        <x:v>0</x:v>
      </x:c>
      <x:c r="V277" s="6" t="n">
        <x:f>ROUND(U277*'Debt strategy'!$D$12/12,2)</x:f>
        <x:v>0</x:v>
      </x:c>
      <x:c r="W277" s="6" t="n">
        <x:f>MIN(U277+V277,'Debt strategy'!$E$12)</x:f>
        <x:v>0</x:v>
      </x:c>
      <x:c r="X277" s="27" t="n">
        <x:f>IF(U277+V277-W277&lt;=0,99,1+SUM(IF(AND(C277+D277-E277&gt;0,OR('Debt strategy'!$D$9&gt;'Debt strategy'!$D$12,AND('Debt strategy'!$D$9='Debt strategy'!$D$12,0&lt;3))),1,0),IF(AND(I277+J277-K277&gt;0,OR('Debt strategy'!$D$10&gt;'Debt strategy'!$D$12,AND('Debt strategy'!$D$10='Debt strategy'!$D$12,1&lt;3))),1,0),IF(AND(O277+P277-Q277&gt;0,OR('Debt strategy'!$D$11&gt;'Debt strategy'!$D$12,AND('Debt strategy'!$D$11='Debt strategy'!$D$12,2&lt;3))),1,0),IF(AND(AA277+AB277-AC277&gt;0,OR('Debt strategy'!$D$13&gt;'Debt strategy'!$D$12,AND('Debt strategy'!$D$13='Debt strategy'!$D$12,4&lt;3))),1,0)))</x:f>
        <x:v>99</x:v>
      </x:c>
      <x:c r="Y277" s="6" t="n">
        <x:f>IF('Debt strategy'!$C$16&gt;0,0,MIN(U277+V277-W277,MAX(0,'Debt strategy'!$C$5-SUM(E277,K277,Q277,W277,AC277)-SUM(IF(F277&lt;X277,C277+D277-E277,0),IF(L277&lt;X277,I277+J277-K277,0),IF(R277&lt;X277,O277+P277-Q277,0),IF(AD277&lt;X277,AA277+AB277-AC277,0)))))</x:f>
        <x:v>0</x:v>
      </x:c>
      <x:c r="Z277" s="6" t="n">
        <x:f>ROUND(MAX(0,U277+V277-W277-Y277),2)</x:f>
        <x:v>0</x:v>
      </x:c>
      <x:c r="AA277" s="6" t="n">
        <x:f>AF276</x:f>
        <x:v>0</x:v>
      </x:c>
      <x:c r="AB277" s="6" t="n">
        <x:f>ROUND(AA277*'Debt strategy'!$D$13/12,2)</x:f>
        <x:v>0</x:v>
      </x:c>
      <x:c r="AC277" s="6" t="n">
        <x:f>MIN(AA277+AB277,'Debt strategy'!$E$13)</x:f>
        <x:v>0</x:v>
      </x:c>
      <x:c r="AD277" s="27" t="n">
        <x:f>IF(AA277+AB277-AC277&lt;=0,99,1+SUM(IF(AND(C277+D277-E277&gt;0,OR('Debt strategy'!$D$9&gt;'Debt strategy'!$D$13,AND('Debt strategy'!$D$9='Debt strategy'!$D$13,0&lt;4))),1,0),IF(AND(I277+J277-K277&gt;0,OR('Debt strategy'!$D$10&gt;'Debt strategy'!$D$13,AND('Debt strategy'!$D$10='Debt strategy'!$D$13,1&lt;4))),1,0),IF(AND(O277+P277-Q277&gt;0,OR('Debt strategy'!$D$11&gt;'Debt strategy'!$D$13,AND('Debt strategy'!$D$11='Debt strategy'!$D$13,2&lt;4))),1,0),IF(AND(U277+V277-W277&gt;0,OR('Debt strategy'!$D$12&gt;'Debt strategy'!$D$13,AND('Debt strategy'!$D$12='Debt strategy'!$D$13,3&lt;4))),1,0)))</x:f>
        <x:v>99</x:v>
      </x:c>
      <x:c r="AE277" s="6" t="n">
        <x:f>IF('Debt strategy'!$C$16&gt;0,0,MIN(AA277+AB277-AC277,MAX(0,'Debt strategy'!$C$5-SUM(E277,K277,Q277,W277,AC277)-SUM(IF(F277&lt;AD277,C277+D277-E277,0),IF(L277&lt;AD277,I277+J277-K277,0),IF(R277&lt;AD277,O277+P277-Q277,0),IF(X277&lt;AD277,U277+V277-W277,0)))))</x:f>
        <x:v>0</x:v>
      </x:c>
      <x:c r="AF277" s="6" t="n">
        <x:f>ROUND(MAX(0,AA277+AB277-AC277-AE277),2)</x:f>
        <x:v>0</x:v>
      </x:c>
      <x:c r="AG277" s="6" t="n">
        <x:f>SUM(H277,N277,T277,Z277,AF277)</x:f>
        <x:v>0</x:v>
      </x:c>
      <x:c r="AH277" s="6" t="n">
        <x:f>SUM(D277,J277,P277,V277,AB277)+AH276</x:f>
        <x:v>1220.8400000000001</x:v>
      </x:c>
      <x:c r="AI277" s="2"/>
    </x:row>
    <x:row r="278" ht="23" customHeight="1">
      <x:c r="B278" s="2" t="n">
        <x:f>270</x:f>
        <x:v>270</x:v>
      </x:c>
      <x:c r="C278" s="6" t="n">
        <x:f>H277</x:f>
        <x:v>0</x:v>
      </x:c>
      <x:c r="D278" s="6" t="n">
        <x:f>ROUND(C278*'Debt strategy'!$D$9/12,2)</x:f>
        <x:v>0</x:v>
      </x:c>
      <x:c r="E278" s="6" t="n">
        <x:f>MIN(C278+D278,'Debt strategy'!$E$9)</x:f>
        <x:v>0</x:v>
      </x:c>
      <x:c r="F278" s="27" t="n">
        <x:f>IF(C278+D278-E278&lt;=0,99,1+SUM(IF(AND(I278+J278-K278&gt;0,OR('Debt strategy'!$D$10&gt;'Debt strategy'!$D$9,AND('Debt strategy'!$D$10='Debt strategy'!$D$9,1&lt;0))),1,0),IF(AND(O278+P278-Q278&gt;0,OR('Debt strategy'!$D$11&gt;'Debt strategy'!$D$9,AND('Debt strategy'!$D$11='Debt strategy'!$D$9,2&lt;0))),1,0),IF(AND(U278+V278-W278&gt;0,OR('Debt strategy'!$D$12&gt;'Debt strategy'!$D$9,AND('Debt strategy'!$D$12='Debt strategy'!$D$9,3&lt;0))),1,0),IF(AND(AA278+AB278-AC278&gt;0,OR('Debt strategy'!$D$13&gt;'Debt strategy'!$D$9,AND('Debt strategy'!$D$13='Debt strategy'!$D$9,4&lt;0))),1,0)))</x:f>
        <x:v>99</x:v>
      </x:c>
      <x:c r="G278" s="6" t="n">
        <x:f>IF('Debt strategy'!$C$16&gt;0,0,MIN(C278+D278-E278,MAX(0,'Debt strategy'!$C$5-SUM(E278,K278,Q278,W278,AC278)-SUM(IF(L278&lt;F278,I278+J278-K278,0),IF(R278&lt;F278,O278+P278-Q278,0),IF(X278&lt;F278,U278+V278-W278,0),IF(AD278&lt;F278,AA278+AB278-AC278,0)))))</x:f>
        <x:v>0</x:v>
      </x:c>
      <x:c r="H278" s="6" t="n">
        <x:f>ROUND(MAX(0,C278+D278-E278-G278),2)</x:f>
        <x:v>0</x:v>
      </x:c>
      <x:c r="I278" s="6" t="n">
        <x:f>N277</x:f>
        <x:v>0</x:v>
      </x:c>
      <x:c r="J278" s="6" t="n">
        <x:f>ROUND(I278*'Debt strategy'!$D$10/12,2)</x:f>
        <x:v>0</x:v>
      </x:c>
      <x:c r="K278" s="6" t="n">
        <x:f>MIN(I278+J278,'Debt strategy'!$E$10)</x:f>
        <x:v>0</x:v>
      </x:c>
      <x:c r="L278" s="27" t="n">
        <x:f>IF(I278+J278-K278&lt;=0,99,1+SUM(IF(AND(C278+D278-E278&gt;0,OR('Debt strategy'!$D$9&gt;'Debt strategy'!$D$10,AND('Debt strategy'!$D$9='Debt strategy'!$D$10,0&lt;1))),1,0),IF(AND(O278+P278-Q278&gt;0,OR('Debt strategy'!$D$11&gt;'Debt strategy'!$D$10,AND('Debt strategy'!$D$11='Debt strategy'!$D$10,2&lt;1))),1,0),IF(AND(U278+V278-W278&gt;0,OR('Debt strategy'!$D$12&gt;'Debt strategy'!$D$10,AND('Debt strategy'!$D$12='Debt strategy'!$D$10,3&lt;1))),1,0),IF(AND(AA278+AB278-AC278&gt;0,OR('Debt strategy'!$D$13&gt;'Debt strategy'!$D$10,AND('Debt strategy'!$D$13='Debt strategy'!$D$10,4&lt;1))),1,0)))</x:f>
        <x:v>99</x:v>
      </x:c>
      <x:c r="M278" s="6" t="n">
        <x:f>IF('Debt strategy'!$C$16&gt;0,0,MIN(I278+J278-K278,MAX(0,'Debt strategy'!$C$5-SUM(E278,K278,Q278,W278,AC278)-SUM(IF(F278&lt;L278,C278+D278-E278,0),IF(R278&lt;L278,O278+P278-Q278,0),IF(X278&lt;L278,U278+V278-W278,0),IF(AD278&lt;L278,AA278+AB278-AC278,0)))))</x:f>
        <x:v>0</x:v>
      </x:c>
      <x:c r="N278" s="6" t="n">
        <x:f>ROUND(MAX(0,I278+J278-K278-M278),2)</x:f>
        <x:v>0</x:v>
      </x:c>
      <x:c r="O278" s="6" t="n">
        <x:f>T277</x:f>
        <x:v>0</x:v>
      </x:c>
      <x:c r="P278" s="6" t="n">
        <x:f>ROUND(O278*'Debt strategy'!$D$11/12,2)</x:f>
        <x:v>0</x:v>
      </x:c>
      <x:c r="Q278" s="6" t="n">
        <x:f>MIN(O278+P278,'Debt strategy'!$E$11)</x:f>
        <x:v>0</x:v>
      </x:c>
      <x:c r="R278" s="27" t="n">
        <x:f>IF(O278+P278-Q278&lt;=0,99,1+SUM(IF(AND(C278+D278-E278&gt;0,OR('Debt strategy'!$D$9&gt;'Debt strategy'!$D$11,AND('Debt strategy'!$D$9='Debt strategy'!$D$11,0&lt;2))),1,0),IF(AND(I278+J278-K278&gt;0,OR('Debt strategy'!$D$10&gt;'Debt strategy'!$D$11,AND('Debt strategy'!$D$10='Debt strategy'!$D$11,1&lt;2))),1,0),IF(AND(U278+V278-W278&gt;0,OR('Debt strategy'!$D$12&gt;'Debt strategy'!$D$11,AND('Debt strategy'!$D$12='Debt strategy'!$D$11,3&lt;2))),1,0),IF(AND(AA278+AB278-AC278&gt;0,OR('Debt strategy'!$D$13&gt;'Debt strategy'!$D$11,AND('Debt strategy'!$D$13='Debt strategy'!$D$11,4&lt;2))),1,0)))</x:f>
        <x:v>99</x:v>
      </x:c>
      <x:c r="S278" s="6" t="n">
        <x:f>IF('Debt strategy'!$C$16&gt;0,0,MIN(O278+P278-Q278,MAX(0,'Debt strategy'!$C$5-SUM(E278,K278,Q278,W278,AC278)-SUM(IF(F278&lt;R278,C278+D278-E278,0),IF(L278&lt;R278,I278+J278-K278,0),IF(X278&lt;R278,U278+V278-W278,0),IF(AD278&lt;R278,AA278+AB278-AC278,0)))))</x:f>
        <x:v>0</x:v>
      </x:c>
      <x:c r="T278" s="6" t="n">
        <x:f>ROUND(MAX(0,O278+P278-Q278-S278),2)</x:f>
        <x:v>0</x:v>
      </x:c>
      <x:c r="U278" s="6" t="n">
        <x:f>Z277</x:f>
        <x:v>0</x:v>
      </x:c>
      <x:c r="V278" s="6" t="n">
        <x:f>ROUND(U278*'Debt strategy'!$D$12/12,2)</x:f>
        <x:v>0</x:v>
      </x:c>
      <x:c r="W278" s="6" t="n">
        <x:f>MIN(U278+V278,'Debt strategy'!$E$12)</x:f>
        <x:v>0</x:v>
      </x:c>
      <x:c r="X278" s="27" t="n">
        <x:f>IF(U278+V278-W278&lt;=0,99,1+SUM(IF(AND(C278+D278-E278&gt;0,OR('Debt strategy'!$D$9&gt;'Debt strategy'!$D$12,AND('Debt strategy'!$D$9='Debt strategy'!$D$12,0&lt;3))),1,0),IF(AND(I278+J278-K278&gt;0,OR('Debt strategy'!$D$10&gt;'Debt strategy'!$D$12,AND('Debt strategy'!$D$10='Debt strategy'!$D$12,1&lt;3))),1,0),IF(AND(O278+P278-Q278&gt;0,OR('Debt strategy'!$D$11&gt;'Debt strategy'!$D$12,AND('Debt strategy'!$D$11='Debt strategy'!$D$12,2&lt;3))),1,0),IF(AND(AA278+AB278-AC278&gt;0,OR('Debt strategy'!$D$13&gt;'Debt strategy'!$D$12,AND('Debt strategy'!$D$13='Debt strategy'!$D$12,4&lt;3))),1,0)))</x:f>
        <x:v>99</x:v>
      </x:c>
      <x:c r="Y278" s="6" t="n">
        <x:f>IF('Debt strategy'!$C$16&gt;0,0,MIN(U278+V278-W278,MAX(0,'Debt strategy'!$C$5-SUM(E278,K278,Q278,W278,AC278)-SUM(IF(F278&lt;X278,C278+D278-E278,0),IF(L278&lt;X278,I278+J278-K278,0),IF(R278&lt;X278,O278+P278-Q278,0),IF(AD278&lt;X278,AA278+AB278-AC278,0)))))</x:f>
        <x:v>0</x:v>
      </x:c>
      <x:c r="Z278" s="6" t="n">
        <x:f>ROUND(MAX(0,U278+V278-W278-Y278),2)</x:f>
        <x:v>0</x:v>
      </x:c>
      <x:c r="AA278" s="6" t="n">
        <x:f>AF277</x:f>
        <x:v>0</x:v>
      </x:c>
      <x:c r="AB278" s="6" t="n">
        <x:f>ROUND(AA278*'Debt strategy'!$D$13/12,2)</x:f>
        <x:v>0</x:v>
      </x:c>
      <x:c r="AC278" s="6" t="n">
        <x:f>MIN(AA278+AB278,'Debt strategy'!$E$13)</x:f>
        <x:v>0</x:v>
      </x:c>
      <x:c r="AD278" s="27" t="n">
        <x:f>IF(AA278+AB278-AC278&lt;=0,99,1+SUM(IF(AND(C278+D278-E278&gt;0,OR('Debt strategy'!$D$9&gt;'Debt strategy'!$D$13,AND('Debt strategy'!$D$9='Debt strategy'!$D$13,0&lt;4))),1,0),IF(AND(I278+J278-K278&gt;0,OR('Debt strategy'!$D$10&gt;'Debt strategy'!$D$13,AND('Debt strategy'!$D$10='Debt strategy'!$D$13,1&lt;4))),1,0),IF(AND(O278+P278-Q278&gt;0,OR('Debt strategy'!$D$11&gt;'Debt strategy'!$D$13,AND('Debt strategy'!$D$11='Debt strategy'!$D$13,2&lt;4))),1,0),IF(AND(U278+V278-W278&gt;0,OR('Debt strategy'!$D$12&gt;'Debt strategy'!$D$13,AND('Debt strategy'!$D$12='Debt strategy'!$D$13,3&lt;4))),1,0)))</x:f>
        <x:v>99</x:v>
      </x:c>
      <x:c r="AE278" s="6" t="n">
        <x:f>IF('Debt strategy'!$C$16&gt;0,0,MIN(AA278+AB278-AC278,MAX(0,'Debt strategy'!$C$5-SUM(E278,K278,Q278,W278,AC278)-SUM(IF(F278&lt;AD278,C278+D278-E278,0),IF(L278&lt;AD278,I278+J278-K278,0),IF(R278&lt;AD278,O278+P278-Q278,0),IF(X278&lt;AD278,U278+V278-W278,0)))))</x:f>
        <x:v>0</x:v>
      </x:c>
      <x:c r="AF278" s="6" t="n">
        <x:f>ROUND(MAX(0,AA278+AB278-AC278-AE278),2)</x:f>
        <x:v>0</x:v>
      </x:c>
      <x:c r="AG278" s="6" t="n">
        <x:f>SUM(H278,N278,T278,Z278,AF278)</x:f>
        <x:v>0</x:v>
      </x:c>
      <x:c r="AH278" s="6" t="n">
        <x:f>SUM(D278,J278,P278,V278,AB278)+AH277</x:f>
        <x:v>1220.8400000000001</x:v>
      </x:c>
      <x:c r="AI278" s="2"/>
    </x:row>
    <x:row r="279" ht="23" customHeight="1">
      <x:c r="B279" s="2" t="n">
        <x:f>271</x:f>
        <x:v>271</x:v>
      </x:c>
      <x:c r="C279" s="6" t="n">
        <x:f>H278</x:f>
        <x:v>0</x:v>
      </x:c>
      <x:c r="D279" s="6" t="n">
        <x:f>ROUND(C279*'Debt strategy'!$D$9/12,2)</x:f>
        <x:v>0</x:v>
      </x:c>
      <x:c r="E279" s="6" t="n">
        <x:f>MIN(C279+D279,'Debt strategy'!$E$9)</x:f>
        <x:v>0</x:v>
      </x:c>
      <x:c r="F279" s="27" t="n">
        <x:f>IF(C279+D279-E279&lt;=0,99,1+SUM(IF(AND(I279+J279-K279&gt;0,OR('Debt strategy'!$D$10&gt;'Debt strategy'!$D$9,AND('Debt strategy'!$D$10='Debt strategy'!$D$9,1&lt;0))),1,0),IF(AND(O279+P279-Q279&gt;0,OR('Debt strategy'!$D$11&gt;'Debt strategy'!$D$9,AND('Debt strategy'!$D$11='Debt strategy'!$D$9,2&lt;0))),1,0),IF(AND(U279+V279-W279&gt;0,OR('Debt strategy'!$D$12&gt;'Debt strategy'!$D$9,AND('Debt strategy'!$D$12='Debt strategy'!$D$9,3&lt;0))),1,0),IF(AND(AA279+AB279-AC279&gt;0,OR('Debt strategy'!$D$13&gt;'Debt strategy'!$D$9,AND('Debt strategy'!$D$13='Debt strategy'!$D$9,4&lt;0))),1,0)))</x:f>
        <x:v>99</x:v>
      </x:c>
      <x:c r="G279" s="6" t="n">
        <x:f>IF('Debt strategy'!$C$16&gt;0,0,MIN(C279+D279-E279,MAX(0,'Debt strategy'!$C$5-SUM(E279,K279,Q279,W279,AC279)-SUM(IF(L279&lt;F279,I279+J279-K279,0),IF(R279&lt;F279,O279+P279-Q279,0),IF(X279&lt;F279,U279+V279-W279,0),IF(AD279&lt;F279,AA279+AB279-AC279,0)))))</x:f>
        <x:v>0</x:v>
      </x:c>
      <x:c r="H279" s="6" t="n">
        <x:f>ROUND(MAX(0,C279+D279-E279-G279),2)</x:f>
        <x:v>0</x:v>
      </x:c>
      <x:c r="I279" s="6" t="n">
        <x:f>N278</x:f>
        <x:v>0</x:v>
      </x:c>
      <x:c r="J279" s="6" t="n">
        <x:f>ROUND(I279*'Debt strategy'!$D$10/12,2)</x:f>
        <x:v>0</x:v>
      </x:c>
      <x:c r="K279" s="6" t="n">
        <x:f>MIN(I279+J279,'Debt strategy'!$E$10)</x:f>
        <x:v>0</x:v>
      </x:c>
      <x:c r="L279" s="27" t="n">
        <x:f>IF(I279+J279-K279&lt;=0,99,1+SUM(IF(AND(C279+D279-E279&gt;0,OR('Debt strategy'!$D$9&gt;'Debt strategy'!$D$10,AND('Debt strategy'!$D$9='Debt strategy'!$D$10,0&lt;1))),1,0),IF(AND(O279+P279-Q279&gt;0,OR('Debt strategy'!$D$11&gt;'Debt strategy'!$D$10,AND('Debt strategy'!$D$11='Debt strategy'!$D$10,2&lt;1))),1,0),IF(AND(U279+V279-W279&gt;0,OR('Debt strategy'!$D$12&gt;'Debt strategy'!$D$10,AND('Debt strategy'!$D$12='Debt strategy'!$D$10,3&lt;1))),1,0),IF(AND(AA279+AB279-AC279&gt;0,OR('Debt strategy'!$D$13&gt;'Debt strategy'!$D$10,AND('Debt strategy'!$D$13='Debt strategy'!$D$10,4&lt;1))),1,0)))</x:f>
        <x:v>99</x:v>
      </x:c>
      <x:c r="M279" s="6" t="n">
        <x:f>IF('Debt strategy'!$C$16&gt;0,0,MIN(I279+J279-K279,MAX(0,'Debt strategy'!$C$5-SUM(E279,K279,Q279,W279,AC279)-SUM(IF(F279&lt;L279,C279+D279-E279,0),IF(R279&lt;L279,O279+P279-Q279,0),IF(X279&lt;L279,U279+V279-W279,0),IF(AD279&lt;L279,AA279+AB279-AC279,0)))))</x:f>
        <x:v>0</x:v>
      </x:c>
      <x:c r="N279" s="6" t="n">
        <x:f>ROUND(MAX(0,I279+J279-K279-M279),2)</x:f>
        <x:v>0</x:v>
      </x:c>
      <x:c r="O279" s="6" t="n">
        <x:f>T278</x:f>
        <x:v>0</x:v>
      </x:c>
      <x:c r="P279" s="6" t="n">
        <x:f>ROUND(O279*'Debt strategy'!$D$11/12,2)</x:f>
        <x:v>0</x:v>
      </x:c>
      <x:c r="Q279" s="6" t="n">
        <x:f>MIN(O279+P279,'Debt strategy'!$E$11)</x:f>
        <x:v>0</x:v>
      </x:c>
      <x:c r="R279" s="27" t="n">
        <x:f>IF(O279+P279-Q279&lt;=0,99,1+SUM(IF(AND(C279+D279-E279&gt;0,OR('Debt strategy'!$D$9&gt;'Debt strategy'!$D$11,AND('Debt strategy'!$D$9='Debt strategy'!$D$11,0&lt;2))),1,0),IF(AND(I279+J279-K279&gt;0,OR('Debt strategy'!$D$10&gt;'Debt strategy'!$D$11,AND('Debt strategy'!$D$10='Debt strategy'!$D$11,1&lt;2))),1,0),IF(AND(U279+V279-W279&gt;0,OR('Debt strategy'!$D$12&gt;'Debt strategy'!$D$11,AND('Debt strategy'!$D$12='Debt strategy'!$D$11,3&lt;2))),1,0),IF(AND(AA279+AB279-AC279&gt;0,OR('Debt strategy'!$D$13&gt;'Debt strategy'!$D$11,AND('Debt strategy'!$D$13='Debt strategy'!$D$11,4&lt;2))),1,0)))</x:f>
        <x:v>99</x:v>
      </x:c>
      <x:c r="S279" s="6" t="n">
        <x:f>IF('Debt strategy'!$C$16&gt;0,0,MIN(O279+P279-Q279,MAX(0,'Debt strategy'!$C$5-SUM(E279,K279,Q279,W279,AC279)-SUM(IF(F279&lt;R279,C279+D279-E279,0),IF(L279&lt;R279,I279+J279-K279,0),IF(X279&lt;R279,U279+V279-W279,0),IF(AD279&lt;R279,AA279+AB279-AC279,0)))))</x:f>
        <x:v>0</x:v>
      </x:c>
      <x:c r="T279" s="6" t="n">
        <x:f>ROUND(MAX(0,O279+P279-Q279-S279),2)</x:f>
        <x:v>0</x:v>
      </x:c>
      <x:c r="U279" s="6" t="n">
        <x:f>Z278</x:f>
        <x:v>0</x:v>
      </x:c>
      <x:c r="V279" s="6" t="n">
        <x:f>ROUND(U279*'Debt strategy'!$D$12/12,2)</x:f>
        <x:v>0</x:v>
      </x:c>
      <x:c r="W279" s="6" t="n">
        <x:f>MIN(U279+V279,'Debt strategy'!$E$12)</x:f>
        <x:v>0</x:v>
      </x:c>
      <x:c r="X279" s="27" t="n">
        <x:f>IF(U279+V279-W279&lt;=0,99,1+SUM(IF(AND(C279+D279-E279&gt;0,OR('Debt strategy'!$D$9&gt;'Debt strategy'!$D$12,AND('Debt strategy'!$D$9='Debt strategy'!$D$12,0&lt;3))),1,0),IF(AND(I279+J279-K279&gt;0,OR('Debt strategy'!$D$10&gt;'Debt strategy'!$D$12,AND('Debt strategy'!$D$10='Debt strategy'!$D$12,1&lt;3))),1,0),IF(AND(O279+P279-Q279&gt;0,OR('Debt strategy'!$D$11&gt;'Debt strategy'!$D$12,AND('Debt strategy'!$D$11='Debt strategy'!$D$12,2&lt;3))),1,0),IF(AND(AA279+AB279-AC279&gt;0,OR('Debt strategy'!$D$13&gt;'Debt strategy'!$D$12,AND('Debt strategy'!$D$13='Debt strategy'!$D$12,4&lt;3))),1,0)))</x:f>
        <x:v>99</x:v>
      </x:c>
      <x:c r="Y279" s="6" t="n">
        <x:f>IF('Debt strategy'!$C$16&gt;0,0,MIN(U279+V279-W279,MAX(0,'Debt strategy'!$C$5-SUM(E279,K279,Q279,W279,AC279)-SUM(IF(F279&lt;X279,C279+D279-E279,0),IF(L279&lt;X279,I279+J279-K279,0),IF(R279&lt;X279,O279+P279-Q279,0),IF(AD279&lt;X279,AA279+AB279-AC279,0)))))</x:f>
        <x:v>0</x:v>
      </x:c>
      <x:c r="Z279" s="6" t="n">
        <x:f>ROUND(MAX(0,U279+V279-W279-Y279),2)</x:f>
        <x:v>0</x:v>
      </x:c>
      <x:c r="AA279" s="6" t="n">
        <x:f>AF278</x:f>
        <x:v>0</x:v>
      </x:c>
      <x:c r="AB279" s="6" t="n">
        <x:f>ROUND(AA279*'Debt strategy'!$D$13/12,2)</x:f>
        <x:v>0</x:v>
      </x:c>
      <x:c r="AC279" s="6" t="n">
        <x:f>MIN(AA279+AB279,'Debt strategy'!$E$13)</x:f>
        <x:v>0</x:v>
      </x:c>
      <x:c r="AD279" s="27" t="n">
        <x:f>IF(AA279+AB279-AC279&lt;=0,99,1+SUM(IF(AND(C279+D279-E279&gt;0,OR('Debt strategy'!$D$9&gt;'Debt strategy'!$D$13,AND('Debt strategy'!$D$9='Debt strategy'!$D$13,0&lt;4))),1,0),IF(AND(I279+J279-K279&gt;0,OR('Debt strategy'!$D$10&gt;'Debt strategy'!$D$13,AND('Debt strategy'!$D$10='Debt strategy'!$D$13,1&lt;4))),1,0),IF(AND(O279+P279-Q279&gt;0,OR('Debt strategy'!$D$11&gt;'Debt strategy'!$D$13,AND('Debt strategy'!$D$11='Debt strategy'!$D$13,2&lt;4))),1,0),IF(AND(U279+V279-W279&gt;0,OR('Debt strategy'!$D$12&gt;'Debt strategy'!$D$13,AND('Debt strategy'!$D$12='Debt strategy'!$D$13,3&lt;4))),1,0)))</x:f>
        <x:v>99</x:v>
      </x:c>
      <x:c r="AE279" s="6" t="n">
        <x:f>IF('Debt strategy'!$C$16&gt;0,0,MIN(AA279+AB279-AC279,MAX(0,'Debt strategy'!$C$5-SUM(E279,K279,Q279,W279,AC279)-SUM(IF(F279&lt;AD279,C279+D279-E279,0),IF(L279&lt;AD279,I279+J279-K279,0),IF(R279&lt;AD279,O279+P279-Q279,0),IF(X279&lt;AD279,U279+V279-W279,0)))))</x:f>
        <x:v>0</x:v>
      </x:c>
      <x:c r="AF279" s="6" t="n">
        <x:f>ROUND(MAX(0,AA279+AB279-AC279-AE279),2)</x:f>
        <x:v>0</x:v>
      </x:c>
      <x:c r="AG279" s="6" t="n">
        <x:f>SUM(H279,N279,T279,Z279,AF279)</x:f>
        <x:v>0</x:v>
      </x:c>
      <x:c r="AH279" s="6" t="n">
        <x:f>SUM(D279,J279,P279,V279,AB279)+AH278</x:f>
        <x:v>1220.8400000000001</x:v>
      </x:c>
      <x:c r="AI279" s="2"/>
    </x:row>
    <x:row r="280" ht="23" customHeight="1">
      <x:c r="B280" s="2" t="n">
        <x:f>272</x:f>
        <x:v>272</x:v>
      </x:c>
      <x:c r="C280" s="6" t="n">
        <x:f>H279</x:f>
        <x:v>0</x:v>
      </x:c>
      <x:c r="D280" s="6" t="n">
        <x:f>ROUND(C280*'Debt strategy'!$D$9/12,2)</x:f>
        <x:v>0</x:v>
      </x:c>
      <x:c r="E280" s="6" t="n">
        <x:f>MIN(C280+D280,'Debt strategy'!$E$9)</x:f>
        <x:v>0</x:v>
      </x:c>
      <x:c r="F280" s="27" t="n">
        <x:f>IF(C280+D280-E280&lt;=0,99,1+SUM(IF(AND(I280+J280-K280&gt;0,OR('Debt strategy'!$D$10&gt;'Debt strategy'!$D$9,AND('Debt strategy'!$D$10='Debt strategy'!$D$9,1&lt;0))),1,0),IF(AND(O280+P280-Q280&gt;0,OR('Debt strategy'!$D$11&gt;'Debt strategy'!$D$9,AND('Debt strategy'!$D$11='Debt strategy'!$D$9,2&lt;0))),1,0),IF(AND(U280+V280-W280&gt;0,OR('Debt strategy'!$D$12&gt;'Debt strategy'!$D$9,AND('Debt strategy'!$D$12='Debt strategy'!$D$9,3&lt;0))),1,0),IF(AND(AA280+AB280-AC280&gt;0,OR('Debt strategy'!$D$13&gt;'Debt strategy'!$D$9,AND('Debt strategy'!$D$13='Debt strategy'!$D$9,4&lt;0))),1,0)))</x:f>
        <x:v>99</x:v>
      </x:c>
      <x:c r="G280" s="6" t="n">
        <x:f>IF('Debt strategy'!$C$16&gt;0,0,MIN(C280+D280-E280,MAX(0,'Debt strategy'!$C$5-SUM(E280,K280,Q280,W280,AC280)-SUM(IF(L280&lt;F280,I280+J280-K280,0),IF(R280&lt;F280,O280+P280-Q280,0),IF(X280&lt;F280,U280+V280-W280,0),IF(AD280&lt;F280,AA280+AB280-AC280,0)))))</x:f>
        <x:v>0</x:v>
      </x:c>
      <x:c r="H280" s="6" t="n">
        <x:f>ROUND(MAX(0,C280+D280-E280-G280),2)</x:f>
        <x:v>0</x:v>
      </x:c>
      <x:c r="I280" s="6" t="n">
        <x:f>N279</x:f>
        <x:v>0</x:v>
      </x:c>
      <x:c r="J280" s="6" t="n">
        <x:f>ROUND(I280*'Debt strategy'!$D$10/12,2)</x:f>
        <x:v>0</x:v>
      </x:c>
      <x:c r="K280" s="6" t="n">
        <x:f>MIN(I280+J280,'Debt strategy'!$E$10)</x:f>
        <x:v>0</x:v>
      </x:c>
      <x:c r="L280" s="27" t="n">
        <x:f>IF(I280+J280-K280&lt;=0,99,1+SUM(IF(AND(C280+D280-E280&gt;0,OR('Debt strategy'!$D$9&gt;'Debt strategy'!$D$10,AND('Debt strategy'!$D$9='Debt strategy'!$D$10,0&lt;1))),1,0),IF(AND(O280+P280-Q280&gt;0,OR('Debt strategy'!$D$11&gt;'Debt strategy'!$D$10,AND('Debt strategy'!$D$11='Debt strategy'!$D$10,2&lt;1))),1,0),IF(AND(U280+V280-W280&gt;0,OR('Debt strategy'!$D$12&gt;'Debt strategy'!$D$10,AND('Debt strategy'!$D$12='Debt strategy'!$D$10,3&lt;1))),1,0),IF(AND(AA280+AB280-AC280&gt;0,OR('Debt strategy'!$D$13&gt;'Debt strategy'!$D$10,AND('Debt strategy'!$D$13='Debt strategy'!$D$10,4&lt;1))),1,0)))</x:f>
        <x:v>99</x:v>
      </x:c>
      <x:c r="M280" s="6" t="n">
        <x:f>IF('Debt strategy'!$C$16&gt;0,0,MIN(I280+J280-K280,MAX(0,'Debt strategy'!$C$5-SUM(E280,K280,Q280,W280,AC280)-SUM(IF(F280&lt;L280,C280+D280-E280,0),IF(R280&lt;L280,O280+P280-Q280,0),IF(X280&lt;L280,U280+V280-W280,0),IF(AD280&lt;L280,AA280+AB280-AC280,0)))))</x:f>
        <x:v>0</x:v>
      </x:c>
      <x:c r="N280" s="6" t="n">
        <x:f>ROUND(MAX(0,I280+J280-K280-M280),2)</x:f>
        <x:v>0</x:v>
      </x:c>
      <x:c r="O280" s="6" t="n">
        <x:f>T279</x:f>
        <x:v>0</x:v>
      </x:c>
      <x:c r="P280" s="6" t="n">
        <x:f>ROUND(O280*'Debt strategy'!$D$11/12,2)</x:f>
        <x:v>0</x:v>
      </x:c>
      <x:c r="Q280" s="6" t="n">
        <x:f>MIN(O280+P280,'Debt strategy'!$E$11)</x:f>
        <x:v>0</x:v>
      </x:c>
      <x:c r="R280" s="27" t="n">
        <x:f>IF(O280+P280-Q280&lt;=0,99,1+SUM(IF(AND(C280+D280-E280&gt;0,OR('Debt strategy'!$D$9&gt;'Debt strategy'!$D$11,AND('Debt strategy'!$D$9='Debt strategy'!$D$11,0&lt;2))),1,0),IF(AND(I280+J280-K280&gt;0,OR('Debt strategy'!$D$10&gt;'Debt strategy'!$D$11,AND('Debt strategy'!$D$10='Debt strategy'!$D$11,1&lt;2))),1,0),IF(AND(U280+V280-W280&gt;0,OR('Debt strategy'!$D$12&gt;'Debt strategy'!$D$11,AND('Debt strategy'!$D$12='Debt strategy'!$D$11,3&lt;2))),1,0),IF(AND(AA280+AB280-AC280&gt;0,OR('Debt strategy'!$D$13&gt;'Debt strategy'!$D$11,AND('Debt strategy'!$D$13='Debt strategy'!$D$11,4&lt;2))),1,0)))</x:f>
        <x:v>99</x:v>
      </x:c>
      <x:c r="S280" s="6" t="n">
        <x:f>IF('Debt strategy'!$C$16&gt;0,0,MIN(O280+P280-Q280,MAX(0,'Debt strategy'!$C$5-SUM(E280,K280,Q280,W280,AC280)-SUM(IF(F280&lt;R280,C280+D280-E280,0),IF(L280&lt;R280,I280+J280-K280,0),IF(X280&lt;R280,U280+V280-W280,0),IF(AD280&lt;R280,AA280+AB280-AC280,0)))))</x:f>
        <x:v>0</x:v>
      </x:c>
      <x:c r="T280" s="6" t="n">
        <x:f>ROUND(MAX(0,O280+P280-Q280-S280),2)</x:f>
        <x:v>0</x:v>
      </x:c>
      <x:c r="U280" s="6" t="n">
        <x:f>Z279</x:f>
        <x:v>0</x:v>
      </x:c>
      <x:c r="V280" s="6" t="n">
        <x:f>ROUND(U280*'Debt strategy'!$D$12/12,2)</x:f>
        <x:v>0</x:v>
      </x:c>
      <x:c r="W280" s="6" t="n">
        <x:f>MIN(U280+V280,'Debt strategy'!$E$12)</x:f>
        <x:v>0</x:v>
      </x:c>
      <x:c r="X280" s="27" t="n">
        <x:f>IF(U280+V280-W280&lt;=0,99,1+SUM(IF(AND(C280+D280-E280&gt;0,OR('Debt strategy'!$D$9&gt;'Debt strategy'!$D$12,AND('Debt strategy'!$D$9='Debt strategy'!$D$12,0&lt;3))),1,0),IF(AND(I280+J280-K280&gt;0,OR('Debt strategy'!$D$10&gt;'Debt strategy'!$D$12,AND('Debt strategy'!$D$10='Debt strategy'!$D$12,1&lt;3))),1,0),IF(AND(O280+P280-Q280&gt;0,OR('Debt strategy'!$D$11&gt;'Debt strategy'!$D$12,AND('Debt strategy'!$D$11='Debt strategy'!$D$12,2&lt;3))),1,0),IF(AND(AA280+AB280-AC280&gt;0,OR('Debt strategy'!$D$13&gt;'Debt strategy'!$D$12,AND('Debt strategy'!$D$13='Debt strategy'!$D$12,4&lt;3))),1,0)))</x:f>
        <x:v>99</x:v>
      </x:c>
      <x:c r="Y280" s="6" t="n">
        <x:f>IF('Debt strategy'!$C$16&gt;0,0,MIN(U280+V280-W280,MAX(0,'Debt strategy'!$C$5-SUM(E280,K280,Q280,W280,AC280)-SUM(IF(F280&lt;X280,C280+D280-E280,0),IF(L280&lt;X280,I280+J280-K280,0),IF(R280&lt;X280,O280+P280-Q280,0),IF(AD280&lt;X280,AA280+AB280-AC280,0)))))</x:f>
        <x:v>0</x:v>
      </x:c>
      <x:c r="Z280" s="6" t="n">
        <x:f>ROUND(MAX(0,U280+V280-W280-Y280),2)</x:f>
        <x:v>0</x:v>
      </x:c>
      <x:c r="AA280" s="6" t="n">
        <x:f>AF279</x:f>
        <x:v>0</x:v>
      </x:c>
      <x:c r="AB280" s="6" t="n">
        <x:f>ROUND(AA280*'Debt strategy'!$D$13/12,2)</x:f>
        <x:v>0</x:v>
      </x:c>
      <x:c r="AC280" s="6" t="n">
        <x:f>MIN(AA280+AB280,'Debt strategy'!$E$13)</x:f>
        <x:v>0</x:v>
      </x:c>
      <x:c r="AD280" s="27" t="n">
        <x:f>IF(AA280+AB280-AC280&lt;=0,99,1+SUM(IF(AND(C280+D280-E280&gt;0,OR('Debt strategy'!$D$9&gt;'Debt strategy'!$D$13,AND('Debt strategy'!$D$9='Debt strategy'!$D$13,0&lt;4))),1,0),IF(AND(I280+J280-K280&gt;0,OR('Debt strategy'!$D$10&gt;'Debt strategy'!$D$13,AND('Debt strategy'!$D$10='Debt strategy'!$D$13,1&lt;4))),1,0),IF(AND(O280+P280-Q280&gt;0,OR('Debt strategy'!$D$11&gt;'Debt strategy'!$D$13,AND('Debt strategy'!$D$11='Debt strategy'!$D$13,2&lt;4))),1,0),IF(AND(U280+V280-W280&gt;0,OR('Debt strategy'!$D$12&gt;'Debt strategy'!$D$13,AND('Debt strategy'!$D$12='Debt strategy'!$D$13,3&lt;4))),1,0)))</x:f>
        <x:v>99</x:v>
      </x:c>
      <x:c r="AE280" s="6" t="n">
        <x:f>IF('Debt strategy'!$C$16&gt;0,0,MIN(AA280+AB280-AC280,MAX(0,'Debt strategy'!$C$5-SUM(E280,K280,Q280,W280,AC280)-SUM(IF(F280&lt;AD280,C280+D280-E280,0),IF(L280&lt;AD280,I280+J280-K280,0),IF(R280&lt;AD280,O280+P280-Q280,0),IF(X280&lt;AD280,U280+V280-W280,0)))))</x:f>
        <x:v>0</x:v>
      </x:c>
      <x:c r="AF280" s="6" t="n">
        <x:f>ROUND(MAX(0,AA280+AB280-AC280-AE280),2)</x:f>
        <x:v>0</x:v>
      </x:c>
      <x:c r="AG280" s="6" t="n">
        <x:f>SUM(H280,N280,T280,Z280,AF280)</x:f>
        <x:v>0</x:v>
      </x:c>
      <x:c r="AH280" s="6" t="n">
        <x:f>SUM(D280,J280,P280,V280,AB280)+AH279</x:f>
        <x:v>1220.8400000000001</x:v>
      </x:c>
      <x:c r="AI280" s="2"/>
    </x:row>
    <x:row r="281" ht="23" customHeight="1">
      <x:c r="B281" s="2" t="n">
        <x:f>273</x:f>
        <x:v>273</x:v>
      </x:c>
      <x:c r="C281" s="6" t="n">
        <x:f>H280</x:f>
        <x:v>0</x:v>
      </x:c>
      <x:c r="D281" s="6" t="n">
        <x:f>ROUND(C281*'Debt strategy'!$D$9/12,2)</x:f>
        <x:v>0</x:v>
      </x:c>
      <x:c r="E281" s="6" t="n">
        <x:f>MIN(C281+D281,'Debt strategy'!$E$9)</x:f>
        <x:v>0</x:v>
      </x:c>
      <x:c r="F281" s="27" t="n">
        <x:f>IF(C281+D281-E281&lt;=0,99,1+SUM(IF(AND(I281+J281-K281&gt;0,OR('Debt strategy'!$D$10&gt;'Debt strategy'!$D$9,AND('Debt strategy'!$D$10='Debt strategy'!$D$9,1&lt;0))),1,0),IF(AND(O281+P281-Q281&gt;0,OR('Debt strategy'!$D$11&gt;'Debt strategy'!$D$9,AND('Debt strategy'!$D$11='Debt strategy'!$D$9,2&lt;0))),1,0),IF(AND(U281+V281-W281&gt;0,OR('Debt strategy'!$D$12&gt;'Debt strategy'!$D$9,AND('Debt strategy'!$D$12='Debt strategy'!$D$9,3&lt;0))),1,0),IF(AND(AA281+AB281-AC281&gt;0,OR('Debt strategy'!$D$13&gt;'Debt strategy'!$D$9,AND('Debt strategy'!$D$13='Debt strategy'!$D$9,4&lt;0))),1,0)))</x:f>
        <x:v>99</x:v>
      </x:c>
      <x:c r="G281" s="6" t="n">
        <x:f>IF('Debt strategy'!$C$16&gt;0,0,MIN(C281+D281-E281,MAX(0,'Debt strategy'!$C$5-SUM(E281,K281,Q281,W281,AC281)-SUM(IF(L281&lt;F281,I281+J281-K281,0),IF(R281&lt;F281,O281+P281-Q281,0),IF(X281&lt;F281,U281+V281-W281,0),IF(AD281&lt;F281,AA281+AB281-AC281,0)))))</x:f>
        <x:v>0</x:v>
      </x:c>
      <x:c r="H281" s="6" t="n">
        <x:f>ROUND(MAX(0,C281+D281-E281-G281),2)</x:f>
        <x:v>0</x:v>
      </x:c>
      <x:c r="I281" s="6" t="n">
        <x:f>N280</x:f>
        <x:v>0</x:v>
      </x:c>
      <x:c r="J281" s="6" t="n">
        <x:f>ROUND(I281*'Debt strategy'!$D$10/12,2)</x:f>
        <x:v>0</x:v>
      </x:c>
      <x:c r="K281" s="6" t="n">
        <x:f>MIN(I281+J281,'Debt strategy'!$E$10)</x:f>
        <x:v>0</x:v>
      </x:c>
      <x:c r="L281" s="27" t="n">
        <x:f>IF(I281+J281-K281&lt;=0,99,1+SUM(IF(AND(C281+D281-E281&gt;0,OR('Debt strategy'!$D$9&gt;'Debt strategy'!$D$10,AND('Debt strategy'!$D$9='Debt strategy'!$D$10,0&lt;1))),1,0),IF(AND(O281+P281-Q281&gt;0,OR('Debt strategy'!$D$11&gt;'Debt strategy'!$D$10,AND('Debt strategy'!$D$11='Debt strategy'!$D$10,2&lt;1))),1,0),IF(AND(U281+V281-W281&gt;0,OR('Debt strategy'!$D$12&gt;'Debt strategy'!$D$10,AND('Debt strategy'!$D$12='Debt strategy'!$D$10,3&lt;1))),1,0),IF(AND(AA281+AB281-AC281&gt;0,OR('Debt strategy'!$D$13&gt;'Debt strategy'!$D$10,AND('Debt strategy'!$D$13='Debt strategy'!$D$10,4&lt;1))),1,0)))</x:f>
        <x:v>99</x:v>
      </x:c>
      <x:c r="M281" s="6" t="n">
        <x:f>IF('Debt strategy'!$C$16&gt;0,0,MIN(I281+J281-K281,MAX(0,'Debt strategy'!$C$5-SUM(E281,K281,Q281,W281,AC281)-SUM(IF(F281&lt;L281,C281+D281-E281,0),IF(R281&lt;L281,O281+P281-Q281,0),IF(X281&lt;L281,U281+V281-W281,0),IF(AD281&lt;L281,AA281+AB281-AC281,0)))))</x:f>
        <x:v>0</x:v>
      </x:c>
      <x:c r="N281" s="6" t="n">
        <x:f>ROUND(MAX(0,I281+J281-K281-M281),2)</x:f>
        <x:v>0</x:v>
      </x:c>
      <x:c r="O281" s="6" t="n">
        <x:f>T280</x:f>
        <x:v>0</x:v>
      </x:c>
      <x:c r="P281" s="6" t="n">
        <x:f>ROUND(O281*'Debt strategy'!$D$11/12,2)</x:f>
        <x:v>0</x:v>
      </x:c>
      <x:c r="Q281" s="6" t="n">
        <x:f>MIN(O281+P281,'Debt strategy'!$E$11)</x:f>
        <x:v>0</x:v>
      </x:c>
      <x:c r="R281" s="27" t="n">
        <x:f>IF(O281+P281-Q281&lt;=0,99,1+SUM(IF(AND(C281+D281-E281&gt;0,OR('Debt strategy'!$D$9&gt;'Debt strategy'!$D$11,AND('Debt strategy'!$D$9='Debt strategy'!$D$11,0&lt;2))),1,0),IF(AND(I281+J281-K281&gt;0,OR('Debt strategy'!$D$10&gt;'Debt strategy'!$D$11,AND('Debt strategy'!$D$10='Debt strategy'!$D$11,1&lt;2))),1,0),IF(AND(U281+V281-W281&gt;0,OR('Debt strategy'!$D$12&gt;'Debt strategy'!$D$11,AND('Debt strategy'!$D$12='Debt strategy'!$D$11,3&lt;2))),1,0),IF(AND(AA281+AB281-AC281&gt;0,OR('Debt strategy'!$D$13&gt;'Debt strategy'!$D$11,AND('Debt strategy'!$D$13='Debt strategy'!$D$11,4&lt;2))),1,0)))</x:f>
        <x:v>99</x:v>
      </x:c>
      <x:c r="S281" s="6" t="n">
        <x:f>IF('Debt strategy'!$C$16&gt;0,0,MIN(O281+P281-Q281,MAX(0,'Debt strategy'!$C$5-SUM(E281,K281,Q281,W281,AC281)-SUM(IF(F281&lt;R281,C281+D281-E281,0),IF(L281&lt;R281,I281+J281-K281,0),IF(X281&lt;R281,U281+V281-W281,0),IF(AD281&lt;R281,AA281+AB281-AC281,0)))))</x:f>
        <x:v>0</x:v>
      </x:c>
      <x:c r="T281" s="6" t="n">
        <x:f>ROUND(MAX(0,O281+P281-Q281-S281),2)</x:f>
        <x:v>0</x:v>
      </x:c>
      <x:c r="U281" s="6" t="n">
        <x:f>Z280</x:f>
        <x:v>0</x:v>
      </x:c>
      <x:c r="V281" s="6" t="n">
        <x:f>ROUND(U281*'Debt strategy'!$D$12/12,2)</x:f>
        <x:v>0</x:v>
      </x:c>
      <x:c r="W281" s="6" t="n">
        <x:f>MIN(U281+V281,'Debt strategy'!$E$12)</x:f>
        <x:v>0</x:v>
      </x:c>
      <x:c r="X281" s="27" t="n">
        <x:f>IF(U281+V281-W281&lt;=0,99,1+SUM(IF(AND(C281+D281-E281&gt;0,OR('Debt strategy'!$D$9&gt;'Debt strategy'!$D$12,AND('Debt strategy'!$D$9='Debt strategy'!$D$12,0&lt;3))),1,0),IF(AND(I281+J281-K281&gt;0,OR('Debt strategy'!$D$10&gt;'Debt strategy'!$D$12,AND('Debt strategy'!$D$10='Debt strategy'!$D$12,1&lt;3))),1,0),IF(AND(O281+P281-Q281&gt;0,OR('Debt strategy'!$D$11&gt;'Debt strategy'!$D$12,AND('Debt strategy'!$D$11='Debt strategy'!$D$12,2&lt;3))),1,0),IF(AND(AA281+AB281-AC281&gt;0,OR('Debt strategy'!$D$13&gt;'Debt strategy'!$D$12,AND('Debt strategy'!$D$13='Debt strategy'!$D$12,4&lt;3))),1,0)))</x:f>
        <x:v>99</x:v>
      </x:c>
      <x:c r="Y281" s="6" t="n">
        <x:f>IF('Debt strategy'!$C$16&gt;0,0,MIN(U281+V281-W281,MAX(0,'Debt strategy'!$C$5-SUM(E281,K281,Q281,W281,AC281)-SUM(IF(F281&lt;X281,C281+D281-E281,0),IF(L281&lt;X281,I281+J281-K281,0),IF(R281&lt;X281,O281+P281-Q281,0),IF(AD281&lt;X281,AA281+AB281-AC281,0)))))</x:f>
        <x:v>0</x:v>
      </x:c>
      <x:c r="Z281" s="6" t="n">
        <x:f>ROUND(MAX(0,U281+V281-W281-Y281),2)</x:f>
        <x:v>0</x:v>
      </x:c>
      <x:c r="AA281" s="6" t="n">
        <x:f>AF280</x:f>
        <x:v>0</x:v>
      </x:c>
      <x:c r="AB281" s="6" t="n">
        <x:f>ROUND(AA281*'Debt strategy'!$D$13/12,2)</x:f>
        <x:v>0</x:v>
      </x:c>
      <x:c r="AC281" s="6" t="n">
        <x:f>MIN(AA281+AB281,'Debt strategy'!$E$13)</x:f>
        <x:v>0</x:v>
      </x:c>
      <x:c r="AD281" s="27" t="n">
        <x:f>IF(AA281+AB281-AC281&lt;=0,99,1+SUM(IF(AND(C281+D281-E281&gt;0,OR('Debt strategy'!$D$9&gt;'Debt strategy'!$D$13,AND('Debt strategy'!$D$9='Debt strategy'!$D$13,0&lt;4))),1,0),IF(AND(I281+J281-K281&gt;0,OR('Debt strategy'!$D$10&gt;'Debt strategy'!$D$13,AND('Debt strategy'!$D$10='Debt strategy'!$D$13,1&lt;4))),1,0),IF(AND(O281+P281-Q281&gt;0,OR('Debt strategy'!$D$11&gt;'Debt strategy'!$D$13,AND('Debt strategy'!$D$11='Debt strategy'!$D$13,2&lt;4))),1,0),IF(AND(U281+V281-W281&gt;0,OR('Debt strategy'!$D$12&gt;'Debt strategy'!$D$13,AND('Debt strategy'!$D$12='Debt strategy'!$D$13,3&lt;4))),1,0)))</x:f>
        <x:v>99</x:v>
      </x:c>
      <x:c r="AE281" s="6" t="n">
        <x:f>IF('Debt strategy'!$C$16&gt;0,0,MIN(AA281+AB281-AC281,MAX(0,'Debt strategy'!$C$5-SUM(E281,K281,Q281,W281,AC281)-SUM(IF(F281&lt;AD281,C281+D281-E281,0),IF(L281&lt;AD281,I281+J281-K281,0),IF(R281&lt;AD281,O281+P281-Q281,0),IF(X281&lt;AD281,U281+V281-W281,0)))))</x:f>
        <x:v>0</x:v>
      </x:c>
      <x:c r="AF281" s="6" t="n">
        <x:f>ROUND(MAX(0,AA281+AB281-AC281-AE281),2)</x:f>
        <x:v>0</x:v>
      </x:c>
      <x:c r="AG281" s="6" t="n">
        <x:f>SUM(H281,N281,T281,Z281,AF281)</x:f>
        <x:v>0</x:v>
      </x:c>
      <x:c r="AH281" s="6" t="n">
        <x:f>SUM(D281,J281,P281,V281,AB281)+AH280</x:f>
        <x:v>1220.8400000000001</x:v>
      </x:c>
      <x:c r="AI281" s="2"/>
    </x:row>
    <x:row r="282" ht="23" customHeight="1">
      <x:c r="B282" s="2" t="n">
        <x:f>274</x:f>
        <x:v>274</x:v>
      </x:c>
      <x:c r="C282" s="6" t="n">
        <x:f>H281</x:f>
        <x:v>0</x:v>
      </x:c>
      <x:c r="D282" s="6" t="n">
        <x:f>ROUND(C282*'Debt strategy'!$D$9/12,2)</x:f>
        <x:v>0</x:v>
      </x:c>
      <x:c r="E282" s="6" t="n">
        <x:f>MIN(C282+D282,'Debt strategy'!$E$9)</x:f>
        <x:v>0</x:v>
      </x:c>
      <x:c r="F282" s="27" t="n">
        <x:f>IF(C282+D282-E282&lt;=0,99,1+SUM(IF(AND(I282+J282-K282&gt;0,OR('Debt strategy'!$D$10&gt;'Debt strategy'!$D$9,AND('Debt strategy'!$D$10='Debt strategy'!$D$9,1&lt;0))),1,0),IF(AND(O282+P282-Q282&gt;0,OR('Debt strategy'!$D$11&gt;'Debt strategy'!$D$9,AND('Debt strategy'!$D$11='Debt strategy'!$D$9,2&lt;0))),1,0),IF(AND(U282+V282-W282&gt;0,OR('Debt strategy'!$D$12&gt;'Debt strategy'!$D$9,AND('Debt strategy'!$D$12='Debt strategy'!$D$9,3&lt;0))),1,0),IF(AND(AA282+AB282-AC282&gt;0,OR('Debt strategy'!$D$13&gt;'Debt strategy'!$D$9,AND('Debt strategy'!$D$13='Debt strategy'!$D$9,4&lt;0))),1,0)))</x:f>
        <x:v>99</x:v>
      </x:c>
      <x:c r="G282" s="6" t="n">
        <x:f>IF('Debt strategy'!$C$16&gt;0,0,MIN(C282+D282-E282,MAX(0,'Debt strategy'!$C$5-SUM(E282,K282,Q282,W282,AC282)-SUM(IF(L282&lt;F282,I282+J282-K282,0),IF(R282&lt;F282,O282+P282-Q282,0),IF(X282&lt;F282,U282+V282-W282,0),IF(AD282&lt;F282,AA282+AB282-AC282,0)))))</x:f>
        <x:v>0</x:v>
      </x:c>
      <x:c r="H282" s="6" t="n">
        <x:f>ROUND(MAX(0,C282+D282-E282-G282),2)</x:f>
        <x:v>0</x:v>
      </x:c>
      <x:c r="I282" s="6" t="n">
        <x:f>N281</x:f>
        <x:v>0</x:v>
      </x:c>
      <x:c r="J282" s="6" t="n">
        <x:f>ROUND(I282*'Debt strategy'!$D$10/12,2)</x:f>
        <x:v>0</x:v>
      </x:c>
      <x:c r="K282" s="6" t="n">
        <x:f>MIN(I282+J282,'Debt strategy'!$E$10)</x:f>
        <x:v>0</x:v>
      </x:c>
      <x:c r="L282" s="27" t="n">
        <x:f>IF(I282+J282-K282&lt;=0,99,1+SUM(IF(AND(C282+D282-E282&gt;0,OR('Debt strategy'!$D$9&gt;'Debt strategy'!$D$10,AND('Debt strategy'!$D$9='Debt strategy'!$D$10,0&lt;1))),1,0),IF(AND(O282+P282-Q282&gt;0,OR('Debt strategy'!$D$11&gt;'Debt strategy'!$D$10,AND('Debt strategy'!$D$11='Debt strategy'!$D$10,2&lt;1))),1,0),IF(AND(U282+V282-W282&gt;0,OR('Debt strategy'!$D$12&gt;'Debt strategy'!$D$10,AND('Debt strategy'!$D$12='Debt strategy'!$D$10,3&lt;1))),1,0),IF(AND(AA282+AB282-AC282&gt;0,OR('Debt strategy'!$D$13&gt;'Debt strategy'!$D$10,AND('Debt strategy'!$D$13='Debt strategy'!$D$10,4&lt;1))),1,0)))</x:f>
        <x:v>99</x:v>
      </x:c>
      <x:c r="M282" s="6" t="n">
        <x:f>IF('Debt strategy'!$C$16&gt;0,0,MIN(I282+J282-K282,MAX(0,'Debt strategy'!$C$5-SUM(E282,K282,Q282,W282,AC282)-SUM(IF(F282&lt;L282,C282+D282-E282,0),IF(R282&lt;L282,O282+P282-Q282,0),IF(X282&lt;L282,U282+V282-W282,0),IF(AD282&lt;L282,AA282+AB282-AC282,0)))))</x:f>
        <x:v>0</x:v>
      </x:c>
      <x:c r="N282" s="6" t="n">
        <x:f>ROUND(MAX(0,I282+J282-K282-M282),2)</x:f>
        <x:v>0</x:v>
      </x:c>
      <x:c r="O282" s="6" t="n">
        <x:f>T281</x:f>
        <x:v>0</x:v>
      </x:c>
      <x:c r="P282" s="6" t="n">
        <x:f>ROUND(O282*'Debt strategy'!$D$11/12,2)</x:f>
        <x:v>0</x:v>
      </x:c>
      <x:c r="Q282" s="6" t="n">
        <x:f>MIN(O282+P282,'Debt strategy'!$E$11)</x:f>
        <x:v>0</x:v>
      </x:c>
      <x:c r="R282" s="27" t="n">
        <x:f>IF(O282+P282-Q282&lt;=0,99,1+SUM(IF(AND(C282+D282-E282&gt;0,OR('Debt strategy'!$D$9&gt;'Debt strategy'!$D$11,AND('Debt strategy'!$D$9='Debt strategy'!$D$11,0&lt;2))),1,0),IF(AND(I282+J282-K282&gt;0,OR('Debt strategy'!$D$10&gt;'Debt strategy'!$D$11,AND('Debt strategy'!$D$10='Debt strategy'!$D$11,1&lt;2))),1,0),IF(AND(U282+V282-W282&gt;0,OR('Debt strategy'!$D$12&gt;'Debt strategy'!$D$11,AND('Debt strategy'!$D$12='Debt strategy'!$D$11,3&lt;2))),1,0),IF(AND(AA282+AB282-AC282&gt;0,OR('Debt strategy'!$D$13&gt;'Debt strategy'!$D$11,AND('Debt strategy'!$D$13='Debt strategy'!$D$11,4&lt;2))),1,0)))</x:f>
        <x:v>99</x:v>
      </x:c>
      <x:c r="S282" s="6" t="n">
        <x:f>IF('Debt strategy'!$C$16&gt;0,0,MIN(O282+P282-Q282,MAX(0,'Debt strategy'!$C$5-SUM(E282,K282,Q282,W282,AC282)-SUM(IF(F282&lt;R282,C282+D282-E282,0),IF(L282&lt;R282,I282+J282-K282,0),IF(X282&lt;R282,U282+V282-W282,0),IF(AD282&lt;R282,AA282+AB282-AC282,0)))))</x:f>
        <x:v>0</x:v>
      </x:c>
      <x:c r="T282" s="6" t="n">
        <x:f>ROUND(MAX(0,O282+P282-Q282-S282),2)</x:f>
        <x:v>0</x:v>
      </x:c>
      <x:c r="U282" s="6" t="n">
        <x:f>Z281</x:f>
        <x:v>0</x:v>
      </x:c>
      <x:c r="V282" s="6" t="n">
        <x:f>ROUND(U282*'Debt strategy'!$D$12/12,2)</x:f>
        <x:v>0</x:v>
      </x:c>
      <x:c r="W282" s="6" t="n">
        <x:f>MIN(U282+V282,'Debt strategy'!$E$12)</x:f>
        <x:v>0</x:v>
      </x:c>
      <x:c r="X282" s="27" t="n">
        <x:f>IF(U282+V282-W282&lt;=0,99,1+SUM(IF(AND(C282+D282-E282&gt;0,OR('Debt strategy'!$D$9&gt;'Debt strategy'!$D$12,AND('Debt strategy'!$D$9='Debt strategy'!$D$12,0&lt;3))),1,0),IF(AND(I282+J282-K282&gt;0,OR('Debt strategy'!$D$10&gt;'Debt strategy'!$D$12,AND('Debt strategy'!$D$10='Debt strategy'!$D$12,1&lt;3))),1,0),IF(AND(O282+P282-Q282&gt;0,OR('Debt strategy'!$D$11&gt;'Debt strategy'!$D$12,AND('Debt strategy'!$D$11='Debt strategy'!$D$12,2&lt;3))),1,0),IF(AND(AA282+AB282-AC282&gt;0,OR('Debt strategy'!$D$13&gt;'Debt strategy'!$D$12,AND('Debt strategy'!$D$13='Debt strategy'!$D$12,4&lt;3))),1,0)))</x:f>
        <x:v>99</x:v>
      </x:c>
      <x:c r="Y282" s="6" t="n">
        <x:f>IF('Debt strategy'!$C$16&gt;0,0,MIN(U282+V282-W282,MAX(0,'Debt strategy'!$C$5-SUM(E282,K282,Q282,W282,AC282)-SUM(IF(F282&lt;X282,C282+D282-E282,0),IF(L282&lt;X282,I282+J282-K282,0),IF(R282&lt;X282,O282+P282-Q282,0),IF(AD282&lt;X282,AA282+AB282-AC282,0)))))</x:f>
        <x:v>0</x:v>
      </x:c>
      <x:c r="Z282" s="6" t="n">
        <x:f>ROUND(MAX(0,U282+V282-W282-Y282),2)</x:f>
        <x:v>0</x:v>
      </x:c>
      <x:c r="AA282" s="6" t="n">
        <x:f>AF281</x:f>
        <x:v>0</x:v>
      </x:c>
      <x:c r="AB282" s="6" t="n">
        <x:f>ROUND(AA282*'Debt strategy'!$D$13/12,2)</x:f>
        <x:v>0</x:v>
      </x:c>
      <x:c r="AC282" s="6" t="n">
        <x:f>MIN(AA282+AB282,'Debt strategy'!$E$13)</x:f>
        <x:v>0</x:v>
      </x:c>
      <x:c r="AD282" s="27" t="n">
        <x:f>IF(AA282+AB282-AC282&lt;=0,99,1+SUM(IF(AND(C282+D282-E282&gt;0,OR('Debt strategy'!$D$9&gt;'Debt strategy'!$D$13,AND('Debt strategy'!$D$9='Debt strategy'!$D$13,0&lt;4))),1,0),IF(AND(I282+J282-K282&gt;0,OR('Debt strategy'!$D$10&gt;'Debt strategy'!$D$13,AND('Debt strategy'!$D$10='Debt strategy'!$D$13,1&lt;4))),1,0),IF(AND(O282+P282-Q282&gt;0,OR('Debt strategy'!$D$11&gt;'Debt strategy'!$D$13,AND('Debt strategy'!$D$11='Debt strategy'!$D$13,2&lt;4))),1,0),IF(AND(U282+V282-W282&gt;0,OR('Debt strategy'!$D$12&gt;'Debt strategy'!$D$13,AND('Debt strategy'!$D$12='Debt strategy'!$D$13,3&lt;4))),1,0)))</x:f>
        <x:v>99</x:v>
      </x:c>
      <x:c r="AE282" s="6" t="n">
        <x:f>IF('Debt strategy'!$C$16&gt;0,0,MIN(AA282+AB282-AC282,MAX(0,'Debt strategy'!$C$5-SUM(E282,K282,Q282,W282,AC282)-SUM(IF(F282&lt;AD282,C282+D282-E282,0),IF(L282&lt;AD282,I282+J282-K282,0),IF(R282&lt;AD282,O282+P282-Q282,0),IF(X282&lt;AD282,U282+V282-W282,0)))))</x:f>
        <x:v>0</x:v>
      </x:c>
      <x:c r="AF282" s="6" t="n">
        <x:f>ROUND(MAX(0,AA282+AB282-AC282-AE282),2)</x:f>
        <x:v>0</x:v>
      </x:c>
      <x:c r="AG282" s="6" t="n">
        <x:f>SUM(H282,N282,T282,Z282,AF282)</x:f>
        <x:v>0</x:v>
      </x:c>
      <x:c r="AH282" s="6" t="n">
        <x:f>SUM(D282,J282,P282,V282,AB282)+AH281</x:f>
        <x:v>1220.8400000000001</x:v>
      </x:c>
      <x:c r="AI282" s="2"/>
    </x:row>
    <x:row r="283" ht="23" customHeight="1">
      <x:c r="B283" s="2" t="n">
        <x:f>275</x:f>
        <x:v>275</x:v>
      </x:c>
      <x:c r="C283" s="6" t="n">
        <x:f>H282</x:f>
        <x:v>0</x:v>
      </x:c>
      <x:c r="D283" s="6" t="n">
        <x:f>ROUND(C283*'Debt strategy'!$D$9/12,2)</x:f>
        <x:v>0</x:v>
      </x:c>
      <x:c r="E283" s="6" t="n">
        <x:f>MIN(C283+D283,'Debt strategy'!$E$9)</x:f>
        <x:v>0</x:v>
      </x:c>
      <x:c r="F283" s="27" t="n">
        <x:f>IF(C283+D283-E283&lt;=0,99,1+SUM(IF(AND(I283+J283-K283&gt;0,OR('Debt strategy'!$D$10&gt;'Debt strategy'!$D$9,AND('Debt strategy'!$D$10='Debt strategy'!$D$9,1&lt;0))),1,0),IF(AND(O283+P283-Q283&gt;0,OR('Debt strategy'!$D$11&gt;'Debt strategy'!$D$9,AND('Debt strategy'!$D$11='Debt strategy'!$D$9,2&lt;0))),1,0),IF(AND(U283+V283-W283&gt;0,OR('Debt strategy'!$D$12&gt;'Debt strategy'!$D$9,AND('Debt strategy'!$D$12='Debt strategy'!$D$9,3&lt;0))),1,0),IF(AND(AA283+AB283-AC283&gt;0,OR('Debt strategy'!$D$13&gt;'Debt strategy'!$D$9,AND('Debt strategy'!$D$13='Debt strategy'!$D$9,4&lt;0))),1,0)))</x:f>
        <x:v>99</x:v>
      </x:c>
      <x:c r="G283" s="6" t="n">
        <x:f>IF('Debt strategy'!$C$16&gt;0,0,MIN(C283+D283-E283,MAX(0,'Debt strategy'!$C$5-SUM(E283,K283,Q283,W283,AC283)-SUM(IF(L283&lt;F283,I283+J283-K283,0),IF(R283&lt;F283,O283+P283-Q283,0),IF(X283&lt;F283,U283+V283-W283,0),IF(AD283&lt;F283,AA283+AB283-AC283,0)))))</x:f>
        <x:v>0</x:v>
      </x:c>
      <x:c r="H283" s="6" t="n">
        <x:f>ROUND(MAX(0,C283+D283-E283-G283),2)</x:f>
        <x:v>0</x:v>
      </x:c>
      <x:c r="I283" s="6" t="n">
        <x:f>N282</x:f>
        <x:v>0</x:v>
      </x:c>
      <x:c r="J283" s="6" t="n">
        <x:f>ROUND(I283*'Debt strategy'!$D$10/12,2)</x:f>
        <x:v>0</x:v>
      </x:c>
      <x:c r="K283" s="6" t="n">
        <x:f>MIN(I283+J283,'Debt strategy'!$E$10)</x:f>
        <x:v>0</x:v>
      </x:c>
      <x:c r="L283" s="27" t="n">
        <x:f>IF(I283+J283-K283&lt;=0,99,1+SUM(IF(AND(C283+D283-E283&gt;0,OR('Debt strategy'!$D$9&gt;'Debt strategy'!$D$10,AND('Debt strategy'!$D$9='Debt strategy'!$D$10,0&lt;1))),1,0),IF(AND(O283+P283-Q283&gt;0,OR('Debt strategy'!$D$11&gt;'Debt strategy'!$D$10,AND('Debt strategy'!$D$11='Debt strategy'!$D$10,2&lt;1))),1,0),IF(AND(U283+V283-W283&gt;0,OR('Debt strategy'!$D$12&gt;'Debt strategy'!$D$10,AND('Debt strategy'!$D$12='Debt strategy'!$D$10,3&lt;1))),1,0),IF(AND(AA283+AB283-AC283&gt;0,OR('Debt strategy'!$D$13&gt;'Debt strategy'!$D$10,AND('Debt strategy'!$D$13='Debt strategy'!$D$10,4&lt;1))),1,0)))</x:f>
        <x:v>99</x:v>
      </x:c>
      <x:c r="M283" s="6" t="n">
        <x:f>IF('Debt strategy'!$C$16&gt;0,0,MIN(I283+J283-K283,MAX(0,'Debt strategy'!$C$5-SUM(E283,K283,Q283,W283,AC283)-SUM(IF(F283&lt;L283,C283+D283-E283,0),IF(R283&lt;L283,O283+P283-Q283,0),IF(X283&lt;L283,U283+V283-W283,0),IF(AD283&lt;L283,AA283+AB283-AC283,0)))))</x:f>
        <x:v>0</x:v>
      </x:c>
      <x:c r="N283" s="6" t="n">
        <x:f>ROUND(MAX(0,I283+J283-K283-M283),2)</x:f>
        <x:v>0</x:v>
      </x:c>
      <x:c r="O283" s="6" t="n">
        <x:f>T282</x:f>
        <x:v>0</x:v>
      </x:c>
      <x:c r="P283" s="6" t="n">
        <x:f>ROUND(O283*'Debt strategy'!$D$11/12,2)</x:f>
        <x:v>0</x:v>
      </x:c>
      <x:c r="Q283" s="6" t="n">
        <x:f>MIN(O283+P283,'Debt strategy'!$E$11)</x:f>
        <x:v>0</x:v>
      </x:c>
      <x:c r="R283" s="27" t="n">
        <x:f>IF(O283+P283-Q283&lt;=0,99,1+SUM(IF(AND(C283+D283-E283&gt;0,OR('Debt strategy'!$D$9&gt;'Debt strategy'!$D$11,AND('Debt strategy'!$D$9='Debt strategy'!$D$11,0&lt;2))),1,0),IF(AND(I283+J283-K283&gt;0,OR('Debt strategy'!$D$10&gt;'Debt strategy'!$D$11,AND('Debt strategy'!$D$10='Debt strategy'!$D$11,1&lt;2))),1,0),IF(AND(U283+V283-W283&gt;0,OR('Debt strategy'!$D$12&gt;'Debt strategy'!$D$11,AND('Debt strategy'!$D$12='Debt strategy'!$D$11,3&lt;2))),1,0),IF(AND(AA283+AB283-AC283&gt;0,OR('Debt strategy'!$D$13&gt;'Debt strategy'!$D$11,AND('Debt strategy'!$D$13='Debt strategy'!$D$11,4&lt;2))),1,0)))</x:f>
        <x:v>99</x:v>
      </x:c>
      <x:c r="S283" s="6" t="n">
        <x:f>IF('Debt strategy'!$C$16&gt;0,0,MIN(O283+P283-Q283,MAX(0,'Debt strategy'!$C$5-SUM(E283,K283,Q283,W283,AC283)-SUM(IF(F283&lt;R283,C283+D283-E283,0),IF(L283&lt;R283,I283+J283-K283,0),IF(X283&lt;R283,U283+V283-W283,0),IF(AD283&lt;R283,AA283+AB283-AC283,0)))))</x:f>
        <x:v>0</x:v>
      </x:c>
      <x:c r="T283" s="6" t="n">
        <x:f>ROUND(MAX(0,O283+P283-Q283-S283),2)</x:f>
        <x:v>0</x:v>
      </x:c>
      <x:c r="U283" s="6" t="n">
        <x:f>Z282</x:f>
        <x:v>0</x:v>
      </x:c>
      <x:c r="V283" s="6" t="n">
        <x:f>ROUND(U283*'Debt strategy'!$D$12/12,2)</x:f>
        <x:v>0</x:v>
      </x:c>
      <x:c r="W283" s="6" t="n">
        <x:f>MIN(U283+V283,'Debt strategy'!$E$12)</x:f>
        <x:v>0</x:v>
      </x:c>
      <x:c r="X283" s="27" t="n">
        <x:f>IF(U283+V283-W283&lt;=0,99,1+SUM(IF(AND(C283+D283-E283&gt;0,OR('Debt strategy'!$D$9&gt;'Debt strategy'!$D$12,AND('Debt strategy'!$D$9='Debt strategy'!$D$12,0&lt;3))),1,0),IF(AND(I283+J283-K283&gt;0,OR('Debt strategy'!$D$10&gt;'Debt strategy'!$D$12,AND('Debt strategy'!$D$10='Debt strategy'!$D$12,1&lt;3))),1,0),IF(AND(O283+P283-Q283&gt;0,OR('Debt strategy'!$D$11&gt;'Debt strategy'!$D$12,AND('Debt strategy'!$D$11='Debt strategy'!$D$12,2&lt;3))),1,0),IF(AND(AA283+AB283-AC283&gt;0,OR('Debt strategy'!$D$13&gt;'Debt strategy'!$D$12,AND('Debt strategy'!$D$13='Debt strategy'!$D$12,4&lt;3))),1,0)))</x:f>
        <x:v>99</x:v>
      </x:c>
      <x:c r="Y283" s="6" t="n">
        <x:f>IF('Debt strategy'!$C$16&gt;0,0,MIN(U283+V283-W283,MAX(0,'Debt strategy'!$C$5-SUM(E283,K283,Q283,W283,AC283)-SUM(IF(F283&lt;X283,C283+D283-E283,0),IF(L283&lt;X283,I283+J283-K283,0),IF(R283&lt;X283,O283+P283-Q283,0),IF(AD283&lt;X283,AA283+AB283-AC283,0)))))</x:f>
        <x:v>0</x:v>
      </x:c>
      <x:c r="Z283" s="6" t="n">
        <x:f>ROUND(MAX(0,U283+V283-W283-Y283),2)</x:f>
        <x:v>0</x:v>
      </x:c>
      <x:c r="AA283" s="6" t="n">
        <x:f>AF282</x:f>
        <x:v>0</x:v>
      </x:c>
      <x:c r="AB283" s="6" t="n">
        <x:f>ROUND(AA283*'Debt strategy'!$D$13/12,2)</x:f>
        <x:v>0</x:v>
      </x:c>
      <x:c r="AC283" s="6" t="n">
        <x:f>MIN(AA283+AB283,'Debt strategy'!$E$13)</x:f>
        <x:v>0</x:v>
      </x:c>
      <x:c r="AD283" s="27" t="n">
        <x:f>IF(AA283+AB283-AC283&lt;=0,99,1+SUM(IF(AND(C283+D283-E283&gt;0,OR('Debt strategy'!$D$9&gt;'Debt strategy'!$D$13,AND('Debt strategy'!$D$9='Debt strategy'!$D$13,0&lt;4))),1,0),IF(AND(I283+J283-K283&gt;0,OR('Debt strategy'!$D$10&gt;'Debt strategy'!$D$13,AND('Debt strategy'!$D$10='Debt strategy'!$D$13,1&lt;4))),1,0),IF(AND(O283+P283-Q283&gt;0,OR('Debt strategy'!$D$11&gt;'Debt strategy'!$D$13,AND('Debt strategy'!$D$11='Debt strategy'!$D$13,2&lt;4))),1,0),IF(AND(U283+V283-W283&gt;0,OR('Debt strategy'!$D$12&gt;'Debt strategy'!$D$13,AND('Debt strategy'!$D$12='Debt strategy'!$D$13,3&lt;4))),1,0)))</x:f>
        <x:v>99</x:v>
      </x:c>
      <x:c r="AE283" s="6" t="n">
        <x:f>IF('Debt strategy'!$C$16&gt;0,0,MIN(AA283+AB283-AC283,MAX(0,'Debt strategy'!$C$5-SUM(E283,K283,Q283,W283,AC283)-SUM(IF(F283&lt;AD283,C283+D283-E283,0),IF(L283&lt;AD283,I283+J283-K283,0),IF(R283&lt;AD283,O283+P283-Q283,0),IF(X283&lt;AD283,U283+V283-W283,0)))))</x:f>
        <x:v>0</x:v>
      </x:c>
      <x:c r="AF283" s="6" t="n">
        <x:f>ROUND(MAX(0,AA283+AB283-AC283-AE283),2)</x:f>
        <x:v>0</x:v>
      </x:c>
      <x:c r="AG283" s="6" t="n">
        <x:f>SUM(H283,N283,T283,Z283,AF283)</x:f>
        <x:v>0</x:v>
      </x:c>
      <x:c r="AH283" s="6" t="n">
        <x:f>SUM(D283,J283,P283,V283,AB283)+AH282</x:f>
        <x:v>1220.8400000000001</x:v>
      </x:c>
      <x:c r="AI283" s="2"/>
    </x:row>
    <x:row r="284" ht="23" customHeight="1">
      <x:c r="B284" s="2" t="n">
        <x:f>276</x:f>
        <x:v>276</x:v>
      </x:c>
      <x:c r="C284" s="6" t="n">
        <x:f>H283</x:f>
        <x:v>0</x:v>
      </x:c>
      <x:c r="D284" s="6" t="n">
        <x:f>ROUND(C284*'Debt strategy'!$D$9/12,2)</x:f>
        <x:v>0</x:v>
      </x:c>
      <x:c r="E284" s="6" t="n">
        <x:f>MIN(C284+D284,'Debt strategy'!$E$9)</x:f>
        <x:v>0</x:v>
      </x:c>
      <x:c r="F284" s="27" t="n">
        <x:f>IF(C284+D284-E284&lt;=0,99,1+SUM(IF(AND(I284+J284-K284&gt;0,OR('Debt strategy'!$D$10&gt;'Debt strategy'!$D$9,AND('Debt strategy'!$D$10='Debt strategy'!$D$9,1&lt;0))),1,0),IF(AND(O284+P284-Q284&gt;0,OR('Debt strategy'!$D$11&gt;'Debt strategy'!$D$9,AND('Debt strategy'!$D$11='Debt strategy'!$D$9,2&lt;0))),1,0),IF(AND(U284+V284-W284&gt;0,OR('Debt strategy'!$D$12&gt;'Debt strategy'!$D$9,AND('Debt strategy'!$D$12='Debt strategy'!$D$9,3&lt;0))),1,0),IF(AND(AA284+AB284-AC284&gt;0,OR('Debt strategy'!$D$13&gt;'Debt strategy'!$D$9,AND('Debt strategy'!$D$13='Debt strategy'!$D$9,4&lt;0))),1,0)))</x:f>
        <x:v>99</x:v>
      </x:c>
      <x:c r="G284" s="6" t="n">
        <x:f>IF('Debt strategy'!$C$16&gt;0,0,MIN(C284+D284-E284,MAX(0,'Debt strategy'!$C$5-SUM(E284,K284,Q284,W284,AC284)-SUM(IF(L284&lt;F284,I284+J284-K284,0),IF(R284&lt;F284,O284+P284-Q284,0),IF(X284&lt;F284,U284+V284-W284,0),IF(AD284&lt;F284,AA284+AB284-AC284,0)))))</x:f>
        <x:v>0</x:v>
      </x:c>
      <x:c r="H284" s="6" t="n">
        <x:f>ROUND(MAX(0,C284+D284-E284-G284),2)</x:f>
        <x:v>0</x:v>
      </x:c>
      <x:c r="I284" s="6" t="n">
        <x:f>N283</x:f>
        <x:v>0</x:v>
      </x:c>
      <x:c r="J284" s="6" t="n">
        <x:f>ROUND(I284*'Debt strategy'!$D$10/12,2)</x:f>
        <x:v>0</x:v>
      </x:c>
      <x:c r="K284" s="6" t="n">
        <x:f>MIN(I284+J284,'Debt strategy'!$E$10)</x:f>
        <x:v>0</x:v>
      </x:c>
      <x:c r="L284" s="27" t="n">
        <x:f>IF(I284+J284-K284&lt;=0,99,1+SUM(IF(AND(C284+D284-E284&gt;0,OR('Debt strategy'!$D$9&gt;'Debt strategy'!$D$10,AND('Debt strategy'!$D$9='Debt strategy'!$D$10,0&lt;1))),1,0),IF(AND(O284+P284-Q284&gt;0,OR('Debt strategy'!$D$11&gt;'Debt strategy'!$D$10,AND('Debt strategy'!$D$11='Debt strategy'!$D$10,2&lt;1))),1,0),IF(AND(U284+V284-W284&gt;0,OR('Debt strategy'!$D$12&gt;'Debt strategy'!$D$10,AND('Debt strategy'!$D$12='Debt strategy'!$D$10,3&lt;1))),1,0),IF(AND(AA284+AB284-AC284&gt;0,OR('Debt strategy'!$D$13&gt;'Debt strategy'!$D$10,AND('Debt strategy'!$D$13='Debt strategy'!$D$10,4&lt;1))),1,0)))</x:f>
        <x:v>99</x:v>
      </x:c>
      <x:c r="M284" s="6" t="n">
        <x:f>IF('Debt strategy'!$C$16&gt;0,0,MIN(I284+J284-K284,MAX(0,'Debt strategy'!$C$5-SUM(E284,K284,Q284,W284,AC284)-SUM(IF(F284&lt;L284,C284+D284-E284,0),IF(R284&lt;L284,O284+P284-Q284,0),IF(X284&lt;L284,U284+V284-W284,0),IF(AD284&lt;L284,AA284+AB284-AC284,0)))))</x:f>
        <x:v>0</x:v>
      </x:c>
      <x:c r="N284" s="6" t="n">
        <x:f>ROUND(MAX(0,I284+J284-K284-M284),2)</x:f>
        <x:v>0</x:v>
      </x:c>
      <x:c r="O284" s="6" t="n">
        <x:f>T283</x:f>
        <x:v>0</x:v>
      </x:c>
      <x:c r="P284" s="6" t="n">
        <x:f>ROUND(O284*'Debt strategy'!$D$11/12,2)</x:f>
        <x:v>0</x:v>
      </x:c>
      <x:c r="Q284" s="6" t="n">
        <x:f>MIN(O284+P284,'Debt strategy'!$E$11)</x:f>
        <x:v>0</x:v>
      </x:c>
      <x:c r="R284" s="27" t="n">
        <x:f>IF(O284+P284-Q284&lt;=0,99,1+SUM(IF(AND(C284+D284-E284&gt;0,OR('Debt strategy'!$D$9&gt;'Debt strategy'!$D$11,AND('Debt strategy'!$D$9='Debt strategy'!$D$11,0&lt;2))),1,0),IF(AND(I284+J284-K284&gt;0,OR('Debt strategy'!$D$10&gt;'Debt strategy'!$D$11,AND('Debt strategy'!$D$10='Debt strategy'!$D$11,1&lt;2))),1,0),IF(AND(U284+V284-W284&gt;0,OR('Debt strategy'!$D$12&gt;'Debt strategy'!$D$11,AND('Debt strategy'!$D$12='Debt strategy'!$D$11,3&lt;2))),1,0),IF(AND(AA284+AB284-AC284&gt;0,OR('Debt strategy'!$D$13&gt;'Debt strategy'!$D$11,AND('Debt strategy'!$D$13='Debt strategy'!$D$11,4&lt;2))),1,0)))</x:f>
        <x:v>99</x:v>
      </x:c>
      <x:c r="S284" s="6" t="n">
        <x:f>IF('Debt strategy'!$C$16&gt;0,0,MIN(O284+P284-Q284,MAX(0,'Debt strategy'!$C$5-SUM(E284,K284,Q284,W284,AC284)-SUM(IF(F284&lt;R284,C284+D284-E284,0),IF(L284&lt;R284,I284+J284-K284,0),IF(X284&lt;R284,U284+V284-W284,0),IF(AD284&lt;R284,AA284+AB284-AC284,0)))))</x:f>
        <x:v>0</x:v>
      </x:c>
      <x:c r="T284" s="6" t="n">
        <x:f>ROUND(MAX(0,O284+P284-Q284-S284),2)</x:f>
        <x:v>0</x:v>
      </x:c>
      <x:c r="U284" s="6" t="n">
        <x:f>Z283</x:f>
        <x:v>0</x:v>
      </x:c>
      <x:c r="V284" s="6" t="n">
        <x:f>ROUND(U284*'Debt strategy'!$D$12/12,2)</x:f>
        <x:v>0</x:v>
      </x:c>
      <x:c r="W284" s="6" t="n">
        <x:f>MIN(U284+V284,'Debt strategy'!$E$12)</x:f>
        <x:v>0</x:v>
      </x:c>
      <x:c r="X284" s="27" t="n">
        <x:f>IF(U284+V284-W284&lt;=0,99,1+SUM(IF(AND(C284+D284-E284&gt;0,OR('Debt strategy'!$D$9&gt;'Debt strategy'!$D$12,AND('Debt strategy'!$D$9='Debt strategy'!$D$12,0&lt;3))),1,0),IF(AND(I284+J284-K284&gt;0,OR('Debt strategy'!$D$10&gt;'Debt strategy'!$D$12,AND('Debt strategy'!$D$10='Debt strategy'!$D$12,1&lt;3))),1,0),IF(AND(O284+P284-Q284&gt;0,OR('Debt strategy'!$D$11&gt;'Debt strategy'!$D$12,AND('Debt strategy'!$D$11='Debt strategy'!$D$12,2&lt;3))),1,0),IF(AND(AA284+AB284-AC284&gt;0,OR('Debt strategy'!$D$13&gt;'Debt strategy'!$D$12,AND('Debt strategy'!$D$13='Debt strategy'!$D$12,4&lt;3))),1,0)))</x:f>
        <x:v>99</x:v>
      </x:c>
      <x:c r="Y284" s="6" t="n">
        <x:f>IF('Debt strategy'!$C$16&gt;0,0,MIN(U284+V284-W284,MAX(0,'Debt strategy'!$C$5-SUM(E284,K284,Q284,W284,AC284)-SUM(IF(F284&lt;X284,C284+D284-E284,0),IF(L284&lt;X284,I284+J284-K284,0),IF(R284&lt;X284,O284+P284-Q284,0),IF(AD284&lt;X284,AA284+AB284-AC284,0)))))</x:f>
        <x:v>0</x:v>
      </x:c>
      <x:c r="Z284" s="6" t="n">
        <x:f>ROUND(MAX(0,U284+V284-W284-Y284),2)</x:f>
        <x:v>0</x:v>
      </x:c>
      <x:c r="AA284" s="6" t="n">
        <x:f>AF283</x:f>
        <x:v>0</x:v>
      </x:c>
      <x:c r="AB284" s="6" t="n">
        <x:f>ROUND(AA284*'Debt strategy'!$D$13/12,2)</x:f>
        <x:v>0</x:v>
      </x:c>
      <x:c r="AC284" s="6" t="n">
        <x:f>MIN(AA284+AB284,'Debt strategy'!$E$13)</x:f>
        <x:v>0</x:v>
      </x:c>
      <x:c r="AD284" s="27" t="n">
        <x:f>IF(AA284+AB284-AC284&lt;=0,99,1+SUM(IF(AND(C284+D284-E284&gt;0,OR('Debt strategy'!$D$9&gt;'Debt strategy'!$D$13,AND('Debt strategy'!$D$9='Debt strategy'!$D$13,0&lt;4))),1,0),IF(AND(I284+J284-K284&gt;0,OR('Debt strategy'!$D$10&gt;'Debt strategy'!$D$13,AND('Debt strategy'!$D$10='Debt strategy'!$D$13,1&lt;4))),1,0),IF(AND(O284+P284-Q284&gt;0,OR('Debt strategy'!$D$11&gt;'Debt strategy'!$D$13,AND('Debt strategy'!$D$11='Debt strategy'!$D$13,2&lt;4))),1,0),IF(AND(U284+V284-W284&gt;0,OR('Debt strategy'!$D$12&gt;'Debt strategy'!$D$13,AND('Debt strategy'!$D$12='Debt strategy'!$D$13,3&lt;4))),1,0)))</x:f>
        <x:v>99</x:v>
      </x:c>
      <x:c r="AE284" s="6" t="n">
        <x:f>IF('Debt strategy'!$C$16&gt;0,0,MIN(AA284+AB284-AC284,MAX(0,'Debt strategy'!$C$5-SUM(E284,K284,Q284,W284,AC284)-SUM(IF(F284&lt;AD284,C284+D284-E284,0),IF(L284&lt;AD284,I284+J284-K284,0),IF(R284&lt;AD284,O284+P284-Q284,0),IF(X284&lt;AD284,U284+V284-W284,0)))))</x:f>
        <x:v>0</x:v>
      </x:c>
      <x:c r="AF284" s="6" t="n">
        <x:f>ROUND(MAX(0,AA284+AB284-AC284-AE284),2)</x:f>
        <x:v>0</x:v>
      </x:c>
      <x:c r="AG284" s="6" t="n">
        <x:f>SUM(H284,N284,T284,Z284,AF284)</x:f>
        <x:v>0</x:v>
      </x:c>
      <x:c r="AH284" s="6" t="n">
        <x:f>SUM(D284,J284,P284,V284,AB284)+AH283</x:f>
        <x:v>1220.8400000000001</x:v>
      </x:c>
      <x:c r="AI284" s="2"/>
    </x:row>
    <x:row r="285" ht="23" customHeight="1">
      <x:c r="B285" s="2" t="n">
        <x:f>277</x:f>
        <x:v>277</x:v>
      </x:c>
      <x:c r="C285" s="6" t="n">
        <x:f>H284</x:f>
        <x:v>0</x:v>
      </x:c>
      <x:c r="D285" s="6" t="n">
        <x:f>ROUND(C285*'Debt strategy'!$D$9/12,2)</x:f>
        <x:v>0</x:v>
      </x:c>
      <x:c r="E285" s="6" t="n">
        <x:f>MIN(C285+D285,'Debt strategy'!$E$9)</x:f>
        <x:v>0</x:v>
      </x:c>
      <x:c r="F285" s="27" t="n">
        <x:f>IF(C285+D285-E285&lt;=0,99,1+SUM(IF(AND(I285+J285-K285&gt;0,OR('Debt strategy'!$D$10&gt;'Debt strategy'!$D$9,AND('Debt strategy'!$D$10='Debt strategy'!$D$9,1&lt;0))),1,0),IF(AND(O285+P285-Q285&gt;0,OR('Debt strategy'!$D$11&gt;'Debt strategy'!$D$9,AND('Debt strategy'!$D$11='Debt strategy'!$D$9,2&lt;0))),1,0),IF(AND(U285+V285-W285&gt;0,OR('Debt strategy'!$D$12&gt;'Debt strategy'!$D$9,AND('Debt strategy'!$D$12='Debt strategy'!$D$9,3&lt;0))),1,0),IF(AND(AA285+AB285-AC285&gt;0,OR('Debt strategy'!$D$13&gt;'Debt strategy'!$D$9,AND('Debt strategy'!$D$13='Debt strategy'!$D$9,4&lt;0))),1,0)))</x:f>
        <x:v>99</x:v>
      </x:c>
      <x:c r="G285" s="6" t="n">
        <x:f>IF('Debt strategy'!$C$16&gt;0,0,MIN(C285+D285-E285,MAX(0,'Debt strategy'!$C$5-SUM(E285,K285,Q285,W285,AC285)-SUM(IF(L285&lt;F285,I285+J285-K285,0),IF(R285&lt;F285,O285+P285-Q285,0),IF(X285&lt;F285,U285+V285-W285,0),IF(AD285&lt;F285,AA285+AB285-AC285,0)))))</x:f>
        <x:v>0</x:v>
      </x:c>
      <x:c r="H285" s="6" t="n">
        <x:f>ROUND(MAX(0,C285+D285-E285-G285),2)</x:f>
        <x:v>0</x:v>
      </x:c>
      <x:c r="I285" s="6" t="n">
        <x:f>N284</x:f>
        <x:v>0</x:v>
      </x:c>
      <x:c r="J285" s="6" t="n">
        <x:f>ROUND(I285*'Debt strategy'!$D$10/12,2)</x:f>
        <x:v>0</x:v>
      </x:c>
      <x:c r="K285" s="6" t="n">
        <x:f>MIN(I285+J285,'Debt strategy'!$E$10)</x:f>
        <x:v>0</x:v>
      </x:c>
      <x:c r="L285" s="27" t="n">
        <x:f>IF(I285+J285-K285&lt;=0,99,1+SUM(IF(AND(C285+D285-E285&gt;0,OR('Debt strategy'!$D$9&gt;'Debt strategy'!$D$10,AND('Debt strategy'!$D$9='Debt strategy'!$D$10,0&lt;1))),1,0),IF(AND(O285+P285-Q285&gt;0,OR('Debt strategy'!$D$11&gt;'Debt strategy'!$D$10,AND('Debt strategy'!$D$11='Debt strategy'!$D$10,2&lt;1))),1,0),IF(AND(U285+V285-W285&gt;0,OR('Debt strategy'!$D$12&gt;'Debt strategy'!$D$10,AND('Debt strategy'!$D$12='Debt strategy'!$D$10,3&lt;1))),1,0),IF(AND(AA285+AB285-AC285&gt;0,OR('Debt strategy'!$D$13&gt;'Debt strategy'!$D$10,AND('Debt strategy'!$D$13='Debt strategy'!$D$10,4&lt;1))),1,0)))</x:f>
        <x:v>99</x:v>
      </x:c>
      <x:c r="M285" s="6" t="n">
        <x:f>IF('Debt strategy'!$C$16&gt;0,0,MIN(I285+J285-K285,MAX(0,'Debt strategy'!$C$5-SUM(E285,K285,Q285,W285,AC285)-SUM(IF(F285&lt;L285,C285+D285-E285,0),IF(R285&lt;L285,O285+P285-Q285,0),IF(X285&lt;L285,U285+V285-W285,0),IF(AD285&lt;L285,AA285+AB285-AC285,0)))))</x:f>
        <x:v>0</x:v>
      </x:c>
      <x:c r="N285" s="6" t="n">
        <x:f>ROUND(MAX(0,I285+J285-K285-M285),2)</x:f>
        <x:v>0</x:v>
      </x:c>
      <x:c r="O285" s="6" t="n">
        <x:f>T284</x:f>
        <x:v>0</x:v>
      </x:c>
      <x:c r="P285" s="6" t="n">
        <x:f>ROUND(O285*'Debt strategy'!$D$11/12,2)</x:f>
        <x:v>0</x:v>
      </x:c>
      <x:c r="Q285" s="6" t="n">
        <x:f>MIN(O285+P285,'Debt strategy'!$E$11)</x:f>
        <x:v>0</x:v>
      </x:c>
      <x:c r="R285" s="27" t="n">
        <x:f>IF(O285+P285-Q285&lt;=0,99,1+SUM(IF(AND(C285+D285-E285&gt;0,OR('Debt strategy'!$D$9&gt;'Debt strategy'!$D$11,AND('Debt strategy'!$D$9='Debt strategy'!$D$11,0&lt;2))),1,0),IF(AND(I285+J285-K285&gt;0,OR('Debt strategy'!$D$10&gt;'Debt strategy'!$D$11,AND('Debt strategy'!$D$10='Debt strategy'!$D$11,1&lt;2))),1,0),IF(AND(U285+V285-W285&gt;0,OR('Debt strategy'!$D$12&gt;'Debt strategy'!$D$11,AND('Debt strategy'!$D$12='Debt strategy'!$D$11,3&lt;2))),1,0),IF(AND(AA285+AB285-AC285&gt;0,OR('Debt strategy'!$D$13&gt;'Debt strategy'!$D$11,AND('Debt strategy'!$D$13='Debt strategy'!$D$11,4&lt;2))),1,0)))</x:f>
        <x:v>99</x:v>
      </x:c>
      <x:c r="S285" s="6" t="n">
        <x:f>IF('Debt strategy'!$C$16&gt;0,0,MIN(O285+P285-Q285,MAX(0,'Debt strategy'!$C$5-SUM(E285,K285,Q285,W285,AC285)-SUM(IF(F285&lt;R285,C285+D285-E285,0),IF(L285&lt;R285,I285+J285-K285,0),IF(X285&lt;R285,U285+V285-W285,0),IF(AD285&lt;R285,AA285+AB285-AC285,0)))))</x:f>
        <x:v>0</x:v>
      </x:c>
      <x:c r="T285" s="6" t="n">
        <x:f>ROUND(MAX(0,O285+P285-Q285-S285),2)</x:f>
        <x:v>0</x:v>
      </x:c>
      <x:c r="U285" s="6" t="n">
        <x:f>Z284</x:f>
        <x:v>0</x:v>
      </x:c>
      <x:c r="V285" s="6" t="n">
        <x:f>ROUND(U285*'Debt strategy'!$D$12/12,2)</x:f>
        <x:v>0</x:v>
      </x:c>
      <x:c r="W285" s="6" t="n">
        <x:f>MIN(U285+V285,'Debt strategy'!$E$12)</x:f>
        <x:v>0</x:v>
      </x:c>
      <x:c r="X285" s="27" t="n">
        <x:f>IF(U285+V285-W285&lt;=0,99,1+SUM(IF(AND(C285+D285-E285&gt;0,OR('Debt strategy'!$D$9&gt;'Debt strategy'!$D$12,AND('Debt strategy'!$D$9='Debt strategy'!$D$12,0&lt;3))),1,0),IF(AND(I285+J285-K285&gt;0,OR('Debt strategy'!$D$10&gt;'Debt strategy'!$D$12,AND('Debt strategy'!$D$10='Debt strategy'!$D$12,1&lt;3))),1,0),IF(AND(O285+P285-Q285&gt;0,OR('Debt strategy'!$D$11&gt;'Debt strategy'!$D$12,AND('Debt strategy'!$D$11='Debt strategy'!$D$12,2&lt;3))),1,0),IF(AND(AA285+AB285-AC285&gt;0,OR('Debt strategy'!$D$13&gt;'Debt strategy'!$D$12,AND('Debt strategy'!$D$13='Debt strategy'!$D$12,4&lt;3))),1,0)))</x:f>
        <x:v>99</x:v>
      </x:c>
      <x:c r="Y285" s="6" t="n">
        <x:f>IF('Debt strategy'!$C$16&gt;0,0,MIN(U285+V285-W285,MAX(0,'Debt strategy'!$C$5-SUM(E285,K285,Q285,W285,AC285)-SUM(IF(F285&lt;X285,C285+D285-E285,0),IF(L285&lt;X285,I285+J285-K285,0),IF(R285&lt;X285,O285+P285-Q285,0),IF(AD285&lt;X285,AA285+AB285-AC285,0)))))</x:f>
        <x:v>0</x:v>
      </x:c>
      <x:c r="Z285" s="6" t="n">
        <x:f>ROUND(MAX(0,U285+V285-W285-Y285),2)</x:f>
        <x:v>0</x:v>
      </x:c>
      <x:c r="AA285" s="6" t="n">
        <x:f>AF284</x:f>
        <x:v>0</x:v>
      </x:c>
      <x:c r="AB285" s="6" t="n">
        <x:f>ROUND(AA285*'Debt strategy'!$D$13/12,2)</x:f>
        <x:v>0</x:v>
      </x:c>
      <x:c r="AC285" s="6" t="n">
        <x:f>MIN(AA285+AB285,'Debt strategy'!$E$13)</x:f>
        <x:v>0</x:v>
      </x:c>
      <x:c r="AD285" s="27" t="n">
        <x:f>IF(AA285+AB285-AC285&lt;=0,99,1+SUM(IF(AND(C285+D285-E285&gt;0,OR('Debt strategy'!$D$9&gt;'Debt strategy'!$D$13,AND('Debt strategy'!$D$9='Debt strategy'!$D$13,0&lt;4))),1,0),IF(AND(I285+J285-K285&gt;0,OR('Debt strategy'!$D$10&gt;'Debt strategy'!$D$13,AND('Debt strategy'!$D$10='Debt strategy'!$D$13,1&lt;4))),1,0),IF(AND(O285+P285-Q285&gt;0,OR('Debt strategy'!$D$11&gt;'Debt strategy'!$D$13,AND('Debt strategy'!$D$11='Debt strategy'!$D$13,2&lt;4))),1,0),IF(AND(U285+V285-W285&gt;0,OR('Debt strategy'!$D$12&gt;'Debt strategy'!$D$13,AND('Debt strategy'!$D$12='Debt strategy'!$D$13,3&lt;4))),1,0)))</x:f>
        <x:v>99</x:v>
      </x:c>
      <x:c r="AE285" s="6" t="n">
        <x:f>IF('Debt strategy'!$C$16&gt;0,0,MIN(AA285+AB285-AC285,MAX(0,'Debt strategy'!$C$5-SUM(E285,K285,Q285,W285,AC285)-SUM(IF(F285&lt;AD285,C285+D285-E285,0),IF(L285&lt;AD285,I285+J285-K285,0),IF(R285&lt;AD285,O285+P285-Q285,0),IF(X285&lt;AD285,U285+V285-W285,0)))))</x:f>
        <x:v>0</x:v>
      </x:c>
      <x:c r="AF285" s="6" t="n">
        <x:f>ROUND(MAX(0,AA285+AB285-AC285-AE285),2)</x:f>
        <x:v>0</x:v>
      </x:c>
      <x:c r="AG285" s="6" t="n">
        <x:f>SUM(H285,N285,T285,Z285,AF285)</x:f>
        <x:v>0</x:v>
      </x:c>
      <x:c r="AH285" s="6" t="n">
        <x:f>SUM(D285,J285,P285,V285,AB285)+AH284</x:f>
        <x:v>1220.8400000000001</x:v>
      </x:c>
      <x:c r="AI285" s="2"/>
    </x:row>
    <x:row r="286" ht="23" customHeight="1">
      <x:c r="B286" s="2" t="n">
        <x:f>278</x:f>
        <x:v>278</x:v>
      </x:c>
      <x:c r="C286" s="6" t="n">
        <x:f>H285</x:f>
        <x:v>0</x:v>
      </x:c>
      <x:c r="D286" s="6" t="n">
        <x:f>ROUND(C286*'Debt strategy'!$D$9/12,2)</x:f>
        <x:v>0</x:v>
      </x:c>
      <x:c r="E286" s="6" t="n">
        <x:f>MIN(C286+D286,'Debt strategy'!$E$9)</x:f>
        <x:v>0</x:v>
      </x:c>
      <x:c r="F286" s="27" t="n">
        <x:f>IF(C286+D286-E286&lt;=0,99,1+SUM(IF(AND(I286+J286-K286&gt;0,OR('Debt strategy'!$D$10&gt;'Debt strategy'!$D$9,AND('Debt strategy'!$D$10='Debt strategy'!$D$9,1&lt;0))),1,0),IF(AND(O286+P286-Q286&gt;0,OR('Debt strategy'!$D$11&gt;'Debt strategy'!$D$9,AND('Debt strategy'!$D$11='Debt strategy'!$D$9,2&lt;0))),1,0),IF(AND(U286+V286-W286&gt;0,OR('Debt strategy'!$D$12&gt;'Debt strategy'!$D$9,AND('Debt strategy'!$D$12='Debt strategy'!$D$9,3&lt;0))),1,0),IF(AND(AA286+AB286-AC286&gt;0,OR('Debt strategy'!$D$13&gt;'Debt strategy'!$D$9,AND('Debt strategy'!$D$13='Debt strategy'!$D$9,4&lt;0))),1,0)))</x:f>
        <x:v>99</x:v>
      </x:c>
      <x:c r="G286" s="6" t="n">
        <x:f>IF('Debt strategy'!$C$16&gt;0,0,MIN(C286+D286-E286,MAX(0,'Debt strategy'!$C$5-SUM(E286,K286,Q286,W286,AC286)-SUM(IF(L286&lt;F286,I286+J286-K286,0),IF(R286&lt;F286,O286+P286-Q286,0),IF(X286&lt;F286,U286+V286-W286,0),IF(AD286&lt;F286,AA286+AB286-AC286,0)))))</x:f>
        <x:v>0</x:v>
      </x:c>
      <x:c r="H286" s="6" t="n">
        <x:f>ROUND(MAX(0,C286+D286-E286-G286),2)</x:f>
        <x:v>0</x:v>
      </x:c>
      <x:c r="I286" s="6" t="n">
        <x:f>N285</x:f>
        <x:v>0</x:v>
      </x:c>
      <x:c r="J286" s="6" t="n">
        <x:f>ROUND(I286*'Debt strategy'!$D$10/12,2)</x:f>
        <x:v>0</x:v>
      </x:c>
      <x:c r="K286" s="6" t="n">
        <x:f>MIN(I286+J286,'Debt strategy'!$E$10)</x:f>
        <x:v>0</x:v>
      </x:c>
      <x:c r="L286" s="27" t="n">
        <x:f>IF(I286+J286-K286&lt;=0,99,1+SUM(IF(AND(C286+D286-E286&gt;0,OR('Debt strategy'!$D$9&gt;'Debt strategy'!$D$10,AND('Debt strategy'!$D$9='Debt strategy'!$D$10,0&lt;1))),1,0),IF(AND(O286+P286-Q286&gt;0,OR('Debt strategy'!$D$11&gt;'Debt strategy'!$D$10,AND('Debt strategy'!$D$11='Debt strategy'!$D$10,2&lt;1))),1,0),IF(AND(U286+V286-W286&gt;0,OR('Debt strategy'!$D$12&gt;'Debt strategy'!$D$10,AND('Debt strategy'!$D$12='Debt strategy'!$D$10,3&lt;1))),1,0),IF(AND(AA286+AB286-AC286&gt;0,OR('Debt strategy'!$D$13&gt;'Debt strategy'!$D$10,AND('Debt strategy'!$D$13='Debt strategy'!$D$10,4&lt;1))),1,0)))</x:f>
        <x:v>99</x:v>
      </x:c>
      <x:c r="M286" s="6" t="n">
        <x:f>IF('Debt strategy'!$C$16&gt;0,0,MIN(I286+J286-K286,MAX(0,'Debt strategy'!$C$5-SUM(E286,K286,Q286,W286,AC286)-SUM(IF(F286&lt;L286,C286+D286-E286,0),IF(R286&lt;L286,O286+P286-Q286,0),IF(X286&lt;L286,U286+V286-W286,0),IF(AD286&lt;L286,AA286+AB286-AC286,0)))))</x:f>
        <x:v>0</x:v>
      </x:c>
      <x:c r="N286" s="6" t="n">
        <x:f>ROUND(MAX(0,I286+J286-K286-M286),2)</x:f>
        <x:v>0</x:v>
      </x:c>
      <x:c r="O286" s="6" t="n">
        <x:f>T285</x:f>
        <x:v>0</x:v>
      </x:c>
      <x:c r="P286" s="6" t="n">
        <x:f>ROUND(O286*'Debt strategy'!$D$11/12,2)</x:f>
        <x:v>0</x:v>
      </x:c>
      <x:c r="Q286" s="6" t="n">
        <x:f>MIN(O286+P286,'Debt strategy'!$E$11)</x:f>
        <x:v>0</x:v>
      </x:c>
      <x:c r="R286" s="27" t="n">
        <x:f>IF(O286+P286-Q286&lt;=0,99,1+SUM(IF(AND(C286+D286-E286&gt;0,OR('Debt strategy'!$D$9&gt;'Debt strategy'!$D$11,AND('Debt strategy'!$D$9='Debt strategy'!$D$11,0&lt;2))),1,0),IF(AND(I286+J286-K286&gt;0,OR('Debt strategy'!$D$10&gt;'Debt strategy'!$D$11,AND('Debt strategy'!$D$10='Debt strategy'!$D$11,1&lt;2))),1,0),IF(AND(U286+V286-W286&gt;0,OR('Debt strategy'!$D$12&gt;'Debt strategy'!$D$11,AND('Debt strategy'!$D$12='Debt strategy'!$D$11,3&lt;2))),1,0),IF(AND(AA286+AB286-AC286&gt;0,OR('Debt strategy'!$D$13&gt;'Debt strategy'!$D$11,AND('Debt strategy'!$D$13='Debt strategy'!$D$11,4&lt;2))),1,0)))</x:f>
        <x:v>99</x:v>
      </x:c>
      <x:c r="S286" s="6" t="n">
        <x:f>IF('Debt strategy'!$C$16&gt;0,0,MIN(O286+P286-Q286,MAX(0,'Debt strategy'!$C$5-SUM(E286,K286,Q286,W286,AC286)-SUM(IF(F286&lt;R286,C286+D286-E286,0),IF(L286&lt;R286,I286+J286-K286,0),IF(X286&lt;R286,U286+V286-W286,0),IF(AD286&lt;R286,AA286+AB286-AC286,0)))))</x:f>
        <x:v>0</x:v>
      </x:c>
      <x:c r="T286" s="6" t="n">
        <x:f>ROUND(MAX(0,O286+P286-Q286-S286),2)</x:f>
        <x:v>0</x:v>
      </x:c>
      <x:c r="U286" s="6" t="n">
        <x:f>Z285</x:f>
        <x:v>0</x:v>
      </x:c>
      <x:c r="V286" s="6" t="n">
        <x:f>ROUND(U286*'Debt strategy'!$D$12/12,2)</x:f>
        <x:v>0</x:v>
      </x:c>
      <x:c r="W286" s="6" t="n">
        <x:f>MIN(U286+V286,'Debt strategy'!$E$12)</x:f>
        <x:v>0</x:v>
      </x:c>
      <x:c r="X286" s="27" t="n">
        <x:f>IF(U286+V286-W286&lt;=0,99,1+SUM(IF(AND(C286+D286-E286&gt;0,OR('Debt strategy'!$D$9&gt;'Debt strategy'!$D$12,AND('Debt strategy'!$D$9='Debt strategy'!$D$12,0&lt;3))),1,0),IF(AND(I286+J286-K286&gt;0,OR('Debt strategy'!$D$10&gt;'Debt strategy'!$D$12,AND('Debt strategy'!$D$10='Debt strategy'!$D$12,1&lt;3))),1,0),IF(AND(O286+P286-Q286&gt;0,OR('Debt strategy'!$D$11&gt;'Debt strategy'!$D$12,AND('Debt strategy'!$D$11='Debt strategy'!$D$12,2&lt;3))),1,0),IF(AND(AA286+AB286-AC286&gt;0,OR('Debt strategy'!$D$13&gt;'Debt strategy'!$D$12,AND('Debt strategy'!$D$13='Debt strategy'!$D$12,4&lt;3))),1,0)))</x:f>
        <x:v>99</x:v>
      </x:c>
      <x:c r="Y286" s="6" t="n">
        <x:f>IF('Debt strategy'!$C$16&gt;0,0,MIN(U286+V286-W286,MAX(0,'Debt strategy'!$C$5-SUM(E286,K286,Q286,W286,AC286)-SUM(IF(F286&lt;X286,C286+D286-E286,0),IF(L286&lt;X286,I286+J286-K286,0),IF(R286&lt;X286,O286+P286-Q286,0),IF(AD286&lt;X286,AA286+AB286-AC286,0)))))</x:f>
        <x:v>0</x:v>
      </x:c>
      <x:c r="Z286" s="6" t="n">
        <x:f>ROUND(MAX(0,U286+V286-W286-Y286),2)</x:f>
        <x:v>0</x:v>
      </x:c>
      <x:c r="AA286" s="6" t="n">
        <x:f>AF285</x:f>
        <x:v>0</x:v>
      </x:c>
      <x:c r="AB286" s="6" t="n">
        <x:f>ROUND(AA286*'Debt strategy'!$D$13/12,2)</x:f>
        <x:v>0</x:v>
      </x:c>
      <x:c r="AC286" s="6" t="n">
        <x:f>MIN(AA286+AB286,'Debt strategy'!$E$13)</x:f>
        <x:v>0</x:v>
      </x:c>
      <x:c r="AD286" s="27" t="n">
        <x:f>IF(AA286+AB286-AC286&lt;=0,99,1+SUM(IF(AND(C286+D286-E286&gt;0,OR('Debt strategy'!$D$9&gt;'Debt strategy'!$D$13,AND('Debt strategy'!$D$9='Debt strategy'!$D$13,0&lt;4))),1,0),IF(AND(I286+J286-K286&gt;0,OR('Debt strategy'!$D$10&gt;'Debt strategy'!$D$13,AND('Debt strategy'!$D$10='Debt strategy'!$D$13,1&lt;4))),1,0),IF(AND(O286+P286-Q286&gt;0,OR('Debt strategy'!$D$11&gt;'Debt strategy'!$D$13,AND('Debt strategy'!$D$11='Debt strategy'!$D$13,2&lt;4))),1,0),IF(AND(U286+V286-W286&gt;0,OR('Debt strategy'!$D$12&gt;'Debt strategy'!$D$13,AND('Debt strategy'!$D$12='Debt strategy'!$D$13,3&lt;4))),1,0)))</x:f>
        <x:v>99</x:v>
      </x:c>
      <x:c r="AE286" s="6" t="n">
        <x:f>IF('Debt strategy'!$C$16&gt;0,0,MIN(AA286+AB286-AC286,MAX(0,'Debt strategy'!$C$5-SUM(E286,K286,Q286,W286,AC286)-SUM(IF(F286&lt;AD286,C286+D286-E286,0),IF(L286&lt;AD286,I286+J286-K286,0),IF(R286&lt;AD286,O286+P286-Q286,0),IF(X286&lt;AD286,U286+V286-W286,0)))))</x:f>
        <x:v>0</x:v>
      </x:c>
      <x:c r="AF286" s="6" t="n">
        <x:f>ROUND(MAX(0,AA286+AB286-AC286-AE286),2)</x:f>
        <x:v>0</x:v>
      </x:c>
      <x:c r="AG286" s="6" t="n">
        <x:f>SUM(H286,N286,T286,Z286,AF286)</x:f>
        <x:v>0</x:v>
      </x:c>
      <x:c r="AH286" s="6" t="n">
        <x:f>SUM(D286,J286,P286,V286,AB286)+AH285</x:f>
        <x:v>1220.8400000000001</x:v>
      </x:c>
      <x:c r="AI286" s="2"/>
    </x:row>
    <x:row r="287" ht="23" customHeight="1">
      <x:c r="B287" s="2" t="n">
        <x:f>279</x:f>
        <x:v>279</x:v>
      </x:c>
      <x:c r="C287" s="6" t="n">
        <x:f>H286</x:f>
        <x:v>0</x:v>
      </x:c>
      <x:c r="D287" s="6" t="n">
        <x:f>ROUND(C287*'Debt strategy'!$D$9/12,2)</x:f>
        <x:v>0</x:v>
      </x:c>
      <x:c r="E287" s="6" t="n">
        <x:f>MIN(C287+D287,'Debt strategy'!$E$9)</x:f>
        <x:v>0</x:v>
      </x:c>
      <x:c r="F287" s="27" t="n">
        <x:f>IF(C287+D287-E287&lt;=0,99,1+SUM(IF(AND(I287+J287-K287&gt;0,OR('Debt strategy'!$D$10&gt;'Debt strategy'!$D$9,AND('Debt strategy'!$D$10='Debt strategy'!$D$9,1&lt;0))),1,0),IF(AND(O287+P287-Q287&gt;0,OR('Debt strategy'!$D$11&gt;'Debt strategy'!$D$9,AND('Debt strategy'!$D$11='Debt strategy'!$D$9,2&lt;0))),1,0),IF(AND(U287+V287-W287&gt;0,OR('Debt strategy'!$D$12&gt;'Debt strategy'!$D$9,AND('Debt strategy'!$D$12='Debt strategy'!$D$9,3&lt;0))),1,0),IF(AND(AA287+AB287-AC287&gt;0,OR('Debt strategy'!$D$13&gt;'Debt strategy'!$D$9,AND('Debt strategy'!$D$13='Debt strategy'!$D$9,4&lt;0))),1,0)))</x:f>
        <x:v>99</x:v>
      </x:c>
      <x:c r="G287" s="6" t="n">
        <x:f>IF('Debt strategy'!$C$16&gt;0,0,MIN(C287+D287-E287,MAX(0,'Debt strategy'!$C$5-SUM(E287,K287,Q287,W287,AC287)-SUM(IF(L287&lt;F287,I287+J287-K287,0),IF(R287&lt;F287,O287+P287-Q287,0),IF(X287&lt;F287,U287+V287-W287,0),IF(AD287&lt;F287,AA287+AB287-AC287,0)))))</x:f>
        <x:v>0</x:v>
      </x:c>
      <x:c r="H287" s="6" t="n">
        <x:f>ROUND(MAX(0,C287+D287-E287-G287),2)</x:f>
        <x:v>0</x:v>
      </x:c>
      <x:c r="I287" s="6" t="n">
        <x:f>N286</x:f>
        <x:v>0</x:v>
      </x:c>
      <x:c r="J287" s="6" t="n">
        <x:f>ROUND(I287*'Debt strategy'!$D$10/12,2)</x:f>
        <x:v>0</x:v>
      </x:c>
      <x:c r="K287" s="6" t="n">
        <x:f>MIN(I287+J287,'Debt strategy'!$E$10)</x:f>
        <x:v>0</x:v>
      </x:c>
      <x:c r="L287" s="27" t="n">
        <x:f>IF(I287+J287-K287&lt;=0,99,1+SUM(IF(AND(C287+D287-E287&gt;0,OR('Debt strategy'!$D$9&gt;'Debt strategy'!$D$10,AND('Debt strategy'!$D$9='Debt strategy'!$D$10,0&lt;1))),1,0),IF(AND(O287+P287-Q287&gt;0,OR('Debt strategy'!$D$11&gt;'Debt strategy'!$D$10,AND('Debt strategy'!$D$11='Debt strategy'!$D$10,2&lt;1))),1,0),IF(AND(U287+V287-W287&gt;0,OR('Debt strategy'!$D$12&gt;'Debt strategy'!$D$10,AND('Debt strategy'!$D$12='Debt strategy'!$D$10,3&lt;1))),1,0),IF(AND(AA287+AB287-AC287&gt;0,OR('Debt strategy'!$D$13&gt;'Debt strategy'!$D$10,AND('Debt strategy'!$D$13='Debt strategy'!$D$10,4&lt;1))),1,0)))</x:f>
        <x:v>99</x:v>
      </x:c>
      <x:c r="M287" s="6" t="n">
        <x:f>IF('Debt strategy'!$C$16&gt;0,0,MIN(I287+J287-K287,MAX(0,'Debt strategy'!$C$5-SUM(E287,K287,Q287,W287,AC287)-SUM(IF(F287&lt;L287,C287+D287-E287,0),IF(R287&lt;L287,O287+P287-Q287,0),IF(X287&lt;L287,U287+V287-W287,0),IF(AD287&lt;L287,AA287+AB287-AC287,0)))))</x:f>
        <x:v>0</x:v>
      </x:c>
      <x:c r="N287" s="6" t="n">
        <x:f>ROUND(MAX(0,I287+J287-K287-M287),2)</x:f>
        <x:v>0</x:v>
      </x:c>
      <x:c r="O287" s="6" t="n">
        <x:f>T286</x:f>
        <x:v>0</x:v>
      </x:c>
      <x:c r="P287" s="6" t="n">
        <x:f>ROUND(O287*'Debt strategy'!$D$11/12,2)</x:f>
        <x:v>0</x:v>
      </x:c>
      <x:c r="Q287" s="6" t="n">
        <x:f>MIN(O287+P287,'Debt strategy'!$E$11)</x:f>
        <x:v>0</x:v>
      </x:c>
      <x:c r="R287" s="27" t="n">
        <x:f>IF(O287+P287-Q287&lt;=0,99,1+SUM(IF(AND(C287+D287-E287&gt;0,OR('Debt strategy'!$D$9&gt;'Debt strategy'!$D$11,AND('Debt strategy'!$D$9='Debt strategy'!$D$11,0&lt;2))),1,0),IF(AND(I287+J287-K287&gt;0,OR('Debt strategy'!$D$10&gt;'Debt strategy'!$D$11,AND('Debt strategy'!$D$10='Debt strategy'!$D$11,1&lt;2))),1,0),IF(AND(U287+V287-W287&gt;0,OR('Debt strategy'!$D$12&gt;'Debt strategy'!$D$11,AND('Debt strategy'!$D$12='Debt strategy'!$D$11,3&lt;2))),1,0),IF(AND(AA287+AB287-AC287&gt;0,OR('Debt strategy'!$D$13&gt;'Debt strategy'!$D$11,AND('Debt strategy'!$D$13='Debt strategy'!$D$11,4&lt;2))),1,0)))</x:f>
        <x:v>99</x:v>
      </x:c>
      <x:c r="S287" s="6" t="n">
        <x:f>IF('Debt strategy'!$C$16&gt;0,0,MIN(O287+P287-Q287,MAX(0,'Debt strategy'!$C$5-SUM(E287,K287,Q287,W287,AC287)-SUM(IF(F287&lt;R287,C287+D287-E287,0),IF(L287&lt;R287,I287+J287-K287,0),IF(X287&lt;R287,U287+V287-W287,0),IF(AD287&lt;R287,AA287+AB287-AC287,0)))))</x:f>
        <x:v>0</x:v>
      </x:c>
      <x:c r="T287" s="6" t="n">
        <x:f>ROUND(MAX(0,O287+P287-Q287-S287),2)</x:f>
        <x:v>0</x:v>
      </x:c>
      <x:c r="U287" s="6" t="n">
        <x:f>Z286</x:f>
        <x:v>0</x:v>
      </x:c>
      <x:c r="V287" s="6" t="n">
        <x:f>ROUND(U287*'Debt strategy'!$D$12/12,2)</x:f>
        <x:v>0</x:v>
      </x:c>
      <x:c r="W287" s="6" t="n">
        <x:f>MIN(U287+V287,'Debt strategy'!$E$12)</x:f>
        <x:v>0</x:v>
      </x:c>
      <x:c r="X287" s="27" t="n">
        <x:f>IF(U287+V287-W287&lt;=0,99,1+SUM(IF(AND(C287+D287-E287&gt;0,OR('Debt strategy'!$D$9&gt;'Debt strategy'!$D$12,AND('Debt strategy'!$D$9='Debt strategy'!$D$12,0&lt;3))),1,0),IF(AND(I287+J287-K287&gt;0,OR('Debt strategy'!$D$10&gt;'Debt strategy'!$D$12,AND('Debt strategy'!$D$10='Debt strategy'!$D$12,1&lt;3))),1,0),IF(AND(O287+P287-Q287&gt;0,OR('Debt strategy'!$D$11&gt;'Debt strategy'!$D$12,AND('Debt strategy'!$D$11='Debt strategy'!$D$12,2&lt;3))),1,0),IF(AND(AA287+AB287-AC287&gt;0,OR('Debt strategy'!$D$13&gt;'Debt strategy'!$D$12,AND('Debt strategy'!$D$13='Debt strategy'!$D$12,4&lt;3))),1,0)))</x:f>
        <x:v>99</x:v>
      </x:c>
      <x:c r="Y287" s="6" t="n">
        <x:f>IF('Debt strategy'!$C$16&gt;0,0,MIN(U287+V287-W287,MAX(0,'Debt strategy'!$C$5-SUM(E287,K287,Q287,W287,AC287)-SUM(IF(F287&lt;X287,C287+D287-E287,0),IF(L287&lt;X287,I287+J287-K287,0),IF(R287&lt;X287,O287+P287-Q287,0),IF(AD287&lt;X287,AA287+AB287-AC287,0)))))</x:f>
        <x:v>0</x:v>
      </x:c>
      <x:c r="Z287" s="6" t="n">
        <x:f>ROUND(MAX(0,U287+V287-W287-Y287),2)</x:f>
        <x:v>0</x:v>
      </x:c>
      <x:c r="AA287" s="6" t="n">
        <x:f>AF286</x:f>
        <x:v>0</x:v>
      </x:c>
      <x:c r="AB287" s="6" t="n">
        <x:f>ROUND(AA287*'Debt strategy'!$D$13/12,2)</x:f>
        <x:v>0</x:v>
      </x:c>
      <x:c r="AC287" s="6" t="n">
        <x:f>MIN(AA287+AB287,'Debt strategy'!$E$13)</x:f>
        <x:v>0</x:v>
      </x:c>
      <x:c r="AD287" s="27" t="n">
        <x:f>IF(AA287+AB287-AC287&lt;=0,99,1+SUM(IF(AND(C287+D287-E287&gt;0,OR('Debt strategy'!$D$9&gt;'Debt strategy'!$D$13,AND('Debt strategy'!$D$9='Debt strategy'!$D$13,0&lt;4))),1,0),IF(AND(I287+J287-K287&gt;0,OR('Debt strategy'!$D$10&gt;'Debt strategy'!$D$13,AND('Debt strategy'!$D$10='Debt strategy'!$D$13,1&lt;4))),1,0),IF(AND(O287+P287-Q287&gt;0,OR('Debt strategy'!$D$11&gt;'Debt strategy'!$D$13,AND('Debt strategy'!$D$11='Debt strategy'!$D$13,2&lt;4))),1,0),IF(AND(U287+V287-W287&gt;0,OR('Debt strategy'!$D$12&gt;'Debt strategy'!$D$13,AND('Debt strategy'!$D$12='Debt strategy'!$D$13,3&lt;4))),1,0)))</x:f>
        <x:v>99</x:v>
      </x:c>
      <x:c r="AE287" s="6" t="n">
        <x:f>IF('Debt strategy'!$C$16&gt;0,0,MIN(AA287+AB287-AC287,MAX(0,'Debt strategy'!$C$5-SUM(E287,K287,Q287,W287,AC287)-SUM(IF(F287&lt;AD287,C287+D287-E287,0),IF(L287&lt;AD287,I287+J287-K287,0),IF(R287&lt;AD287,O287+P287-Q287,0),IF(X287&lt;AD287,U287+V287-W287,0)))))</x:f>
        <x:v>0</x:v>
      </x:c>
      <x:c r="AF287" s="6" t="n">
        <x:f>ROUND(MAX(0,AA287+AB287-AC287-AE287),2)</x:f>
        <x:v>0</x:v>
      </x:c>
      <x:c r="AG287" s="6" t="n">
        <x:f>SUM(H287,N287,T287,Z287,AF287)</x:f>
        <x:v>0</x:v>
      </x:c>
      <x:c r="AH287" s="6" t="n">
        <x:f>SUM(D287,J287,P287,V287,AB287)+AH286</x:f>
        <x:v>1220.8400000000001</x:v>
      </x:c>
      <x:c r="AI287" s="2"/>
    </x:row>
    <x:row r="288" ht="23" customHeight="1">
      <x:c r="B288" s="2" t="n">
        <x:f>280</x:f>
        <x:v>280</x:v>
      </x:c>
      <x:c r="C288" s="6" t="n">
        <x:f>H287</x:f>
        <x:v>0</x:v>
      </x:c>
      <x:c r="D288" s="6" t="n">
        <x:f>ROUND(C288*'Debt strategy'!$D$9/12,2)</x:f>
        <x:v>0</x:v>
      </x:c>
      <x:c r="E288" s="6" t="n">
        <x:f>MIN(C288+D288,'Debt strategy'!$E$9)</x:f>
        <x:v>0</x:v>
      </x:c>
      <x:c r="F288" s="27" t="n">
        <x:f>IF(C288+D288-E288&lt;=0,99,1+SUM(IF(AND(I288+J288-K288&gt;0,OR('Debt strategy'!$D$10&gt;'Debt strategy'!$D$9,AND('Debt strategy'!$D$10='Debt strategy'!$D$9,1&lt;0))),1,0),IF(AND(O288+P288-Q288&gt;0,OR('Debt strategy'!$D$11&gt;'Debt strategy'!$D$9,AND('Debt strategy'!$D$11='Debt strategy'!$D$9,2&lt;0))),1,0),IF(AND(U288+V288-W288&gt;0,OR('Debt strategy'!$D$12&gt;'Debt strategy'!$D$9,AND('Debt strategy'!$D$12='Debt strategy'!$D$9,3&lt;0))),1,0),IF(AND(AA288+AB288-AC288&gt;0,OR('Debt strategy'!$D$13&gt;'Debt strategy'!$D$9,AND('Debt strategy'!$D$13='Debt strategy'!$D$9,4&lt;0))),1,0)))</x:f>
        <x:v>99</x:v>
      </x:c>
      <x:c r="G288" s="6" t="n">
        <x:f>IF('Debt strategy'!$C$16&gt;0,0,MIN(C288+D288-E288,MAX(0,'Debt strategy'!$C$5-SUM(E288,K288,Q288,W288,AC288)-SUM(IF(L288&lt;F288,I288+J288-K288,0),IF(R288&lt;F288,O288+P288-Q288,0),IF(X288&lt;F288,U288+V288-W288,0),IF(AD288&lt;F288,AA288+AB288-AC288,0)))))</x:f>
        <x:v>0</x:v>
      </x:c>
      <x:c r="H288" s="6" t="n">
        <x:f>ROUND(MAX(0,C288+D288-E288-G288),2)</x:f>
        <x:v>0</x:v>
      </x:c>
      <x:c r="I288" s="6" t="n">
        <x:f>N287</x:f>
        <x:v>0</x:v>
      </x:c>
      <x:c r="J288" s="6" t="n">
        <x:f>ROUND(I288*'Debt strategy'!$D$10/12,2)</x:f>
        <x:v>0</x:v>
      </x:c>
      <x:c r="K288" s="6" t="n">
        <x:f>MIN(I288+J288,'Debt strategy'!$E$10)</x:f>
        <x:v>0</x:v>
      </x:c>
      <x:c r="L288" s="27" t="n">
        <x:f>IF(I288+J288-K288&lt;=0,99,1+SUM(IF(AND(C288+D288-E288&gt;0,OR('Debt strategy'!$D$9&gt;'Debt strategy'!$D$10,AND('Debt strategy'!$D$9='Debt strategy'!$D$10,0&lt;1))),1,0),IF(AND(O288+P288-Q288&gt;0,OR('Debt strategy'!$D$11&gt;'Debt strategy'!$D$10,AND('Debt strategy'!$D$11='Debt strategy'!$D$10,2&lt;1))),1,0),IF(AND(U288+V288-W288&gt;0,OR('Debt strategy'!$D$12&gt;'Debt strategy'!$D$10,AND('Debt strategy'!$D$12='Debt strategy'!$D$10,3&lt;1))),1,0),IF(AND(AA288+AB288-AC288&gt;0,OR('Debt strategy'!$D$13&gt;'Debt strategy'!$D$10,AND('Debt strategy'!$D$13='Debt strategy'!$D$10,4&lt;1))),1,0)))</x:f>
        <x:v>99</x:v>
      </x:c>
      <x:c r="M288" s="6" t="n">
        <x:f>IF('Debt strategy'!$C$16&gt;0,0,MIN(I288+J288-K288,MAX(0,'Debt strategy'!$C$5-SUM(E288,K288,Q288,W288,AC288)-SUM(IF(F288&lt;L288,C288+D288-E288,0),IF(R288&lt;L288,O288+P288-Q288,0),IF(X288&lt;L288,U288+V288-W288,0),IF(AD288&lt;L288,AA288+AB288-AC288,0)))))</x:f>
        <x:v>0</x:v>
      </x:c>
      <x:c r="N288" s="6" t="n">
        <x:f>ROUND(MAX(0,I288+J288-K288-M288),2)</x:f>
        <x:v>0</x:v>
      </x:c>
      <x:c r="O288" s="6" t="n">
        <x:f>T287</x:f>
        <x:v>0</x:v>
      </x:c>
      <x:c r="P288" s="6" t="n">
        <x:f>ROUND(O288*'Debt strategy'!$D$11/12,2)</x:f>
        <x:v>0</x:v>
      </x:c>
      <x:c r="Q288" s="6" t="n">
        <x:f>MIN(O288+P288,'Debt strategy'!$E$11)</x:f>
        <x:v>0</x:v>
      </x:c>
      <x:c r="R288" s="27" t="n">
        <x:f>IF(O288+P288-Q288&lt;=0,99,1+SUM(IF(AND(C288+D288-E288&gt;0,OR('Debt strategy'!$D$9&gt;'Debt strategy'!$D$11,AND('Debt strategy'!$D$9='Debt strategy'!$D$11,0&lt;2))),1,0),IF(AND(I288+J288-K288&gt;0,OR('Debt strategy'!$D$10&gt;'Debt strategy'!$D$11,AND('Debt strategy'!$D$10='Debt strategy'!$D$11,1&lt;2))),1,0),IF(AND(U288+V288-W288&gt;0,OR('Debt strategy'!$D$12&gt;'Debt strategy'!$D$11,AND('Debt strategy'!$D$12='Debt strategy'!$D$11,3&lt;2))),1,0),IF(AND(AA288+AB288-AC288&gt;0,OR('Debt strategy'!$D$13&gt;'Debt strategy'!$D$11,AND('Debt strategy'!$D$13='Debt strategy'!$D$11,4&lt;2))),1,0)))</x:f>
        <x:v>99</x:v>
      </x:c>
      <x:c r="S288" s="6" t="n">
        <x:f>IF('Debt strategy'!$C$16&gt;0,0,MIN(O288+P288-Q288,MAX(0,'Debt strategy'!$C$5-SUM(E288,K288,Q288,W288,AC288)-SUM(IF(F288&lt;R288,C288+D288-E288,0),IF(L288&lt;R288,I288+J288-K288,0),IF(X288&lt;R288,U288+V288-W288,0),IF(AD288&lt;R288,AA288+AB288-AC288,0)))))</x:f>
        <x:v>0</x:v>
      </x:c>
      <x:c r="T288" s="6" t="n">
        <x:f>ROUND(MAX(0,O288+P288-Q288-S288),2)</x:f>
        <x:v>0</x:v>
      </x:c>
      <x:c r="U288" s="6" t="n">
        <x:f>Z287</x:f>
        <x:v>0</x:v>
      </x:c>
      <x:c r="V288" s="6" t="n">
        <x:f>ROUND(U288*'Debt strategy'!$D$12/12,2)</x:f>
        <x:v>0</x:v>
      </x:c>
      <x:c r="W288" s="6" t="n">
        <x:f>MIN(U288+V288,'Debt strategy'!$E$12)</x:f>
        <x:v>0</x:v>
      </x:c>
      <x:c r="X288" s="27" t="n">
        <x:f>IF(U288+V288-W288&lt;=0,99,1+SUM(IF(AND(C288+D288-E288&gt;0,OR('Debt strategy'!$D$9&gt;'Debt strategy'!$D$12,AND('Debt strategy'!$D$9='Debt strategy'!$D$12,0&lt;3))),1,0),IF(AND(I288+J288-K288&gt;0,OR('Debt strategy'!$D$10&gt;'Debt strategy'!$D$12,AND('Debt strategy'!$D$10='Debt strategy'!$D$12,1&lt;3))),1,0),IF(AND(O288+P288-Q288&gt;0,OR('Debt strategy'!$D$11&gt;'Debt strategy'!$D$12,AND('Debt strategy'!$D$11='Debt strategy'!$D$12,2&lt;3))),1,0),IF(AND(AA288+AB288-AC288&gt;0,OR('Debt strategy'!$D$13&gt;'Debt strategy'!$D$12,AND('Debt strategy'!$D$13='Debt strategy'!$D$12,4&lt;3))),1,0)))</x:f>
        <x:v>99</x:v>
      </x:c>
      <x:c r="Y288" s="6" t="n">
        <x:f>IF('Debt strategy'!$C$16&gt;0,0,MIN(U288+V288-W288,MAX(0,'Debt strategy'!$C$5-SUM(E288,K288,Q288,W288,AC288)-SUM(IF(F288&lt;X288,C288+D288-E288,0),IF(L288&lt;X288,I288+J288-K288,0),IF(R288&lt;X288,O288+P288-Q288,0),IF(AD288&lt;X288,AA288+AB288-AC288,0)))))</x:f>
        <x:v>0</x:v>
      </x:c>
      <x:c r="Z288" s="6" t="n">
        <x:f>ROUND(MAX(0,U288+V288-W288-Y288),2)</x:f>
        <x:v>0</x:v>
      </x:c>
      <x:c r="AA288" s="6" t="n">
        <x:f>AF287</x:f>
        <x:v>0</x:v>
      </x:c>
      <x:c r="AB288" s="6" t="n">
        <x:f>ROUND(AA288*'Debt strategy'!$D$13/12,2)</x:f>
        <x:v>0</x:v>
      </x:c>
      <x:c r="AC288" s="6" t="n">
        <x:f>MIN(AA288+AB288,'Debt strategy'!$E$13)</x:f>
        <x:v>0</x:v>
      </x:c>
      <x:c r="AD288" s="27" t="n">
        <x:f>IF(AA288+AB288-AC288&lt;=0,99,1+SUM(IF(AND(C288+D288-E288&gt;0,OR('Debt strategy'!$D$9&gt;'Debt strategy'!$D$13,AND('Debt strategy'!$D$9='Debt strategy'!$D$13,0&lt;4))),1,0),IF(AND(I288+J288-K288&gt;0,OR('Debt strategy'!$D$10&gt;'Debt strategy'!$D$13,AND('Debt strategy'!$D$10='Debt strategy'!$D$13,1&lt;4))),1,0),IF(AND(O288+P288-Q288&gt;0,OR('Debt strategy'!$D$11&gt;'Debt strategy'!$D$13,AND('Debt strategy'!$D$11='Debt strategy'!$D$13,2&lt;4))),1,0),IF(AND(U288+V288-W288&gt;0,OR('Debt strategy'!$D$12&gt;'Debt strategy'!$D$13,AND('Debt strategy'!$D$12='Debt strategy'!$D$13,3&lt;4))),1,0)))</x:f>
        <x:v>99</x:v>
      </x:c>
      <x:c r="AE288" s="6" t="n">
        <x:f>IF('Debt strategy'!$C$16&gt;0,0,MIN(AA288+AB288-AC288,MAX(0,'Debt strategy'!$C$5-SUM(E288,K288,Q288,W288,AC288)-SUM(IF(F288&lt;AD288,C288+D288-E288,0),IF(L288&lt;AD288,I288+J288-K288,0),IF(R288&lt;AD288,O288+P288-Q288,0),IF(X288&lt;AD288,U288+V288-W288,0)))))</x:f>
        <x:v>0</x:v>
      </x:c>
      <x:c r="AF288" s="6" t="n">
        <x:f>ROUND(MAX(0,AA288+AB288-AC288-AE288),2)</x:f>
        <x:v>0</x:v>
      </x:c>
      <x:c r="AG288" s="6" t="n">
        <x:f>SUM(H288,N288,T288,Z288,AF288)</x:f>
        <x:v>0</x:v>
      </x:c>
      <x:c r="AH288" s="6" t="n">
        <x:f>SUM(D288,J288,P288,V288,AB288)+AH287</x:f>
        <x:v>1220.8400000000001</x:v>
      </x:c>
      <x:c r="AI288" s="2"/>
    </x:row>
    <x:row r="289" ht="23" customHeight="1">
      <x:c r="B289" s="2" t="n">
        <x:f>281</x:f>
        <x:v>281</x:v>
      </x:c>
      <x:c r="C289" s="6" t="n">
        <x:f>H288</x:f>
        <x:v>0</x:v>
      </x:c>
      <x:c r="D289" s="6" t="n">
        <x:f>ROUND(C289*'Debt strategy'!$D$9/12,2)</x:f>
        <x:v>0</x:v>
      </x:c>
      <x:c r="E289" s="6" t="n">
        <x:f>MIN(C289+D289,'Debt strategy'!$E$9)</x:f>
        <x:v>0</x:v>
      </x:c>
      <x:c r="F289" s="27" t="n">
        <x:f>IF(C289+D289-E289&lt;=0,99,1+SUM(IF(AND(I289+J289-K289&gt;0,OR('Debt strategy'!$D$10&gt;'Debt strategy'!$D$9,AND('Debt strategy'!$D$10='Debt strategy'!$D$9,1&lt;0))),1,0),IF(AND(O289+P289-Q289&gt;0,OR('Debt strategy'!$D$11&gt;'Debt strategy'!$D$9,AND('Debt strategy'!$D$11='Debt strategy'!$D$9,2&lt;0))),1,0),IF(AND(U289+V289-W289&gt;0,OR('Debt strategy'!$D$12&gt;'Debt strategy'!$D$9,AND('Debt strategy'!$D$12='Debt strategy'!$D$9,3&lt;0))),1,0),IF(AND(AA289+AB289-AC289&gt;0,OR('Debt strategy'!$D$13&gt;'Debt strategy'!$D$9,AND('Debt strategy'!$D$13='Debt strategy'!$D$9,4&lt;0))),1,0)))</x:f>
        <x:v>99</x:v>
      </x:c>
      <x:c r="G289" s="6" t="n">
        <x:f>IF('Debt strategy'!$C$16&gt;0,0,MIN(C289+D289-E289,MAX(0,'Debt strategy'!$C$5-SUM(E289,K289,Q289,W289,AC289)-SUM(IF(L289&lt;F289,I289+J289-K289,0),IF(R289&lt;F289,O289+P289-Q289,0),IF(X289&lt;F289,U289+V289-W289,0),IF(AD289&lt;F289,AA289+AB289-AC289,0)))))</x:f>
        <x:v>0</x:v>
      </x:c>
      <x:c r="H289" s="6" t="n">
        <x:f>ROUND(MAX(0,C289+D289-E289-G289),2)</x:f>
        <x:v>0</x:v>
      </x:c>
      <x:c r="I289" s="6" t="n">
        <x:f>N288</x:f>
        <x:v>0</x:v>
      </x:c>
      <x:c r="J289" s="6" t="n">
        <x:f>ROUND(I289*'Debt strategy'!$D$10/12,2)</x:f>
        <x:v>0</x:v>
      </x:c>
      <x:c r="K289" s="6" t="n">
        <x:f>MIN(I289+J289,'Debt strategy'!$E$10)</x:f>
        <x:v>0</x:v>
      </x:c>
      <x:c r="L289" s="27" t="n">
        <x:f>IF(I289+J289-K289&lt;=0,99,1+SUM(IF(AND(C289+D289-E289&gt;0,OR('Debt strategy'!$D$9&gt;'Debt strategy'!$D$10,AND('Debt strategy'!$D$9='Debt strategy'!$D$10,0&lt;1))),1,0),IF(AND(O289+P289-Q289&gt;0,OR('Debt strategy'!$D$11&gt;'Debt strategy'!$D$10,AND('Debt strategy'!$D$11='Debt strategy'!$D$10,2&lt;1))),1,0),IF(AND(U289+V289-W289&gt;0,OR('Debt strategy'!$D$12&gt;'Debt strategy'!$D$10,AND('Debt strategy'!$D$12='Debt strategy'!$D$10,3&lt;1))),1,0),IF(AND(AA289+AB289-AC289&gt;0,OR('Debt strategy'!$D$13&gt;'Debt strategy'!$D$10,AND('Debt strategy'!$D$13='Debt strategy'!$D$10,4&lt;1))),1,0)))</x:f>
        <x:v>99</x:v>
      </x:c>
      <x:c r="M289" s="6" t="n">
        <x:f>IF('Debt strategy'!$C$16&gt;0,0,MIN(I289+J289-K289,MAX(0,'Debt strategy'!$C$5-SUM(E289,K289,Q289,W289,AC289)-SUM(IF(F289&lt;L289,C289+D289-E289,0),IF(R289&lt;L289,O289+P289-Q289,0),IF(X289&lt;L289,U289+V289-W289,0),IF(AD289&lt;L289,AA289+AB289-AC289,0)))))</x:f>
        <x:v>0</x:v>
      </x:c>
      <x:c r="N289" s="6" t="n">
        <x:f>ROUND(MAX(0,I289+J289-K289-M289),2)</x:f>
        <x:v>0</x:v>
      </x:c>
      <x:c r="O289" s="6" t="n">
        <x:f>T288</x:f>
        <x:v>0</x:v>
      </x:c>
      <x:c r="P289" s="6" t="n">
        <x:f>ROUND(O289*'Debt strategy'!$D$11/12,2)</x:f>
        <x:v>0</x:v>
      </x:c>
      <x:c r="Q289" s="6" t="n">
        <x:f>MIN(O289+P289,'Debt strategy'!$E$11)</x:f>
        <x:v>0</x:v>
      </x:c>
      <x:c r="R289" s="27" t="n">
        <x:f>IF(O289+P289-Q289&lt;=0,99,1+SUM(IF(AND(C289+D289-E289&gt;0,OR('Debt strategy'!$D$9&gt;'Debt strategy'!$D$11,AND('Debt strategy'!$D$9='Debt strategy'!$D$11,0&lt;2))),1,0),IF(AND(I289+J289-K289&gt;0,OR('Debt strategy'!$D$10&gt;'Debt strategy'!$D$11,AND('Debt strategy'!$D$10='Debt strategy'!$D$11,1&lt;2))),1,0),IF(AND(U289+V289-W289&gt;0,OR('Debt strategy'!$D$12&gt;'Debt strategy'!$D$11,AND('Debt strategy'!$D$12='Debt strategy'!$D$11,3&lt;2))),1,0),IF(AND(AA289+AB289-AC289&gt;0,OR('Debt strategy'!$D$13&gt;'Debt strategy'!$D$11,AND('Debt strategy'!$D$13='Debt strategy'!$D$11,4&lt;2))),1,0)))</x:f>
        <x:v>99</x:v>
      </x:c>
      <x:c r="S289" s="6" t="n">
        <x:f>IF('Debt strategy'!$C$16&gt;0,0,MIN(O289+P289-Q289,MAX(0,'Debt strategy'!$C$5-SUM(E289,K289,Q289,W289,AC289)-SUM(IF(F289&lt;R289,C289+D289-E289,0),IF(L289&lt;R289,I289+J289-K289,0),IF(X289&lt;R289,U289+V289-W289,0),IF(AD289&lt;R289,AA289+AB289-AC289,0)))))</x:f>
        <x:v>0</x:v>
      </x:c>
      <x:c r="T289" s="6" t="n">
        <x:f>ROUND(MAX(0,O289+P289-Q289-S289),2)</x:f>
        <x:v>0</x:v>
      </x:c>
      <x:c r="U289" s="6" t="n">
        <x:f>Z288</x:f>
        <x:v>0</x:v>
      </x:c>
      <x:c r="V289" s="6" t="n">
        <x:f>ROUND(U289*'Debt strategy'!$D$12/12,2)</x:f>
        <x:v>0</x:v>
      </x:c>
      <x:c r="W289" s="6" t="n">
        <x:f>MIN(U289+V289,'Debt strategy'!$E$12)</x:f>
        <x:v>0</x:v>
      </x:c>
      <x:c r="X289" s="27" t="n">
        <x:f>IF(U289+V289-W289&lt;=0,99,1+SUM(IF(AND(C289+D289-E289&gt;0,OR('Debt strategy'!$D$9&gt;'Debt strategy'!$D$12,AND('Debt strategy'!$D$9='Debt strategy'!$D$12,0&lt;3))),1,0),IF(AND(I289+J289-K289&gt;0,OR('Debt strategy'!$D$10&gt;'Debt strategy'!$D$12,AND('Debt strategy'!$D$10='Debt strategy'!$D$12,1&lt;3))),1,0),IF(AND(O289+P289-Q289&gt;0,OR('Debt strategy'!$D$11&gt;'Debt strategy'!$D$12,AND('Debt strategy'!$D$11='Debt strategy'!$D$12,2&lt;3))),1,0),IF(AND(AA289+AB289-AC289&gt;0,OR('Debt strategy'!$D$13&gt;'Debt strategy'!$D$12,AND('Debt strategy'!$D$13='Debt strategy'!$D$12,4&lt;3))),1,0)))</x:f>
        <x:v>99</x:v>
      </x:c>
      <x:c r="Y289" s="6" t="n">
        <x:f>IF('Debt strategy'!$C$16&gt;0,0,MIN(U289+V289-W289,MAX(0,'Debt strategy'!$C$5-SUM(E289,K289,Q289,W289,AC289)-SUM(IF(F289&lt;X289,C289+D289-E289,0),IF(L289&lt;X289,I289+J289-K289,0),IF(R289&lt;X289,O289+P289-Q289,0),IF(AD289&lt;X289,AA289+AB289-AC289,0)))))</x:f>
        <x:v>0</x:v>
      </x:c>
      <x:c r="Z289" s="6" t="n">
        <x:f>ROUND(MAX(0,U289+V289-W289-Y289),2)</x:f>
        <x:v>0</x:v>
      </x:c>
      <x:c r="AA289" s="6" t="n">
        <x:f>AF288</x:f>
        <x:v>0</x:v>
      </x:c>
      <x:c r="AB289" s="6" t="n">
        <x:f>ROUND(AA289*'Debt strategy'!$D$13/12,2)</x:f>
        <x:v>0</x:v>
      </x:c>
      <x:c r="AC289" s="6" t="n">
        <x:f>MIN(AA289+AB289,'Debt strategy'!$E$13)</x:f>
        <x:v>0</x:v>
      </x:c>
      <x:c r="AD289" s="27" t="n">
        <x:f>IF(AA289+AB289-AC289&lt;=0,99,1+SUM(IF(AND(C289+D289-E289&gt;0,OR('Debt strategy'!$D$9&gt;'Debt strategy'!$D$13,AND('Debt strategy'!$D$9='Debt strategy'!$D$13,0&lt;4))),1,0),IF(AND(I289+J289-K289&gt;0,OR('Debt strategy'!$D$10&gt;'Debt strategy'!$D$13,AND('Debt strategy'!$D$10='Debt strategy'!$D$13,1&lt;4))),1,0),IF(AND(O289+P289-Q289&gt;0,OR('Debt strategy'!$D$11&gt;'Debt strategy'!$D$13,AND('Debt strategy'!$D$11='Debt strategy'!$D$13,2&lt;4))),1,0),IF(AND(U289+V289-W289&gt;0,OR('Debt strategy'!$D$12&gt;'Debt strategy'!$D$13,AND('Debt strategy'!$D$12='Debt strategy'!$D$13,3&lt;4))),1,0)))</x:f>
        <x:v>99</x:v>
      </x:c>
      <x:c r="AE289" s="6" t="n">
        <x:f>IF('Debt strategy'!$C$16&gt;0,0,MIN(AA289+AB289-AC289,MAX(0,'Debt strategy'!$C$5-SUM(E289,K289,Q289,W289,AC289)-SUM(IF(F289&lt;AD289,C289+D289-E289,0),IF(L289&lt;AD289,I289+J289-K289,0),IF(R289&lt;AD289,O289+P289-Q289,0),IF(X289&lt;AD289,U289+V289-W289,0)))))</x:f>
        <x:v>0</x:v>
      </x:c>
      <x:c r="AF289" s="6" t="n">
        <x:f>ROUND(MAX(0,AA289+AB289-AC289-AE289),2)</x:f>
        <x:v>0</x:v>
      </x:c>
      <x:c r="AG289" s="6" t="n">
        <x:f>SUM(H289,N289,T289,Z289,AF289)</x:f>
        <x:v>0</x:v>
      </x:c>
      <x:c r="AH289" s="6" t="n">
        <x:f>SUM(D289,J289,P289,V289,AB289)+AH288</x:f>
        <x:v>1220.8400000000001</x:v>
      </x:c>
      <x:c r="AI289" s="2"/>
    </x:row>
    <x:row r="290" ht="23" customHeight="1">
      <x:c r="B290" s="2" t="n">
        <x:f>282</x:f>
        <x:v>282</x:v>
      </x:c>
      <x:c r="C290" s="6" t="n">
        <x:f>H289</x:f>
        <x:v>0</x:v>
      </x:c>
      <x:c r="D290" s="6" t="n">
        <x:f>ROUND(C290*'Debt strategy'!$D$9/12,2)</x:f>
        <x:v>0</x:v>
      </x:c>
      <x:c r="E290" s="6" t="n">
        <x:f>MIN(C290+D290,'Debt strategy'!$E$9)</x:f>
        <x:v>0</x:v>
      </x:c>
      <x:c r="F290" s="27" t="n">
        <x:f>IF(C290+D290-E290&lt;=0,99,1+SUM(IF(AND(I290+J290-K290&gt;0,OR('Debt strategy'!$D$10&gt;'Debt strategy'!$D$9,AND('Debt strategy'!$D$10='Debt strategy'!$D$9,1&lt;0))),1,0),IF(AND(O290+P290-Q290&gt;0,OR('Debt strategy'!$D$11&gt;'Debt strategy'!$D$9,AND('Debt strategy'!$D$11='Debt strategy'!$D$9,2&lt;0))),1,0),IF(AND(U290+V290-W290&gt;0,OR('Debt strategy'!$D$12&gt;'Debt strategy'!$D$9,AND('Debt strategy'!$D$12='Debt strategy'!$D$9,3&lt;0))),1,0),IF(AND(AA290+AB290-AC290&gt;0,OR('Debt strategy'!$D$13&gt;'Debt strategy'!$D$9,AND('Debt strategy'!$D$13='Debt strategy'!$D$9,4&lt;0))),1,0)))</x:f>
        <x:v>99</x:v>
      </x:c>
      <x:c r="G290" s="6" t="n">
        <x:f>IF('Debt strategy'!$C$16&gt;0,0,MIN(C290+D290-E290,MAX(0,'Debt strategy'!$C$5-SUM(E290,K290,Q290,W290,AC290)-SUM(IF(L290&lt;F290,I290+J290-K290,0),IF(R290&lt;F290,O290+P290-Q290,0),IF(X290&lt;F290,U290+V290-W290,0),IF(AD290&lt;F290,AA290+AB290-AC290,0)))))</x:f>
        <x:v>0</x:v>
      </x:c>
      <x:c r="H290" s="6" t="n">
        <x:f>ROUND(MAX(0,C290+D290-E290-G290),2)</x:f>
        <x:v>0</x:v>
      </x:c>
      <x:c r="I290" s="6" t="n">
        <x:f>N289</x:f>
        <x:v>0</x:v>
      </x:c>
      <x:c r="J290" s="6" t="n">
        <x:f>ROUND(I290*'Debt strategy'!$D$10/12,2)</x:f>
        <x:v>0</x:v>
      </x:c>
      <x:c r="K290" s="6" t="n">
        <x:f>MIN(I290+J290,'Debt strategy'!$E$10)</x:f>
        <x:v>0</x:v>
      </x:c>
      <x:c r="L290" s="27" t="n">
        <x:f>IF(I290+J290-K290&lt;=0,99,1+SUM(IF(AND(C290+D290-E290&gt;0,OR('Debt strategy'!$D$9&gt;'Debt strategy'!$D$10,AND('Debt strategy'!$D$9='Debt strategy'!$D$10,0&lt;1))),1,0),IF(AND(O290+P290-Q290&gt;0,OR('Debt strategy'!$D$11&gt;'Debt strategy'!$D$10,AND('Debt strategy'!$D$11='Debt strategy'!$D$10,2&lt;1))),1,0),IF(AND(U290+V290-W290&gt;0,OR('Debt strategy'!$D$12&gt;'Debt strategy'!$D$10,AND('Debt strategy'!$D$12='Debt strategy'!$D$10,3&lt;1))),1,0),IF(AND(AA290+AB290-AC290&gt;0,OR('Debt strategy'!$D$13&gt;'Debt strategy'!$D$10,AND('Debt strategy'!$D$13='Debt strategy'!$D$10,4&lt;1))),1,0)))</x:f>
        <x:v>99</x:v>
      </x:c>
      <x:c r="M290" s="6" t="n">
        <x:f>IF('Debt strategy'!$C$16&gt;0,0,MIN(I290+J290-K290,MAX(0,'Debt strategy'!$C$5-SUM(E290,K290,Q290,W290,AC290)-SUM(IF(F290&lt;L290,C290+D290-E290,0),IF(R290&lt;L290,O290+P290-Q290,0),IF(X290&lt;L290,U290+V290-W290,0),IF(AD290&lt;L290,AA290+AB290-AC290,0)))))</x:f>
        <x:v>0</x:v>
      </x:c>
      <x:c r="N290" s="6" t="n">
        <x:f>ROUND(MAX(0,I290+J290-K290-M290),2)</x:f>
        <x:v>0</x:v>
      </x:c>
      <x:c r="O290" s="6" t="n">
        <x:f>T289</x:f>
        <x:v>0</x:v>
      </x:c>
      <x:c r="P290" s="6" t="n">
        <x:f>ROUND(O290*'Debt strategy'!$D$11/12,2)</x:f>
        <x:v>0</x:v>
      </x:c>
      <x:c r="Q290" s="6" t="n">
        <x:f>MIN(O290+P290,'Debt strategy'!$E$11)</x:f>
        <x:v>0</x:v>
      </x:c>
      <x:c r="R290" s="27" t="n">
        <x:f>IF(O290+P290-Q290&lt;=0,99,1+SUM(IF(AND(C290+D290-E290&gt;0,OR('Debt strategy'!$D$9&gt;'Debt strategy'!$D$11,AND('Debt strategy'!$D$9='Debt strategy'!$D$11,0&lt;2))),1,0),IF(AND(I290+J290-K290&gt;0,OR('Debt strategy'!$D$10&gt;'Debt strategy'!$D$11,AND('Debt strategy'!$D$10='Debt strategy'!$D$11,1&lt;2))),1,0),IF(AND(U290+V290-W290&gt;0,OR('Debt strategy'!$D$12&gt;'Debt strategy'!$D$11,AND('Debt strategy'!$D$12='Debt strategy'!$D$11,3&lt;2))),1,0),IF(AND(AA290+AB290-AC290&gt;0,OR('Debt strategy'!$D$13&gt;'Debt strategy'!$D$11,AND('Debt strategy'!$D$13='Debt strategy'!$D$11,4&lt;2))),1,0)))</x:f>
        <x:v>99</x:v>
      </x:c>
      <x:c r="S290" s="6" t="n">
        <x:f>IF('Debt strategy'!$C$16&gt;0,0,MIN(O290+P290-Q290,MAX(0,'Debt strategy'!$C$5-SUM(E290,K290,Q290,W290,AC290)-SUM(IF(F290&lt;R290,C290+D290-E290,0),IF(L290&lt;R290,I290+J290-K290,0),IF(X290&lt;R290,U290+V290-W290,0),IF(AD290&lt;R290,AA290+AB290-AC290,0)))))</x:f>
        <x:v>0</x:v>
      </x:c>
      <x:c r="T290" s="6" t="n">
        <x:f>ROUND(MAX(0,O290+P290-Q290-S290),2)</x:f>
        <x:v>0</x:v>
      </x:c>
      <x:c r="U290" s="6" t="n">
        <x:f>Z289</x:f>
        <x:v>0</x:v>
      </x:c>
      <x:c r="V290" s="6" t="n">
        <x:f>ROUND(U290*'Debt strategy'!$D$12/12,2)</x:f>
        <x:v>0</x:v>
      </x:c>
      <x:c r="W290" s="6" t="n">
        <x:f>MIN(U290+V290,'Debt strategy'!$E$12)</x:f>
        <x:v>0</x:v>
      </x:c>
      <x:c r="X290" s="27" t="n">
        <x:f>IF(U290+V290-W290&lt;=0,99,1+SUM(IF(AND(C290+D290-E290&gt;0,OR('Debt strategy'!$D$9&gt;'Debt strategy'!$D$12,AND('Debt strategy'!$D$9='Debt strategy'!$D$12,0&lt;3))),1,0),IF(AND(I290+J290-K290&gt;0,OR('Debt strategy'!$D$10&gt;'Debt strategy'!$D$12,AND('Debt strategy'!$D$10='Debt strategy'!$D$12,1&lt;3))),1,0),IF(AND(O290+P290-Q290&gt;0,OR('Debt strategy'!$D$11&gt;'Debt strategy'!$D$12,AND('Debt strategy'!$D$11='Debt strategy'!$D$12,2&lt;3))),1,0),IF(AND(AA290+AB290-AC290&gt;0,OR('Debt strategy'!$D$13&gt;'Debt strategy'!$D$12,AND('Debt strategy'!$D$13='Debt strategy'!$D$12,4&lt;3))),1,0)))</x:f>
        <x:v>99</x:v>
      </x:c>
      <x:c r="Y290" s="6" t="n">
        <x:f>IF('Debt strategy'!$C$16&gt;0,0,MIN(U290+V290-W290,MAX(0,'Debt strategy'!$C$5-SUM(E290,K290,Q290,W290,AC290)-SUM(IF(F290&lt;X290,C290+D290-E290,0),IF(L290&lt;X290,I290+J290-K290,0),IF(R290&lt;X290,O290+P290-Q290,0),IF(AD290&lt;X290,AA290+AB290-AC290,0)))))</x:f>
        <x:v>0</x:v>
      </x:c>
      <x:c r="Z290" s="6" t="n">
        <x:f>ROUND(MAX(0,U290+V290-W290-Y290),2)</x:f>
        <x:v>0</x:v>
      </x:c>
      <x:c r="AA290" s="6" t="n">
        <x:f>AF289</x:f>
        <x:v>0</x:v>
      </x:c>
      <x:c r="AB290" s="6" t="n">
        <x:f>ROUND(AA290*'Debt strategy'!$D$13/12,2)</x:f>
        <x:v>0</x:v>
      </x:c>
      <x:c r="AC290" s="6" t="n">
        <x:f>MIN(AA290+AB290,'Debt strategy'!$E$13)</x:f>
        <x:v>0</x:v>
      </x:c>
      <x:c r="AD290" s="27" t="n">
        <x:f>IF(AA290+AB290-AC290&lt;=0,99,1+SUM(IF(AND(C290+D290-E290&gt;0,OR('Debt strategy'!$D$9&gt;'Debt strategy'!$D$13,AND('Debt strategy'!$D$9='Debt strategy'!$D$13,0&lt;4))),1,0),IF(AND(I290+J290-K290&gt;0,OR('Debt strategy'!$D$10&gt;'Debt strategy'!$D$13,AND('Debt strategy'!$D$10='Debt strategy'!$D$13,1&lt;4))),1,0),IF(AND(O290+P290-Q290&gt;0,OR('Debt strategy'!$D$11&gt;'Debt strategy'!$D$13,AND('Debt strategy'!$D$11='Debt strategy'!$D$13,2&lt;4))),1,0),IF(AND(U290+V290-W290&gt;0,OR('Debt strategy'!$D$12&gt;'Debt strategy'!$D$13,AND('Debt strategy'!$D$12='Debt strategy'!$D$13,3&lt;4))),1,0)))</x:f>
        <x:v>99</x:v>
      </x:c>
      <x:c r="AE290" s="6" t="n">
        <x:f>IF('Debt strategy'!$C$16&gt;0,0,MIN(AA290+AB290-AC290,MAX(0,'Debt strategy'!$C$5-SUM(E290,K290,Q290,W290,AC290)-SUM(IF(F290&lt;AD290,C290+D290-E290,0),IF(L290&lt;AD290,I290+J290-K290,0),IF(R290&lt;AD290,O290+P290-Q290,0),IF(X290&lt;AD290,U290+V290-W290,0)))))</x:f>
        <x:v>0</x:v>
      </x:c>
      <x:c r="AF290" s="6" t="n">
        <x:f>ROUND(MAX(0,AA290+AB290-AC290-AE290),2)</x:f>
        <x:v>0</x:v>
      </x:c>
      <x:c r="AG290" s="6" t="n">
        <x:f>SUM(H290,N290,T290,Z290,AF290)</x:f>
        <x:v>0</x:v>
      </x:c>
      <x:c r="AH290" s="6" t="n">
        <x:f>SUM(D290,J290,P290,V290,AB290)+AH289</x:f>
        <x:v>1220.8400000000001</x:v>
      </x:c>
      <x:c r="AI290" s="2"/>
    </x:row>
    <x:row r="291" ht="23" customHeight="1">
      <x:c r="B291" s="2" t="n">
        <x:f>283</x:f>
        <x:v>283</x:v>
      </x:c>
      <x:c r="C291" s="6" t="n">
        <x:f>H290</x:f>
        <x:v>0</x:v>
      </x:c>
      <x:c r="D291" s="6" t="n">
        <x:f>ROUND(C291*'Debt strategy'!$D$9/12,2)</x:f>
        <x:v>0</x:v>
      </x:c>
      <x:c r="E291" s="6" t="n">
        <x:f>MIN(C291+D291,'Debt strategy'!$E$9)</x:f>
        <x:v>0</x:v>
      </x:c>
      <x:c r="F291" s="27" t="n">
        <x:f>IF(C291+D291-E291&lt;=0,99,1+SUM(IF(AND(I291+J291-K291&gt;0,OR('Debt strategy'!$D$10&gt;'Debt strategy'!$D$9,AND('Debt strategy'!$D$10='Debt strategy'!$D$9,1&lt;0))),1,0),IF(AND(O291+P291-Q291&gt;0,OR('Debt strategy'!$D$11&gt;'Debt strategy'!$D$9,AND('Debt strategy'!$D$11='Debt strategy'!$D$9,2&lt;0))),1,0),IF(AND(U291+V291-W291&gt;0,OR('Debt strategy'!$D$12&gt;'Debt strategy'!$D$9,AND('Debt strategy'!$D$12='Debt strategy'!$D$9,3&lt;0))),1,0),IF(AND(AA291+AB291-AC291&gt;0,OR('Debt strategy'!$D$13&gt;'Debt strategy'!$D$9,AND('Debt strategy'!$D$13='Debt strategy'!$D$9,4&lt;0))),1,0)))</x:f>
        <x:v>99</x:v>
      </x:c>
      <x:c r="G291" s="6" t="n">
        <x:f>IF('Debt strategy'!$C$16&gt;0,0,MIN(C291+D291-E291,MAX(0,'Debt strategy'!$C$5-SUM(E291,K291,Q291,W291,AC291)-SUM(IF(L291&lt;F291,I291+J291-K291,0),IF(R291&lt;F291,O291+P291-Q291,0),IF(X291&lt;F291,U291+V291-W291,0),IF(AD291&lt;F291,AA291+AB291-AC291,0)))))</x:f>
        <x:v>0</x:v>
      </x:c>
      <x:c r="H291" s="6" t="n">
        <x:f>ROUND(MAX(0,C291+D291-E291-G291),2)</x:f>
        <x:v>0</x:v>
      </x:c>
      <x:c r="I291" s="6" t="n">
        <x:f>N290</x:f>
        <x:v>0</x:v>
      </x:c>
      <x:c r="J291" s="6" t="n">
        <x:f>ROUND(I291*'Debt strategy'!$D$10/12,2)</x:f>
        <x:v>0</x:v>
      </x:c>
      <x:c r="K291" s="6" t="n">
        <x:f>MIN(I291+J291,'Debt strategy'!$E$10)</x:f>
        <x:v>0</x:v>
      </x:c>
      <x:c r="L291" s="27" t="n">
        <x:f>IF(I291+J291-K291&lt;=0,99,1+SUM(IF(AND(C291+D291-E291&gt;0,OR('Debt strategy'!$D$9&gt;'Debt strategy'!$D$10,AND('Debt strategy'!$D$9='Debt strategy'!$D$10,0&lt;1))),1,0),IF(AND(O291+P291-Q291&gt;0,OR('Debt strategy'!$D$11&gt;'Debt strategy'!$D$10,AND('Debt strategy'!$D$11='Debt strategy'!$D$10,2&lt;1))),1,0),IF(AND(U291+V291-W291&gt;0,OR('Debt strategy'!$D$12&gt;'Debt strategy'!$D$10,AND('Debt strategy'!$D$12='Debt strategy'!$D$10,3&lt;1))),1,0),IF(AND(AA291+AB291-AC291&gt;0,OR('Debt strategy'!$D$13&gt;'Debt strategy'!$D$10,AND('Debt strategy'!$D$13='Debt strategy'!$D$10,4&lt;1))),1,0)))</x:f>
        <x:v>99</x:v>
      </x:c>
      <x:c r="M291" s="6" t="n">
        <x:f>IF('Debt strategy'!$C$16&gt;0,0,MIN(I291+J291-K291,MAX(0,'Debt strategy'!$C$5-SUM(E291,K291,Q291,W291,AC291)-SUM(IF(F291&lt;L291,C291+D291-E291,0),IF(R291&lt;L291,O291+P291-Q291,0),IF(X291&lt;L291,U291+V291-W291,0),IF(AD291&lt;L291,AA291+AB291-AC291,0)))))</x:f>
        <x:v>0</x:v>
      </x:c>
      <x:c r="N291" s="6" t="n">
        <x:f>ROUND(MAX(0,I291+J291-K291-M291),2)</x:f>
        <x:v>0</x:v>
      </x:c>
      <x:c r="O291" s="6" t="n">
        <x:f>T290</x:f>
        <x:v>0</x:v>
      </x:c>
      <x:c r="P291" s="6" t="n">
        <x:f>ROUND(O291*'Debt strategy'!$D$11/12,2)</x:f>
        <x:v>0</x:v>
      </x:c>
      <x:c r="Q291" s="6" t="n">
        <x:f>MIN(O291+P291,'Debt strategy'!$E$11)</x:f>
        <x:v>0</x:v>
      </x:c>
      <x:c r="R291" s="27" t="n">
        <x:f>IF(O291+P291-Q291&lt;=0,99,1+SUM(IF(AND(C291+D291-E291&gt;0,OR('Debt strategy'!$D$9&gt;'Debt strategy'!$D$11,AND('Debt strategy'!$D$9='Debt strategy'!$D$11,0&lt;2))),1,0),IF(AND(I291+J291-K291&gt;0,OR('Debt strategy'!$D$10&gt;'Debt strategy'!$D$11,AND('Debt strategy'!$D$10='Debt strategy'!$D$11,1&lt;2))),1,0),IF(AND(U291+V291-W291&gt;0,OR('Debt strategy'!$D$12&gt;'Debt strategy'!$D$11,AND('Debt strategy'!$D$12='Debt strategy'!$D$11,3&lt;2))),1,0),IF(AND(AA291+AB291-AC291&gt;0,OR('Debt strategy'!$D$13&gt;'Debt strategy'!$D$11,AND('Debt strategy'!$D$13='Debt strategy'!$D$11,4&lt;2))),1,0)))</x:f>
        <x:v>99</x:v>
      </x:c>
      <x:c r="S291" s="6" t="n">
        <x:f>IF('Debt strategy'!$C$16&gt;0,0,MIN(O291+P291-Q291,MAX(0,'Debt strategy'!$C$5-SUM(E291,K291,Q291,W291,AC291)-SUM(IF(F291&lt;R291,C291+D291-E291,0),IF(L291&lt;R291,I291+J291-K291,0),IF(X291&lt;R291,U291+V291-W291,0),IF(AD291&lt;R291,AA291+AB291-AC291,0)))))</x:f>
        <x:v>0</x:v>
      </x:c>
      <x:c r="T291" s="6" t="n">
        <x:f>ROUND(MAX(0,O291+P291-Q291-S291),2)</x:f>
        <x:v>0</x:v>
      </x:c>
      <x:c r="U291" s="6" t="n">
        <x:f>Z290</x:f>
        <x:v>0</x:v>
      </x:c>
      <x:c r="V291" s="6" t="n">
        <x:f>ROUND(U291*'Debt strategy'!$D$12/12,2)</x:f>
        <x:v>0</x:v>
      </x:c>
      <x:c r="W291" s="6" t="n">
        <x:f>MIN(U291+V291,'Debt strategy'!$E$12)</x:f>
        <x:v>0</x:v>
      </x:c>
      <x:c r="X291" s="27" t="n">
        <x:f>IF(U291+V291-W291&lt;=0,99,1+SUM(IF(AND(C291+D291-E291&gt;0,OR('Debt strategy'!$D$9&gt;'Debt strategy'!$D$12,AND('Debt strategy'!$D$9='Debt strategy'!$D$12,0&lt;3))),1,0),IF(AND(I291+J291-K291&gt;0,OR('Debt strategy'!$D$10&gt;'Debt strategy'!$D$12,AND('Debt strategy'!$D$10='Debt strategy'!$D$12,1&lt;3))),1,0),IF(AND(O291+P291-Q291&gt;0,OR('Debt strategy'!$D$11&gt;'Debt strategy'!$D$12,AND('Debt strategy'!$D$11='Debt strategy'!$D$12,2&lt;3))),1,0),IF(AND(AA291+AB291-AC291&gt;0,OR('Debt strategy'!$D$13&gt;'Debt strategy'!$D$12,AND('Debt strategy'!$D$13='Debt strategy'!$D$12,4&lt;3))),1,0)))</x:f>
        <x:v>99</x:v>
      </x:c>
      <x:c r="Y291" s="6" t="n">
        <x:f>IF('Debt strategy'!$C$16&gt;0,0,MIN(U291+V291-W291,MAX(0,'Debt strategy'!$C$5-SUM(E291,K291,Q291,W291,AC291)-SUM(IF(F291&lt;X291,C291+D291-E291,0),IF(L291&lt;X291,I291+J291-K291,0),IF(R291&lt;X291,O291+P291-Q291,0),IF(AD291&lt;X291,AA291+AB291-AC291,0)))))</x:f>
        <x:v>0</x:v>
      </x:c>
      <x:c r="Z291" s="6" t="n">
        <x:f>ROUND(MAX(0,U291+V291-W291-Y291),2)</x:f>
        <x:v>0</x:v>
      </x:c>
      <x:c r="AA291" s="6" t="n">
        <x:f>AF290</x:f>
        <x:v>0</x:v>
      </x:c>
      <x:c r="AB291" s="6" t="n">
        <x:f>ROUND(AA291*'Debt strategy'!$D$13/12,2)</x:f>
        <x:v>0</x:v>
      </x:c>
      <x:c r="AC291" s="6" t="n">
        <x:f>MIN(AA291+AB291,'Debt strategy'!$E$13)</x:f>
        <x:v>0</x:v>
      </x:c>
      <x:c r="AD291" s="27" t="n">
        <x:f>IF(AA291+AB291-AC291&lt;=0,99,1+SUM(IF(AND(C291+D291-E291&gt;0,OR('Debt strategy'!$D$9&gt;'Debt strategy'!$D$13,AND('Debt strategy'!$D$9='Debt strategy'!$D$13,0&lt;4))),1,0),IF(AND(I291+J291-K291&gt;0,OR('Debt strategy'!$D$10&gt;'Debt strategy'!$D$13,AND('Debt strategy'!$D$10='Debt strategy'!$D$13,1&lt;4))),1,0),IF(AND(O291+P291-Q291&gt;0,OR('Debt strategy'!$D$11&gt;'Debt strategy'!$D$13,AND('Debt strategy'!$D$11='Debt strategy'!$D$13,2&lt;4))),1,0),IF(AND(U291+V291-W291&gt;0,OR('Debt strategy'!$D$12&gt;'Debt strategy'!$D$13,AND('Debt strategy'!$D$12='Debt strategy'!$D$13,3&lt;4))),1,0)))</x:f>
        <x:v>99</x:v>
      </x:c>
      <x:c r="AE291" s="6" t="n">
        <x:f>IF('Debt strategy'!$C$16&gt;0,0,MIN(AA291+AB291-AC291,MAX(0,'Debt strategy'!$C$5-SUM(E291,K291,Q291,W291,AC291)-SUM(IF(F291&lt;AD291,C291+D291-E291,0),IF(L291&lt;AD291,I291+J291-K291,0),IF(R291&lt;AD291,O291+P291-Q291,0),IF(X291&lt;AD291,U291+V291-W291,0)))))</x:f>
        <x:v>0</x:v>
      </x:c>
      <x:c r="AF291" s="6" t="n">
        <x:f>ROUND(MAX(0,AA291+AB291-AC291-AE291),2)</x:f>
        <x:v>0</x:v>
      </x:c>
      <x:c r="AG291" s="6" t="n">
        <x:f>SUM(H291,N291,T291,Z291,AF291)</x:f>
        <x:v>0</x:v>
      </x:c>
      <x:c r="AH291" s="6" t="n">
        <x:f>SUM(D291,J291,P291,V291,AB291)+AH290</x:f>
        <x:v>1220.8400000000001</x:v>
      </x:c>
      <x:c r="AI291" s="2"/>
    </x:row>
    <x:row r="292" ht="23" customHeight="1">
      <x:c r="B292" s="2" t="n">
        <x:f>284</x:f>
        <x:v>284</x:v>
      </x:c>
      <x:c r="C292" s="6" t="n">
        <x:f>H291</x:f>
        <x:v>0</x:v>
      </x:c>
      <x:c r="D292" s="6" t="n">
        <x:f>ROUND(C292*'Debt strategy'!$D$9/12,2)</x:f>
        <x:v>0</x:v>
      </x:c>
      <x:c r="E292" s="6" t="n">
        <x:f>MIN(C292+D292,'Debt strategy'!$E$9)</x:f>
        <x:v>0</x:v>
      </x:c>
      <x:c r="F292" s="27" t="n">
        <x:f>IF(C292+D292-E292&lt;=0,99,1+SUM(IF(AND(I292+J292-K292&gt;0,OR('Debt strategy'!$D$10&gt;'Debt strategy'!$D$9,AND('Debt strategy'!$D$10='Debt strategy'!$D$9,1&lt;0))),1,0),IF(AND(O292+P292-Q292&gt;0,OR('Debt strategy'!$D$11&gt;'Debt strategy'!$D$9,AND('Debt strategy'!$D$11='Debt strategy'!$D$9,2&lt;0))),1,0),IF(AND(U292+V292-W292&gt;0,OR('Debt strategy'!$D$12&gt;'Debt strategy'!$D$9,AND('Debt strategy'!$D$12='Debt strategy'!$D$9,3&lt;0))),1,0),IF(AND(AA292+AB292-AC292&gt;0,OR('Debt strategy'!$D$13&gt;'Debt strategy'!$D$9,AND('Debt strategy'!$D$13='Debt strategy'!$D$9,4&lt;0))),1,0)))</x:f>
        <x:v>99</x:v>
      </x:c>
      <x:c r="G292" s="6" t="n">
        <x:f>IF('Debt strategy'!$C$16&gt;0,0,MIN(C292+D292-E292,MAX(0,'Debt strategy'!$C$5-SUM(E292,K292,Q292,W292,AC292)-SUM(IF(L292&lt;F292,I292+J292-K292,0),IF(R292&lt;F292,O292+P292-Q292,0),IF(X292&lt;F292,U292+V292-W292,0),IF(AD292&lt;F292,AA292+AB292-AC292,0)))))</x:f>
        <x:v>0</x:v>
      </x:c>
      <x:c r="H292" s="6" t="n">
        <x:f>ROUND(MAX(0,C292+D292-E292-G292),2)</x:f>
        <x:v>0</x:v>
      </x:c>
      <x:c r="I292" s="6" t="n">
        <x:f>N291</x:f>
        <x:v>0</x:v>
      </x:c>
      <x:c r="J292" s="6" t="n">
        <x:f>ROUND(I292*'Debt strategy'!$D$10/12,2)</x:f>
        <x:v>0</x:v>
      </x:c>
      <x:c r="K292" s="6" t="n">
        <x:f>MIN(I292+J292,'Debt strategy'!$E$10)</x:f>
        <x:v>0</x:v>
      </x:c>
      <x:c r="L292" s="27" t="n">
        <x:f>IF(I292+J292-K292&lt;=0,99,1+SUM(IF(AND(C292+D292-E292&gt;0,OR('Debt strategy'!$D$9&gt;'Debt strategy'!$D$10,AND('Debt strategy'!$D$9='Debt strategy'!$D$10,0&lt;1))),1,0),IF(AND(O292+P292-Q292&gt;0,OR('Debt strategy'!$D$11&gt;'Debt strategy'!$D$10,AND('Debt strategy'!$D$11='Debt strategy'!$D$10,2&lt;1))),1,0),IF(AND(U292+V292-W292&gt;0,OR('Debt strategy'!$D$12&gt;'Debt strategy'!$D$10,AND('Debt strategy'!$D$12='Debt strategy'!$D$10,3&lt;1))),1,0),IF(AND(AA292+AB292-AC292&gt;0,OR('Debt strategy'!$D$13&gt;'Debt strategy'!$D$10,AND('Debt strategy'!$D$13='Debt strategy'!$D$10,4&lt;1))),1,0)))</x:f>
        <x:v>99</x:v>
      </x:c>
      <x:c r="M292" s="6" t="n">
        <x:f>IF('Debt strategy'!$C$16&gt;0,0,MIN(I292+J292-K292,MAX(0,'Debt strategy'!$C$5-SUM(E292,K292,Q292,W292,AC292)-SUM(IF(F292&lt;L292,C292+D292-E292,0),IF(R292&lt;L292,O292+P292-Q292,0),IF(X292&lt;L292,U292+V292-W292,0),IF(AD292&lt;L292,AA292+AB292-AC292,0)))))</x:f>
        <x:v>0</x:v>
      </x:c>
      <x:c r="N292" s="6" t="n">
        <x:f>ROUND(MAX(0,I292+J292-K292-M292),2)</x:f>
        <x:v>0</x:v>
      </x:c>
      <x:c r="O292" s="6" t="n">
        <x:f>T291</x:f>
        <x:v>0</x:v>
      </x:c>
      <x:c r="P292" s="6" t="n">
        <x:f>ROUND(O292*'Debt strategy'!$D$11/12,2)</x:f>
        <x:v>0</x:v>
      </x:c>
      <x:c r="Q292" s="6" t="n">
        <x:f>MIN(O292+P292,'Debt strategy'!$E$11)</x:f>
        <x:v>0</x:v>
      </x:c>
      <x:c r="R292" s="27" t="n">
        <x:f>IF(O292+P292-Q292&lt;=0,99,1+SUM(IF(AND(C292+D292-E292&gt;0,OR('Debt strategy'!$D$9&gt;'Debt strategy'!$D$11,AND('Debt strategy'!$D$9='Debt strategy'!$D$11,0&lt;2))),1,0),IF(AND(I292+J292-K292&gt;0,OR('Debt strategy'!$D$10&gt;'Debt strategy'!$D$11,AND('Debt strategy'!$D$10='Debt strategy'!$D$11,1&lt;2))),1,0),IF(AND(U292+V292-W292&gt;0,OR('Debt strategy'!$D$12&gt;'Debt strategy'!$D$11,AND('Debt strategy'!$D$12='Debt strategy'!$D$11,3&lt;2))),1,0),IF(AND(AA292+AB292-AC292&gt;0,OR('Debt strategy'!$D$13&gt;'Debt strategy'!$D$11,AND('Debt strategy'!$D$13='Debt strategy'!$D$11,4&lt;2))),1,0)))</x:f>
        <x:v>99</x:v>
      </x:c>
      <x:c r="S292" s="6" t="n">
        <x:f>IF('Debt strategy'!$C$16&gt;0,0,MIN(O292+P292-Q292,MAX(0,'Debt strategy'!$C$5-SUM(E292,K292,Q292,W292,AC292)-SUM(IF(F292&lt;R292,C292+D292-E292,0),IF(L292&lt;R292,I292+J292-K292,0),IF(X292&lt;R292,U292+V292-W292,0),IF(AD292&lt;R292,AA292+AB292-AC292,0)))))</x:f>
        <x:v>0</x:v>
      </x:c>
      <x:c r="T292" s="6" t="n">
        <x:f>ROUND(MAX(0,O292+P292-Q292-S292),2)</x:f>
        <x:v>0</x:v>
      </x:c>
      <x:c r="U292" s="6" t="n">
        <x:f>Z291</x:f>
        <x:v>0</x:v>
      </x:c>
      <x:c r="V292" s="6" t="n">
        <x:f>ROUND(U292*'Debt strategy'!$D$12/12,2)</x:f>
        <x:v>0</x:v>
      </x:c>
      <x:c r="W292" s="6" t="n">
        <x:f>MIN(U292+V292,'Debt strategy'!$E$12)</x:f>
        <x:v>0</x:v>
      </x:c>
      <x:c r="X292" s="27" t="n">
        <x:f>IF(U292+V292-W292&lt;=0,99,1+SUM(IF(AND(C292+D292-E292&gt;0,OR('Debt strategy'!$D$9&gt;'Debt strategy'!$D$12,AND('Debt strategy'!$D$9='Debt strategy'!$D$12,0&lt;3))),1,0),IF(AND(I292+J292-K292&gt;0,OR('Debt strategy'!$D$10&gt;'Debt strategy'!$D$12,AND('Debt strategy'!$D$10='Debt strategy'!$D$12,1&lt;3))),1,0),IF(AND(O292+P292-Q292&gt;0,OR('Debt strategy'!$D$11&gt;'Debt strategy'!$D$12,AND('Debt strategy'!$D$11='Debt strategy'!$D$12,2&lt;3))),1,0),IF(AND(AA292+AB292-AC292&gt;0,OR('Debt strategy'!$D$13&gt;'Debt strategy'!$D$12,AND('Debt strategy'!$D$13='Debt strategy'!$D$12,4&lt;3))),1,0)))</x:f>
        <x:v>99</x:v>
      </x:c>
      <x:c r="Y292" s="6" t="n">
        <x:f>IF('Debt strategy'!$C$16&gt;0,0,MIN(U292+V292-W292,MAX(0,'Debt strategy'!$C$5-SUM(E292,K292,Q292,W292,AC292)-SUM(IF(F292&lt;X292,C292+D292-E292,0),IF(L292&lt;X292,I292+J292-K292,0),IF(R292&lt;X292,O292+P292-Q292,0),IF(AD292&lt;X292,AA292+AB292-AC292,0)))))</x:f>
        <x:v>0</x:v>
      </x:c>
      <x:c r="Z292" s="6" t="n">
        <x:f>ROUND(MAX(0,U292+V292-W292-Y292),2)</x:f>
        <x:v>0</x:v>
      </x:c>
      <x:c r="AA292" s="6" t="n">
        <x:f>AF291</x:f>
        <x:v>0</x:v>
      </x:c>
      <x:c r="AB292" s="6" t="n">
        <x:f>ROUND(AA292*'Debt strategy'!$D$13/12,2)</x:f>
        <x:v>0</x:v>
      </x:c>
      <x:c r="AC292" s="6" t="n">
        <x:f>MIN(AA292+AB292,'Debt strategy'!$E$13)</x:f>
        <x:v>0</x:v>
      </x:c>
      <x:c r="AD292" s="27" t="n">
        <x:f>IF(AA292+AB292-AC292&lt;=0,99,1+SUM(IF(AND(C292+D292-E292&gt;0,OR('Debt strategy'!$D$9&gt;'Debt strategy'!$D$13,AND('Debt strategy'!$D$9='Debt strategy'!$D$13,0&lt;4))),1,0),IF(AND(I292+J292-K292&gt;0,OR('Debt strategy'!$D$10&gt;'Debt strategy'!$D$13,AND('Debt strategy'!$D$10='Debt strategy'!$D$13,1&lt;4))),1,0),IF(AND(O292+P292-Q292&gt;0,OR('Debt strategy'!$D$11&gt;'Debt strategy'!$D$13,AND('Debt strategy'!$D$11='Debt strategy'!$D$13,2&lt;4))),1,0),IF(AND(U292+V292-W292&gt;0,OR('Debt strategy'!$D$12&gt;'Debt strategy'!$D$13,AND('Debt strategy'!$D$12='Debt strategy'!$D$13,3&lt;4))),1,0)))</x:f>
        <x:v>99</x:v>
      </x:c>
      <x:c r="AE292" s="6" t="n">
        <x:f>IF('Debt strategy'!$C$16&gt;0,0,MIN(AA292+AB292-AC292,MAX(0,'Debt strategy'!$C$5-SUM(E292,K292,Q292,W292,AC292)-SUM(IF(F292&lt;AD292,C292+D292-E292,0),IF(L292&lt;AD292,I292+J292-K292,0),IF(R292&lt;AD292,O292+P292-Q292,0),IF(X292&lt;AD292,U292+V292-W292,0)))))</x:f>
        <x:v>0</x:v>
      </x:c>
      <x:c r="AF292" s="6" t="n">
        <x:f>ROUND(MAX(0,AA292+AB292-AC292-AE292),2)</x:f>
        <x:v>0</x:v>
      </x:c>
      <x:c r="AG292" s="6" t="n">
        <x:f>SUM(H292,N292,T292,Z292,AF292)</x:f>
        <x:v>0</x:v>
      </x:c>
      <x:c r="AH292" s="6" t="n">
        <x:f>SUM(D292,J292,P292,V292,AB292)+AH291</x:f>
        <x:v>1220.8400000000001</x:v>
      </x:c>
      <x:c r="AI292" s="2"/>
    </x:row>
    <x:row r="293" ht="23" customHeight="1">
      <x:c r="B293" s="2" t="n">
        <x:f>285</x:f>
        <x:v>285</x:v>
      </x:c>
      <x:c r="C293" s="6" t="n">
        <x:f>H292</x:f>
        <x:v>0</x:v>
      </x:c>
      <x:c r="D293" s="6" t="n">
        <x:f>ROUND(C293*'Debt strategy'!$D$9/12,2)</x:f>
        <x:v>0</x:v>
      </x:c>
      <x:c r="E293" s="6" t="n">
        <x:f>MIN(C293+D293,'Debt strategy'!$E$9)</x:f>
        <x:v>0</x:v>
      </x:c>
      <x:c r="F293" s="27" t="n">
        <x:f>IF(C293+D293-E293&lt;=0,99,1+SUM(IF(AND(I293+J293-K293&gt;0,OR('Debt strategy'!$D$10&gt;'Debt strategy'!$D$9,AND('Debt strategy'!$D$10='Debt strategy'!$D$9,1&lt;0))),1,0),IF(AND(O293+P293-Q293&gt;0,OR('Debt strategy'!$D$11&gt;'Debt strategy'!$D$9,AND('Debt strategy'!$D$11='Debt strategy'!$D$9,2&lt;0))),1,0),IF(AND(U293+V293-W293&gt;0,OR('Debt strategy'!$D$12&gt;'Debt strategy'!$D$9,AND('Debt strategy'!$D$12='Debt strategy'!$D$9,3&lt;0))),1,0),IF(AND(AA293+AB293-AC293&gt;0,OR('Debt strategy'!$D$13&gt;'Debt strategy'!$D$9,AND('Debt strategy'!$D$13='Debt strategy'!$D$9,4&lt;0))),1,0)))</x:f>
        <x:v>99</x:v>
      </x:c>
      <x:c r="G293" s="6" t="n">
        <x:f>IF('Debt strategy'!$C$16&gt;0,0,MIN(C293+D293-E293,MAX(0,'Debt strategy'!$C$5-SUM(E293,K293,Q293,W293,AC293)-SUM(IF(L293&lt;F293,I293+J293-K293,0),IF(R293&lt;F293,O293+P293-Q293,0),IF(X293&lt;F293,U293+V293-W293,0),IF(AD293&lt;F293,AA293+AB293-AC293,0)))))</x:f>
        <x:v>0</x:v>
      </x:c>
      <x:c r="H293" s="6" t="n">
        <x:f>ROUND(MAX(0,C293+D293-E293-G293),2)</x:f>
        <x:v>0</x:v>
      </x:c>
      <x:c r="I293" s="6" t="n">
        <x:f>N292</x:f>
        <x:v>0</x:v>
      </x:c>
      <x:c r="J293" s="6" t="n">
        <x:f>ROUND(I293*'Debt strategy'!$D$10/12,2)</x:f>
        <x:v>0</x:v>
      </x:c>
      <x:c r="K293" s="6" t="n">
        <x:f>MIN(I293+J293,'Debt strategy'!$E$10)</x:f>
        <x:v>0</x:v>
      </x:c>
      <x:c r="L293" s="27" t="n">
        <x:f>IF(I293+J293-K293&lt;=0,99,1+SUM(IF(AND(C293+D293-E293&gt;0,OR('Debt strategy'!$D$9&gt;'Debt strategy'!$D$10,AND('Debt strategy'!$D$9='Debt strategy'!$D$10,0&lt;1))),1,0),IF(AND(O293+P293-Q293&gt;0,OR('Debt strategy'!$D$11&gt;'Debt strategy'!$D$10,AND('Debt strategy'!$D$11='Debt strategy'!$D$10,2&lt;1))),1,0),IF(AND(U293+V293-W293&gt;0,OR('Debt strategy'!$D$12&gt;'Debt strategy'!$D$10,AND('Debt strategy'!$D$12='Debt strategy'!$D$10,3&lt;1))),1,0),IF(AND(AA293+AB293-AC293&gt;0,OR('Debt strategy'!$D$13&gt;'Debt strategy'!$D$10,AND('Debt strategy'!$D$13='Debt strategy'!$D$10,4&lt;1))),1,0)))</x:f>
        <x:v>99</x:v>
      </x:c>
      <x:c r="M293" s="6" t="n">
        <x:f>IF('Debt strategy'!$C$16&gt;0,0,MIN(I293+J293-K293,MAX(0,'Debt strategy'!$C$5-SUM(E293,K293,Q293,W293,AC293)-SUM(IF(F293&lt;L293,C293+D293-E293,0),IF(R293&lt;L293,O293+P293-Q293,0),IF(X293&lt;L293,U293+V293-W293,0),IF(AD293&lt;L293,AA293+AB293-AC293,0)))))</x:f>
        <x:v>0</x:v>
      </x:c>
      <x:c r="N293" s="6" t="n">
        <x:f>ROUND(MAX(0,I293+J293-K293-M293),2)</x:f>
        <x:v>0</x:v>
      </x:c>
      <x:c r="O293" s="6" t="n">
        <x:f>T292</x:f>
        <x:v>0</x:v>
      </x:c>
      <x:c r="P293" s="6" t="n">
        <x:f>ROUND(O293*'Debt strategy'!$D$11/12,2)</x:f>
        <x:v>0</x:v>
      </x:c>
      <x:c r="Q293" s="6" t="n">
        <x:f>MIN(O293+P293,'Debt strategy'!$E$11)</x:f>
        <x:v>0</x:v>
      </x:c>
      <x:c r="R293" s="27" t="n">
        <x:f>IF(O293+P293-Q293&lt;=0,99,1+SUM(IF(AND(C293+D293-E293&gt;0,OR('Debt strategy'!$D$9&gt;'Debt strategy'!$D$11,AND('Debt strategy'!$D$9='Debt strategy'!$D$11,0&lt;2))),1,0),IF(AND(I293+J293-K293&gt;0,OR('Debt strategy'!$D$10&gt;'Debt strategy'!$D$11,AND('Debt strategy'!$D$10='Debt strategy'!$D$11,1&lt;2))),1,0),IF(AND(U293+V293-W293&gt;0,OR('Debt strategy'!$D$12&gt;'Debt strategy'!$D$11,AND('Debt strategy'!$D$12='Debt strategy'!$D$11,3&lt;2))),1,0),IF(AND(AA293+AB293-AC293&gt;0,OR('Debt strategy'!$D$13&gt;'Debt strategy'!$D$11,AND('Debt strategy'!$D$13='Debt strategy'!$D$11,4&lt;2))),1,0)))</x:f>
        <x:v>99</x:v>
      </x:c>
      <x:c r="S293" s="6" t="n">
        <x:f>IF('Debt strategy'!$C$16&gt;0,0,MIN(O293+P293-Q293,MAX(0,'Debt strategy'!$C$5-SUM(E293,K293,Q293,W293,AC293)-SUM(IF(F293&lt;R293,C293+D293-E293,0),IF(L293&lt;R293,I293+J293-K293,0),IF(X293&lt;R293,U293+V293-W293,0),IF(AD293&lt;R293,AA293+AB293-AC293,0)))))</x:f>
        <x:v>0</x:v>
      </x:c>
      <x:c r="T293" s="6" t="n">
        <x:f>ROUND(MAX(0,O293+P293-Q293-S293),2)</x:f>
        <x:v>0</x:v>
      </x:c>
      <x:c r="U293" s="6" t="n">
        <x:f>Z292</x:f>
        <x:v>0</x:v>
      </x:c>
      <x:c r="V293" s="6" t="n">
        <x:f>ROUND(U293*'Debt strategy'!$D$12/12,2)</x:f>
        <x:v>0</x:v>
      </x:c>
      <x:c r="W293" s="6" t="n">
        <x:f>MIN(U293+V293,'Debt strategy'!$E$12)</x:f>
        <x:v>0</x:v>
      </x:c>
      <x:c r="X293" s="27" t="n">
        <x:f>IF(U293+V293-W293&lt;=0,99,1+SUM(IF(AND(C293+D293-E293&gt;0,OR('Debt strategy'!$D$9&gt;'Debt strategy'!$D$12,AND('Debt strategy'!$D$9='Debt strategy'!$D$12,0&lt;3))),1,0),IF(AND(I293+J293-K293&gt;0,OR('Debt strategy'!$D$10&gt;'Debt strategy'!$D$12,AND('Debt strategy'!$D$10='Debt strategy'!$D$12,1&lt;3))),1,0),IF(AND(O293+P293-Q293&gt;0,OR('Debt strategy'!$D$11&gt;'Debt strategy'!$D$12,AND('Debt strategy'!$D$11='Debt strategy'!$D$12,2&lt;3))),1,0),IF(AND(AA293+AB293-AC293&gt;0,OR('Debt strategy'!$D$13&gt;'Debt strategy'!$D$12,AND('Debt strategy'!$D$13='Debt strategy'!$D$12,4&lt;3))),1,0)))</x:f>
        <x:v>99</x:v>
      </x:c>
      <x:c r="Y293" s="6" t="n">
        <x:f>IF('Debt strategy'!$C$16&gt;0,0,MIN(U293+V293-W293,MAX(0,'Debt strategy'!$C$5-SUM(E293,K293,Q293,W293,AC293)-SUM(IF(F293&lt;X293,C293+D293-E293,0),IF(L293&lt;X293,I293+J293-K293,0),IF(R293&lt;X293,O293+P293-Q293,0),IF(AD293&lt;X293,AA293+AB293-AC293,0)))))</x:f>
        <x:v>0</x:v>
      </x:c>
      <x:c r="Z293" s="6" t="n">
        <x:f>ROUND(MAX(0,U293+V293-W293-Y293),2)</x:f>
        <x:v>0</x:v>
      </x:c>
      <x:c r="AA293" s="6" t="n">
        <x:f>AF292</x:f>
        <x:v>0</x:v>
      </x:c>
      <x:c r="AB293" s="6" t="n">
        <x:f>ROUND(AA293*'Debt strategy'!$D$13/12,2)</x:f>
        <x:v>0</x:v>
      </x:c>
      <x:c r="AC293" s="6" t="n">
        <x:f>MIN(AA293+AB293,'Debt strategy'!$E$13)</x:f>
        <x:v>0</x:v>
      </x:c>
      <x:c r="AD293" s="27" t="n">
        <x:f>IF(AA293+AB293-AC293&lt;=0,99,1+SUM(IF(AND(C293+D293-E293&gt;0,OR('Debt strategy'!$D$9&gt;'Debt strategy'!$D$13,AND('Debt strategy'!$D$9='Debt strategy'!$D$13,0&lt;4))),1,0),IF(AND(I293+J293-K293&gt;0,OR('Debt strategy'!$D$10&gt;'Debt strategy'!$D$13,AND('Debt strategy'!$D$10='Debt strategy'!$D$13,1&lt;4))),1,0),IF(AND(O293+P293-Q293&gt;0,OR('Debt strategy'!$D$11&gt;'Debt strategy'!$D$13,AND('Debt strategy'!$D$11='Debt strategy'!$D$13,2&lt;4))),1,0),IF(AND(U293+V293-W293&gt;0,OR('Debt strategy'!$D$12&gt;'Debt strategy'!$D$13,AND('Debt strategy'!$D$12='Debt strategy'!$D$13,3&lt;4))),1,0)))</x:f>
        <x:v>99</x:v>
      </x:c>
      <x:c r="AE293" s="6" t="n">
        <x:f>IF('Debt strategy'!$C$16&gt;0,0,MIN(AA293+AB293-AC293,MAX(0,'Debt strategy'!$C$5-SUM(E293,K293,Q293,W293,AC293)-SUM(IF(F293&lt;AD293,C293+D293-E293,0),IF(L293&lt;AD293,I293+J293-K293,0),IF(R293&lt;AD293,O293+P293-Q293,0),IF(X293&lt;AD293,U293+V293-W293,0)))))</x:f>
        <x:v>0</x:v>
      </x:c>
      <x:c r="AF293" s="6" t="n">
        <x:f>ROUND(MAX(0,AA293+AB293-AC293-AE293),2)</x:f>
        <x:v>0</x:v>
      </x:c>
      <x:c r="AG293" s="6" t="n">
        <x:f>SUM(H293,N293,T293,Z293,AF293)</x:f>
        <x:v>0</x:v>
      </x:c>
      <x:c r="AH293" s="6" t="n">
        <x:f>SUM(D293,J293,P293,V293,AB293)+AH292</x:f>
        <x:v>1220.8400000000001</x:v>
      </x:c>
      <x:c r="AI293" s="2"/>
    </x:row>
    <x:row r="294" ht="23" customHeight="1">
      <x:c r="B294" s="2" t="n">
        <x:f>286</x:f>
        <x:v>286</x:v>
      </x:c>
      <x:c r="C294" s="6" t="n">
        <x:f>H293</x:f>
        <x:v>0</x:v>
      </x:c>
      <x:c r="D294" s="6" t="n">
        <x:f>ROUND(C294*'Debt strategy'!$D$9/12,2)</x:f>
        <x:v>0</x:v>
      </x:c>
      <x:c r="E294" s="6" t="n">
        <x:f>MIN(C294+D294,'Debt strategy'!$E$9)</x:f>
        <x:v>0</x:v>
      </x:c>
      <x:c r="F294" s="27" t="n">
        <x:f>IF(C294+D294-E294&lt;=0,99,1+SUM(IF(AND(I294+J294-K294&gt;0,OR('Debt strategy'!$D$10&gt;'Debt strategy'!$D$9,AND('Debt strategy'!$D$10='Debt strategy'!$D$9,1&lt;0))),1,0),IF(AND(O294+P294-Q294&gt;0,OR('Debt strategy'!$D$11&gt;'Debt strategy'!$D$9,AND('Debt strategy'!$D$11='Debt strategy'!$D$9,2&lt;0))),1,0),IF(AND(U294+V294-W294&gt;0,OR('Debt strategy'!$D$12&gt;'Debt strategy'!$D$9,AND('Debt strategy'!$D$12='Debt strategy'!$D$9,3&lt;0))),1,0),IF(AND(AA294+AB294-AC294&gt;0,OR('Debt strategy'!$D$13&gt;'Debt strategy'!$D$9,AND('Debt strategy'!$D$13='Debt strategy'!$D$9,4&lt;0))),1,0)))</x:f>
        <x:v>99</x:v>
      </x:c>
      <x:c r="G294" s="6" t="n">
        <x:f>IF('Debt strategy'!$C$16&gt;0,0,MIN(C294+D294-E294,MAX(0,'Debt strategy'!$C$5-SUM(E294,K294,Q294,W294,AC294)-SUM(IF(L294&lt;F294,I294+J294-K294,0),IF(R294&lt;F294,O294+P294-Q294,0),IF(X294&lt;F294,U294+V294-W294,0),IF(AD294&lt;F294,AA294+AB294-AC294,0)))))</x:f>
        <x:v>0</x:v>
      </x:c>
      <x:c r="H294" s="6" t="n">
        <x:f>ROUND(MAX(0,C294+D294-E294-G294),2)</x:f>
        <x:v>0</x:v>
      </x:c>
      <x:c r="I294" s="6" t="n">
        <x:f>N293</x:f>
        <x:v>0</x:v>
      </x:c>
      <x:c r="J294" s="6" t="n">
        <x:f>ROUND(I294*'Debt strategy'!$D$10/12,2)</x:f>
        <x:v>0</x:v>
      </x:c>
      <x:c r="K294" s="6" t="n">
        <x:f>MIN(I294+J294,'Debt strategy'!$E$10)</x:f>
        <x:v>0</x:v>
      </x:c>
      <x:c r="L294" s="27" t="n">
        <x:f>IF(I294+J294-K294&lt;=0,99,1+SUM(IF(AND(C294+D294-E294&gt;0,OR('Debt strategy'!$D$9&gt;'Debt strategy'!$D$10,AND('Debt strategy'!$D$9='Debt strategy'!$D$10,0&lt;1))),1,0),IF(AND(O294+P294-Q294&gt;0,OR('Debt strategy'!$D$11&gt;'Debt strategy'!$D$10,AND('Debt strategy'!$D$11='Debt strategy'!$D$10,2&lt;1))),1,0),IF(AND(U294+V294-W294&gt;0,OR('Debt strategy'!$D$12&gt;'Debt strategy'!$D$10,AND('Debt strategy'!$D$12='Debt strategy'!$D$10,3&lt;1))),1,0),IF(AND(AA294+AB294-AC294&gt;0,OR('Debt strategy'!$D$13&gt;'Debt strategy'!$D$10,AND('Debt strategy'!$D$13='Debt strategy'!$D$10,4&lt;1))),1,0)))</x:f>
        <x:v>99</x:v>
      </x:c>
      <x:c r="M294" s="6" t="n">
        <x:f>IF('Debt strategy'!$C$16&gt;0,0,MIN(I294+J294-K294,MAX(0,'Debt strategy'!$C$5-SUM(E294,K294,Q294,W294,AC294)-SUM(IF(F294&lt;L294,C294+D294-E294,0),IF(R294&lt;L294,O294+P294-Q294,0),IF(X294&lt;L294,U294+V294-W294,0),IF(AD294&lt;L294,AA294+AB294-AC294,0)))))</x:f>
        <x:v>0</x:v>
      </x:c>
      <x:c r="N294" s="6" t="n">
        <x:f>ROUND(MAX(0,I294+J294-K294-M294),2)</x:f>
        <x:v>0</x:v>
      </x:c>
      <x:c r="O294" s="6" t="n">
        <x:f>T293</x:f>
        <x:v>0</x:v>
      </x:c>
      <x:c r="P294" s="6" t="n">
        <x:f>ROUND(O294*'Debt strategy'!$D$11/12,2)</x:f>
        <x:v>0</x:v>
      </x:c>
      <x:c r="Q294" s="6" t="n">
        <x:f>MIN(O294+P294,'Debt strategy'!$E$11)</x:f>
        <x:v>0</x:v>
      </x:c>
      <x:c r="R294" s="27" t="n">
        <x:f>IF(O294+P294-Q294&lt;=0,99,1+SUM(IF(AND(C294+D294-E294&gt;0,OR('Debt strategy'!$D$9&gt;'Debt strategy'!$D$11,AND('Debt strategy'!$D$9='Debt strategy'!$D$11,0&lt;2))),1,0),IF(AND(I294+J294-K294&gt;0,OR('Debt strategy'!$D$10&gt;'Debt strategy'!$D$11,AND('Debt strategy'!$D$10='Debt strategy'!$D$11,1&lt;2))),1,0),IF(AND(U294+V294-W294&gt;0,OR('Debt strategy'!$D$12&gt;'Debt strategy'!$D$11,AND('Debt strategy'!$D$12='Debt strategy'!$D$11,3&lt;2))),1,0),IF(AND(AA294+AB294-AC294&gt;0,OR('Debt strategy'!$D$13&gt;'Debt strategy'!$D$11,AND('Debt strategy'!$D$13='Debt strategy'!$D$11,4&lt;2))),1,0)))</x:f>
        <x:v>99</x:v>
      </x:c>
      <x:c r="S294" s="6" t="n">
        <x:f>IF('Debt strategy'!$C$16&gt;0,0,MIN(O294+P294-Q294,MAX(0,'Debt strategy'!$C$5-SUM(E294,K294,Q294,W294,AC294)-SUM(IF(F294&lt;R294,C294+D294-E294,0),IF(L294&lt;R294,I294+J294-K294,0),IF(X294&lt;R294,U294+V294-W294,0),IF(AD294&lt;R294,AA294+AB294-AC294,0)))))</x:f>
        <x:v>0</x:v>
      </x:c>
      <x:c r="T294" s="6" t="n">
        <x:f>ROUND(MAX(0,O294+P294-Q294-S294),2)</x:f>
        <x:v>0</x:v>
      </x:c>
      <x:c r="U294" s="6" t="n">
        <x:f>Z293</x:f>
        <x:v>0</x:v>
      </x:c>
      <x:c r="V294" s="6" t="n">
        <x:f>ROUND(U294*'Debt strategy'!$D$12/12,2)</x:f>
        <x:v>0</x:v>
      </x:c>
      <x:c r="W294" s="6" t="n">
        <x:f>MIN(U294+V294,'Debt strategy'!$E$12)</x:f>
        <x:v>0</x:v>
      </x:c>
      <x:c r="X294" s="27" t="n">
        <x:f>IF(U294+V294-W294&lt;=0,99,1+SUM(IF(AND(C294+D294-E294&gt;0,OR('Debt strategy'!$D$9&gt;'Debt strategy'!$D$12,AND('Debt strategy'!$D$9='Debt strategy'!$D$12,0&lt;3))),1,0),IF(AND(I294+J294-K294&gt;0,OR('Debt strategy'!$D$10&gt;'Debt strategy'!$D$12,AND('Debt strategy'!$D$10='Debt strategy'!$D$12,1&lt;3))),1,0),IF(AND(O294+P294-Q294&gt;0,OR('Debt strategy'!$D$11&gt;'Debt strategy'!$D$12,AND('Debt strategy'!$D$11='Debt strategy'!$D$12,2&lt;3))),1,0),IF(AND(AA294+AB294-AC294&gt;0,OR('Debt strategy'!$D$13&gt;'Debt strategy'!$D$12,AND('Debt strategy'!$D$13='Debt strategy'!$D$12,4&lt;3))),1,0)))</x:f>
        <x:v>99</x:v>
      </x:c>
      <x:c r="Y294" s="6" t="n">
        <x:f>IF('Debt strategy'!$C$16&gt;0,0,MIN(U294+V294-W294,MAX(0,'Debt strategy'!$C$5-SUM(E294,K294,Q294,W294,AC294)-SUM(IF(F294&lt;X294,C294+D294-E294,0),IF(L294&lt;X294,I294+J294-K294,0),IF(R294&lt;X294,O294+P294-Q294,0),IF(AD294&lt;X294,AA294+AB294-AC294,0)))))</x:f>
        <x:v>0</x:v>
      </x:c>
      <x:c r="Z294" s="6" t="n">
        <x:f>ROUND(MAX(0,U294+V294-W294-Y294),2)</x:f>
        <x:v>0</x:v>
      </x:c>
      <x:c r="AA294" s="6" t="n">
        <x:f>AF293</x:f>
        <x:v>0</x:v>
      </x:c>
      <x:c r="AB294" s="6" t="n">
        <x:f>ROUND(AA294*'Debt strategy'!$D$13/12,2)</x:f>
        <x:v>0</x:v>
      </x:c>
      <x:c r="AC294" s="6" t="n">
        <x:f>MIN(AA294+AB294,'Debt strategy'!$E$13)</x:f>
        <x:v>0</x:v>
      </x:c>
      <x:c r="AD294" s="27" t="n">
        <x:f>IF(AA294+AB294-AC294&lt;=0,99,1+SUM(IF(AND(C294+D294-E294&gt;0,OR('Debt strategy'!$D$9&gt;'Debt strategy'!$D$13,AND('Debt strategy'!$D$9='Debt strategy'!$D$13,0&lt;4))),1,0),IF(AND(I294+J294-K294&gt;0,OR('Debt strategy'!$D$10&gt;'Debt strategy'!$D$13,AND('Debt strategy'!$D$10='Debt strategy'!$D$13,1&lt;4))),1,0),IF(AND(O294+P294-Q294&gt;0,OR('Debt strategy'!$D$11&gt;'Debt strategy'!$D$13,AND('Debt strategy'!$D$11='Debt strategy'!$D$13,2&lt;4))),1,0),IF(AND(U294+V294-W294&gt;0,OR('Debt strategy'!$D$12&gt;'Debt strategy'!$D$13,AND('Debt strategy'!$D$12='Debt strategy'!$D$13,3&lt;4))),1,0)))</x:f>
        <x:v>99</x:v>
      </x:c>
      <x:c r="AE294" s="6" t="n">
        <x:f>IF('Debt strategy'!$C$16&gt;0,0,MIN(AA294+AB294-AC294,MAX(0,'Debt strategy'!$C$5-SUM(E294,K294,Q294,W294,AC294)-SUM(IF(F294&lt;AD294,C294+D294-E294,0),IF(L294&lt;AD294,I294+J294-K294,0),IF(R294&lt;AD294,O294+P294-Q294,0),IF(X294&lt;AD294,U294+V294-W294,0)))))</x:f>
        <x:v>0</x:v>
      </x:c>
      <x:c r="AF294" s="6" t="n">
        <x:f>ROUND(MAX(0,AA294+AB294-AC294-AE294),2)</x:f>
        <x:v>0</x:v>
      </x:c>
      <x:c r="AG294" s="6" t="n">
        <x:f>SUM(H294,N294,T294,Z294,AF294)</x:f>
        <x:v>0</x:v>
      </x:c>
      <x:c r="AH294" s="6" t="n">
        <x:f>SUM(D294,J294,P294,V294,AB294)+AH293</x:f>
        <x:v>1220.8400000000001</x:v>
      </x:c>
      <x:c r="AI294" s="2"/>
    </x:row>
    <x:row r="295" ht="23" customHeight="1">
      <x:c r="B295" s="2" t="n">
        <x:f>287</x:f>
        <x:v>287</x:v>
      </x:c>
      <x:c r="C295" s="6" t="n">
        <x:f>H294</x:f>
        <x:v>0</x:v>
      </x:c>
      <x:c r="D295" s="6" t="n">
        <x:f>ROUND(C295*'Debt strategy'!$D$9/12,2)</x:f>
        <x:v>0</x:v>
      </x:c>
      <x:c r="E295" s="6" t="n">
        <x:f>MIN(C295+D295,'Debt strategy'!$E$9)</x:f>
        <x:v>0</x:v>
      </x:c>
      <x:c r="F295" s="27" t="n">
        <x:f>IF(C295+D295-E295&lt;=0,99,1+SUM(IF(AND(I295+J295-K295&gt;0,OR('Debt strategy'!$D$10&gt;'Debt strategy'!$D$9,AND('Debt strategy'!$D$10='Debt strategy'!$D$9,1&lt;0))),1,0),IF(AND(O295+P295-Q295&gt;0,OR('Debt strategy'!$D$11&gt;'Debt strategy'!$D$9,AND('Debt strategy'!$D$11='Debt strategy'!$D$9,2&lt;0))),1,0),IF(AND(U295+V295-W295&gt;0,OR('Debt strategy'!$D$12&gt;'Debt strategy'!$D$9,AND('Debt strategy'!$D$12='Debt strategy'!$D$9,3&lt;0))),1,0),IF(AND(AA295+AB295-AC295&gt;0,OR('Debt strategy'!$D$13&gt;'Debt strategy'!$D$9,AND('Debt strategy'!$D$13='Debt strategy'!$D$9,4&lt;0))),1,0)))</x:f>
        <x:v>99</x:v>
      </x:c>
      <x:c r="G295" s="6" t="n">
        <x:f>IF('Debt strategy'!$C$16&gt;0,0,MIN(C295+D295-E295,MAX(0,'Debt strategy'!$C$5-SUM(E295,K295,Q295,W295,AC295)-SUM(IF(L295&lt;F295,I295+J295-K295,0),IF(R295&lt;F295,O295+P295-Q295,0),IF(X295&lt;F295,U295+V295-W295,0),IF(AD295&lt;F295,AA295+AB295-AC295,0)))))</x:f>
        <x:v>0</x:v>
      </x:c>
      <x:c r="H295" s="6" t="n">
        <x:f>ROUND(MAX(0,C295+D295-E295-G295),2)</x:f>
        <x:v>0</x:v>
      </x:c>
      <x:c r="I295" s="6" t="n">
        <x:f>N294</x:f>
        <x:v>0</x:v>
      </x:c>
      <x:c r="J295" s="6" t="n">
        <x:f>ROUND(I295*'Debt strategy'!$D$10/12,2)</x:f>
        <x:v>0</x:v>
      </x:c>
      <x:c r="K295" s="6" t="n">
        <x:f>MIN(I295+J295,'Debt strategy'!$E$10)</x:f>
        <x:v>0</x:v>
      </x:c>
      <x:c r="L295" s="27" t="n">
        <x:f>IF(I295+J295-K295&lt;=0,99,1+SUM(IF(AND(C295+D295-E295&gt;0,OR('Debt strategy'!$D$9&gt;'Debt strategy'!$D$10,AND('Debt strategy'!$D$9='Debt strategy'!$D$10,0&lt;1))),1,0),IF(AND(O295+P295-Q295&gt;0,OR('Debt strategy'!$D$11&gt;'Debt strategy'!$D$10,AND('Debt strategy'!$D$11='Debt strategy'!$D$10,2&lt;1))),1,0),IF(AND(U295+V295-W295&gt;0,OR('Debt strategy'!$D$12&gt;'Debt strategy'!$D$10,AND('Debt strategy'!$D$12='Debt strategy'!$D$10,3&lt;1))),1,0),IF(AND(AA295+AB295-AC295&gt;0,OR('Debt strategy'!$D$13&gt;'Debt strategy'!$D$10,AND('Debt strategy'!$D$13='Debt strategy'!$D$10,4&lt;1))),1,0)))</x:f>
        <x:v>99</x:v>
      </x:c>
      <x:c r="M295" s="6" t="n">
        <x:f>IF('Debt strategy'!$C$16&gt;0,0,MIN(I295+J295-K295,MAX(0,'Debt strategy'!$C$5-SUM(E295,K295,Q295,W295,AC295)-SUM(IF(F295&lt;L295,C295+D295-E295,0),IF(R295&lt;L295,O295+P295-Q295,0),IF(X295&lt;L295,U295+V295-W295,0),IF(AD295&lt;L295,AA295+AB295-AC295,0)))))</x:f>
        <x:v>0</x:v>
      </x:c>
      <x:c r="N295" s="6" t="n">
        <x:f>ROUND(MAX(0,I295+J295-K295-M295),2)</x:f>
        <x:v>0</x:v>
      </x:c>
      <x:c r="O295" s="6" t="n">
        <x:f>T294</x:f>
        <x:v>0</x:v>
      </x:c>
      <x:c r="P295" s="6" t="n">
        <x:f>ROUND(O295*'Debt strategy'!$D$11/12,2)</x:f>
        <x:v>0</x:v>
      </x:c>
      <x:c r="Q295" s="6" t="n">
        <x:f>MIN(O295+P295,'Debt strategy'!$E$11)</x:f>
        <x:v>0</x:v>
      </x:c>
      <x:c r="R295" s="27" t="n">
        <x:f>IF(O295+P295-Q295&lt;=0,99,1+SUM(IF(AND(C295+D295-E295&gt;0,OR('Debt strategy'!$D$9&gt;'Debt strategy'!$D$11,AND('Debt strategy'!$D$9='Debt strategy'!$D$11,0&lt;2))),1,0),IF(AND(I295+J295-K295&gt;0,OR('Debt strategy'!$D$10&gt;'Debt strategy'!$D$11,AND('Debt strategy'!$D$10='Debt strategy'!$D$11,1&lt;2))),1,0),IF(AND(U295+V295-W295&gt;0,OR('Debt strategy'!$D$12&gt;'Debt strategy'!$D$11,AND('Debt strategy'!$D$12='Debt strategy'!$D$11,3&lt;2))),1,0),IF(AND(AA295+AB295-AC295&gt;0,OR('Debt strategy'!$D$13&gt;'Debt strategy'!$D$11,AND('Debt strategy'!$D$13='Debt strategy'!$D$11,4&lt;2))),1,0)))</x:f>
        <x:v>99</x:v>
      </x:c>
      <x:c r="S295" s="6" t="n">
        <x:f>IF('Debt strategy'!$C$16&gt;0,0,MIN(O295+P295-Q295,MAX(0,'Debt strategy'!$C$5-SUM(E295,K295,Q295,W295,AC295)-SUM(IF(F295&lt;R295,C295+D295-E295,0),IF(L295&lt;R295,I295+J295-K295,0),IF(X295&lt;R295,U295+V295-W295,0),IF(AD295&lt;R295,AA295+AB295-AC295,0)))))</x:f>
        <x:v>0</x:v>
      </x:c>
      <x:c r="T295" s="6" t="n">
        <x:f>ROUND(MAX(0,O295+P295-Q295-S295),2)</x:f>
        <x:v>0</x:v>
      </x:c>
      <x:c r="U295" s="6" t="n">
        <x:f>Z294</x:f>
        <x:v>0</x:v>
      </x:c>
      <x:c r="V295" s="6" t="n">
        <x:f>ROUND(U295*'Debt strategy'!$D$12/12,2)</x:f>
        <x:v>0</x:v>
      </x:c>
      <x:c r="W295" s="6" t="n">
        <x:f>MIN(U295+V295,'Debt strategy'!$E$12)</x:f>
        <x:v>0</x:v>
      </x:c>
      <x:c r="X295" s="27" t="n">
        <x:f>IF(U295+V295-W295&lt;=0,99,1+SUM(IF(AND(C295+D295-E295&gt;0,OR('Debt strategy'!$D$9&gt;'Debt strategy'!$D$12,AND('Debt strategy'!$D$9='Debt strategy'!$D$12,0&lt;3))),1,0),IF(AND(I295+J295-K295&gt;0,OR('Debt strategy'!$D$10&gt;'Debt strategy'!$D$12,AND('Debt strategy'!$D$10='Debt strategy'!$D$12,1&lt;3))),1,0),IF(AND(O295+P295-Q295&gt;0,OR('Debt strategy'!$D$11&gt;'Debt strategy'!$D$12,AND('Debt strategy'!$D$11='Debt strategy'!$D$12,2&lt;3))),1,0),IF(AND(AA295+AB295-AC295&gt;0,OR('Debt strategy'!$D$13&gt;'Debt strategy'!$D$12,AND('Debt strategy'!$D$13='Debt strategy'!$D$12,4&lt;3))),1,0)))</x:f>
        <x:v>99</x:v>
      </x:c>
      <x:c r="Y295" s="6" t="n">
        <x:f>IF('Debt strategy'!$C$16&gt;0,0,MIN(U295+V295-W295,MAX(0,'Debt strategy'!$C$5-SUM(E295,K295,Q295,W295,AC295)-SUM(IF(F295&lt;X295,C295+D295-E295,0),IF(L295&lt;X295,I295+J295-K295,0),IF(R295&lt;X295,O295+P295-Q295,0),IF(AD295&lt;X295,AA295+AB295-AC295,0)))))</x:f>
        <x:v>0</x:v>
      </x:c>
      <x:c r="Z295" s="6" t="n">
        <x:f>ROUND(MAX(0,U295+V295-W295-Y295),2)</x:f>
        <x:v>0</x:v>
      </x:c>
      <x:c r="AA295" s="6" t="n">
        <x:f>AF294</x:f>
        <x:v>0</x:v>
      </x:c>
      <x:c r="AB295" s="6" t="n">
        <x:f>ROUND(AA295*'Debt strategy'!$D$13/12,2)</x:f>
        <x:v>0</x:v>
      </x:c>
      <x:c r="AC295" s="6" t="n">
        <x:f>MIN(AA295+AB295,'Debt strategy'!$E$13)</x:f>
        <x:v>0</x:v>
      </x:c>
      <x:c r="AD295" s="27" t="n">
        <x:f>IF(AA295+AB295-AC295&lt;=0,99,1+SUM(IF(AND(C295+D295-E295&gt;0,OR('Debt strategy'!$D$9&gt;'Debt strategy'!$D$13,AND('Debt strategy'!$D$9='Debt strategy'!$D$13,0&lt;4))),1,0),IF(AND(I295+J295-K295&gt;0,OR('Debt strategy'!$D$10&gt;'Debt strategy'!$D$13,AND('Debt strategy'!$D$10='Debt strategy'!$D$13,1&lt;4))),1,0),IF(AND(O295+P295-Q295&gt;0,OR('Debt strategy'!$D$11&gt;'Debt strategy'!$D$13,AND('Debt strategy'!$D$11='Debt strategy'!$D$13,2&lt;4))),1,0),IF(AND(U295+V295-W295&gt;0,OR('Debt strategy'!$D$12&gt;'Debt strategy'!$D$13,AND('Debt strategy'!$D$12='Debt strategy'!$D$13,3&lt;4))),1,0)))</x:f>
        <x:v>99</x:v>
      </x:c>
      <x:c r="AE295" s="6" t="n">
        <x:f>IF('Debt strategy'!$C$16&gt;0,0,MIN(AA295+AB295-AC295,MAX(0,'Debt strategy'!$C$5-SUM(E295,K295,Q295,W295,AC295)-SUM(IF(F295&lt;AD295,C295+D295-E295,0),IF(L295&lt;AD295,I295+J295-K295,0),IF(R295&lt;AD295,O295+P295-Q295,0),IF(X295&lt;AD295,U295+V295-W295,0)))))</x:f>
        <x:v>0</x:v>
      </x:c>
      <x:c r="AF295" s="6" t="n">
        <x:f>ROUND(MAX(0,AA295+AB295-AC295-AE295),2)</x:f>
        <x:v>0</x:v>
      </x:c>
      <x:c r="AG295" s="6" t="n">
        <x:f>SUM(H295,N295,T295,Z295,AF295)</x:f>
        <x:v>0</x:v>
      </x:c>
      <x:c r="AH295" s="6" t="n">
        <x:f>SUM(D295,J295,P295,V295,AB295)+AH294</x:f>
        <x:v>1220.8400000000001</x:v>
      </x:c>
      <x:c r="AI295" s="2"/>
    </x:row>
    <x:row r="296" ht="23" customHeight="1">
      <x:c r="B296" s="2" t="n">
        <x:f>288</x:f>
        <x:v>288</x:v>
      </x:c>
      <x:c r="C296" s="6" t="n">
        <x:f>H295</x:f>
        <x:v>0</x:v>
      </x:c>
      <x:c r="D296" s="6" t="n">
        <x:f>ROUND(C296*'Debt strategy'!$D$9/12,2)</x:f>
        <x:v>0</x:v>
      </x:c>
      <x:c r="E296" s="6" t="n">
        <x:f>MIN(C296+D296,'Debt strategy'!$E$9)</x:f>
        <x:v>0</x:v>
      </x:c>
      <x:c r="F296" s="27" t="n">
        <x:f>IF(C296+D296-E296&lt;=0,99,1+SUM(IF(AND(I296+J296-K296&gt;0,OR('Debt strategy'!$D$10&gt;'Debt strategy'!$D$9,AND('Debt strategy'!$D$10='Debt strategy'!$D$9,1&lt;0))),1,0),IF(AND(O296+P296-Q296&gt;0,OR('Debt strategy'!$D$11&gt;'Debt strategy'!$D$9,AND('Debt strategy'!$D$11='Debt strategy'!$D$9,2&lt;0))),1,0),IF(AND(U296+V296-W296&gt;0,OR('Debt strategy'!$D$12&gt;'Debt strategy'!$D$9,AND('Debt strategy'!$D$12='Debt strategy'!$D$9,3&lt;0))),1,0),IF(AND(AA296+AB296-AC296&gt;0,OR('Debt strategy'!$D$13&gt;'Debt strategy'!$D$9,AND('Debt strategy'!$D$13='Debt strategy'!$D$9,4&lt;0))),1,0)))</x:f>
        <x:v>99</x:v>
      </x:c>
      <x:c r="G296" s="6" t="n">
        <x:f>IF('Debt strategy'!$C$16&gt;0,0,MIN(C296+D296-E296,MAX(0,'Debt strategy'!$C$5-SUM(E296,K296,Q296,W296,AC296)-SUM(IF(L296&lt;F296,I296+J296-K296,0),IF(R296&lt;F296,O296+P296-Q296,0),IF(X296&lt;F296,U296+V296-W296,0),IF(AD296&lt;F296,AA296+AB296-AC296,0)))))</x:f>
        <x:v>0</x:v>
      </x:c>
      <x:c r="H296" s="6" t="n">
        <x:f>ROUND(MAX(0,C296+D296-E296-G296),2)</x:f>
        <x:v>0</x:v>
      </x:c>
      <x:c r="I296" s="6" t="n">
        <x:f>N295</x:f>
        <x:v>0</x:v>
      </x:c>
      <x:c r="J296" s="6" t="n">
        <x:f>ROUND(I296*'Debt strategy'!$D$10/12,2)</x:f>
        <x:v>0</x:v>
      </x:c>
      <x:c r="K296" s="6" t="n">
        <x:f>MIN(I296+J296,'Debt strategy'!$E$10)</x:f>
        <x:v>0</x:v>
      </x:c>
      <x:c r="L296" s="27" t="n">
        <x:f>IF(I296+J296-K296&lt;=0,99,1+SUM(IF(AND(C296+D296-E296&gt;0,OR('Debt strategy'!$D$9&gt;'Debt strategy'!$D$10,AND('Debt strategy'!$D$9='Debt strategy'!$D$10,0&lt;1))),1,0),IF(AND(O296+P296-Q296&gt;0,OR('Debt strategy'!$D$11&gt;'Debt strategy'!$D$10,AND('Debt strategy'!$D$11='Debt strategy'!$D$10,2&lt;1))),1,0),IF(AND(U296+V296-W296&gt;0,OR('Debt strategy'!$D$12&gt;'Debt strategy'!$D$10,AND('Debt strategy'!$D$12='Debt strategy'!$D$10,3&lt;1))),1,0),IF(AND(AA296+AB296-AC296&gt;0,OR('Debt strategy'!$D$13&gt;'Debt strategy'!$D$10,AND('Debt strategy'!$D$13='Debt strategy'!$D$10,4&lt;1))),1,0)))</x:f>
        <x:v>99</x:v>
      </x:c>
      <x:c r="M296" s="6" t="n">
        <x:f>IF('Debt strategy'!$C$16&gt;0,0,MIN(I296+J296-K296,MAX(0,'Debt strategy'!$C$5-SUM(E296,K296,Q296,W296,AC296)-SUM(IF(F296&lt;L296,C296+D296-E296,0),IF(R296&lt;L296,O296+P296-Q296,0),IF(X296&lt;L296,U296+V296-W296,0),IF(AD296&lt;L296,AA296+AB296-AC296,0)))))</x:f>
        <x:v>0</x:v>
      </x:c>
      <x:c r="N296" s="6" t="n">
        <x:f>ROUND(MAX(0,I296+J296-K296-M296),2)</x:f>
        <x:v>0</x:v>
      </x:c>
      <x:c r="O296" s="6" t="n">
        <x:f>T295</x:f>
        <x:v>0</x:v>
      </x:c>
      <x:c r="P296" s="6" t="n">
        <x:f>ROUND(O296*'Debt strategy'!$D$11/12,2)</x:f>
        <x:v>0</x:v>
      </x:c>
      <x:c r="Q296" s="6" t="n">
        <x:f>MIN(O296+P296,'Debt strategy'!$E$11)</x:f>
        <x:v>0</x:v>
      </x:c>
      <x:c r="R296" s="27" t="n">
        <x:f>IF(O296+P296-Q296&lt;=0,99,1+SUM(IF(AND(C296+D296-E296&gt;0,OR('Debt strategy'!$D$9&gt;'Debt strategy'!$D$11,AND('Debt strategy'!$D$9='Debt strategy'!$D$11,0&lt;2))),1,0),IF(AND(I296+J296-K296&gt;0,OR('Debt strategy'!$D$10&gt;'Debt strategy'!$D$11,AND('Debt strategy'!$D$10='Debt strategy'!$D$11,1&lt;2))),1,0),IF(AND(U296+V296-W296&gt;0,OR('Debt strategy'!$D$12&gt;'Debt strategy'!$D$11,AND('Debt strategy'!$D$12='Debt strategy'!$D$11,3&lt;2))),1,0),IF(AND(AA296+AB296-AC296&gt;0,OR('Debt strategy'!$D$13&gt;'Debt strategy'!$D$11,AND('Debt strategy'!$D$13='Debt strategy'!$D$11,4&lt;2))),1,0)))</x:f>
        <x:v>99</x:v>
      </x:c>
      <x:c r="S296" s="6" t="n">
        <x:f>IF('Debt strategy'!$C$16&gt;0,0,MIN(O296+P296-Q296,MAX(0,'Debt strategy'!$C$5-SUM(E296,K296,Q296,W296,AC296)-SUM(IF(F296&lt;R296,C296+D296-E296,0),IF(L296&lt;R296,I296+J296-K296,0),IF(X296&lt;R296,U296+V296-W296,0),IF(AD296&lt;R296,AA296+AB296-AC296,0)))))</x:f>
        <x:v>0</x:v>
      </x:c>
      <x:c r="T296" s="6" t="n">
        <x:f>ROUND(MAX(0,O296+P296-Q296-S296),2)</x:f>
        <x:v>0</x:v>
      </x:c>
      <x:c r="U296" s="6" t="n">
        <x:f>Z295</x:f>
        <x:v>0</x:v>
      </x:c>
      <x:c r="V296" s="6" t="n">
        <x:f>ROUND(U296*'Debt strategy'!$D$12/12,2)</x:f>
        <x:v>0</x:v>
      </x:c>
      <x:c r="W296" s="6" t="n">
        <x:f>MIN(U296+V296,'Debt strategy'!$E$12)</x:f>
        <x:v>0</x:v>
      </x:c>
      <x:c r="X296" s="27" t="n">
        <x:f>IF(U296+V296-W296&lt;=0,99,1+SUM(IF(AND(C296+D296-E296&gt;0,OR('Debt strategy'!$D$9&gt;'Debt strategy'!$D$12,AND('Debt strategy'!$D$9='Debt strategy'!$D$12,0&lt;3))),1,0),IF(AND(I296+J296-K296&gt;0,OR('Debt strategy'!$D$10&gt;'Debt strategy'!$D$12,AND('Debt strategy'!$D$10='Debt strategy'!$D$12,1&lt;3))),1,0),IF(AND(O296+P296-Q296&gt;0,OR('Debt strategy'!$D$11&gt;'Debt strategy'!$D$12,AND('Debt strategy'!$D$11='Debt strategy'!$D$12,2&lt;3))),1,0),IF(AND(AA296+AB296-AC296&gt;0,OR('Debt strategy'!$D$13&gt;'Debt strategy'!$D$12,AND('Debt strategy'!$D$13='Debt strategy'!$D$12,4&lt;3))),1,0)))</x:f>
        <x:v>99</x:v>
      </x:c>
      <x:c r="Y296" s="6" t="n">
        <x:f>IF('Debt strategy'!$C$16&gt;0,0,MIN(U296+V296-W296,MAX(0,'Debt strategy'!$C$5-SUM(E296,K296,Q296,W296,AC296)-SUM(IF(F296&lt;X296,C296+D296-E296,0),IF(L296&lt;X296,I296+J296-K296,0),IF(R296&lt;X296,O296+P296-Q296,0),IF(AD296&lt;X296,AA296+AB296-AC296,0)))))</x:f>
        <x:v>0</x:v>
      </x:c>
      <x:c r="Z296" s="6" t="n">
        <x:f>ROUND(MAX(0,U296+V296-W296-Y296),2)</x:f>
        <x:v>0</x:v>
      </x:c>
      <x:c r="AA296" s="6" t="n">
        <x:f>AF295</x:f>
        <x:v>0</x:v>
      </x:c>
      <x:c r="AB296" s="6" t="n">
        <x:f>ROUND(AA296*'Debt strategy'!$D$13/12,2)</x:f>
        <x:v>0</x:v>
      </x:c>
      <x:c r="AC296" s="6" t="n">
        <x:f>MIN(AA296+AB296,'Debt strategy'!$E$13)</x:f>
        <x:v>0</x:v>
      </x:c>
      <x:c r="AD296" s="27" t="n">
        <x:f>IF(AA296+AB296-AC296&lt;=0,99,1+SUM(IF(AND(C296+D296-E296&gt;0,OR('Debt strategy'!$D$9&gt;'Debt strategy'!$D$13,AND('Debt strategy'!$D$9='Debt strategy'!$D$13,0&lt;4))),1,0),IF(AND(I296+J296-K296&gt;0,OR('Debt strategy'!$D$10&gt;'Debt strategy'!$D$13,AND('Debt strategy'!$D$10='Debt strategy'!$D$13,1&lt;4))),1,0),IF(AND(O296+P296-Q296&gt;0,OR('Debt strategy'!$D$11&gt;'Debt strategy'!$D$13,AND('Debt strategy'!$D$11='Debt strategy'!$D$13,2&lt;4))),1,0),IF(AND(U296+V296-W296&gt;0,OR('Debt strategy'!$D$12&gt;'Debt strategy'!$D$13,AND('Debt strategy'!$D$12='Debt strategy'!$D$13,3&lt;4))),1,0)))</x:f>
        <x:v>99</x:v>
      </x:c>
      <x:c r="AE296" s="6" t="n">
        <x:f>IF('Debt strategy'!$C$16&gt;0,0,MIN(AA296+AB296-AC296,MAX(0,'Debt strategy'!$C$5-SUM(E296,K296,Q296,W296,AC296)-SUM(IF(F296&lt;AD296,C296+D296-E296,0),IF(L296&lt;AD296,I296+J296-K296,0),IF(R296&lt;AD296,O296+P296-Q296,0),IF(X296&lt;AD296,U296+V296-W296,0)))))</x:f>
        <x:v>0</x:v>
      </x:c>
      <x:c r="AF296" s="6" t="n">
        <x:f>ROUND(MAX(0,AA296+AB296-AC296-AE296),2)</x:f>
        <x:v>0</x:v>
      </x:c>
      <x:c r="AG296" s="6" t="n">
        <x:f>SUM(H296,N296,T296,Z296,AF296)</x:f>
        <x:v>0</x:v>
      </x:c>
      <x:c r="AH296" s="6" t="n">
        <x:f>SUM(D296,J296,P296,V296,AB296)+AH295</x:f>
        <x:v>1220.8400000000001</x:v>
      </x:c>
      <x:c r="AI296" s="2"/>
    </x:row>
    <x:row r="297" ht="23" customHeight="1">
      <x:c r="B297" s="2" t="n">
        <x:f>289</x:f>
        <x:v>289</x:v>
      </x:c>
      <x:c r="C297" s="6" t="n">
        <x:f>H296</x:f>
        <x:v>0</x:v>
      </x:c>
      <x:c r="D297" s="6" t="n">
        <x:f>ROUND(C297*'Debt strategy'!$D$9/12,2)</x:f>
        <x:v>0</x:v>
      </x:c>
      <x:c r="E297" s="6" t="n">
        <x:f>MIN(C297+D297,'Debt strategy'!$E$9)</x:f>
        <x:v>0</x:v>
      </x:c>
      <x:c r="F297" s="27" t="n">
        <x:f>IF(C297+D297-E297&lt;=0,99,1+SUM(IF(AND(I297+J297-K297&gt;0,OR('Debt strategy'!$D$10&gt;'Debt strategy'!$D$9,AND('Debt strategy'!$D$10='Debt strategy'!$D$9,1&lt;0))),1,0),IF(AND(O297+P297-Q297&gt;0,OR('Debt strategy'!$D$11&gt;'Debt strategy'!$D$9,AND('Debt strategy'!$D$11='Debt strategy'!$D$9,2&lt;0))),1,0),IF(AND(U297+V297-W297&gt;0,OR('Debt strategy'!$D$12&gt;'Debt strategy'!$D$9,AND('Debt strategy'!$D$12='Debt strategy'!$D$9,3&lt;0))),1,0),IF(AND(AA297+AB297-AC297&gt;0,OR('Debt strategy'!$D$13&gt;'Debt strategy'!$D$9,AND('Debt strategy'!$D$13='Debt strategy'!$D$9,4&lt;0))),1,0)))</x:f>
        <x:v>99</x:v>
      </x:c>
      <x:c r="G297" s="6" t="n">
        <x:f>IF('Debt strategy'!$C$16&gt;0,0,MIN(C297+D297-E297,MAX(0,'Debt strategy'!$C$5-SUM(E297,K297,Q297,W297,AC297)-SUM(IF(L297&lt;F297,I297+J297-K297,0),IF(R297&lt;F297,O297+P297-Q297,0),IF(X297&lt;F297,U297+V297-W297,0),IF(AD297&lt;F297,AA297+AB297-AC297,0)))))</x:f>
        <x:v>0</x:v>
      </x:c>
      <x:c r="H297" s="6" t="n">
        <x:f>ROUND(MAX(0,C297+D297-E297-G297),2)</x:f>
        <x:v>0</x:v>
      </x:c>
      <x:c r="I297" s="6" t="n">
        <x:f>N296</x:f>
        <x:v>0</x:v>
      </x:c>
      <x:c r="J297" s="6" t="n">
        <x:f>ROUND(I297*'Debt strategy'!$D$10/12,2)</x:f>
        <x:v>0</x:v>
      </x:c>
      <x:c r="K297" s="6" t="n">
        <x:f>MIN(I297+J297,'Debt strategy'!$E$10)</x:f>
        <x:v>0</x:v>
      </x:c>
      <x:c r="L297" s="27" t="n">
        <x:f>IF(I297+J297-K297&lt;=0,99,1+SUM(IF(AND(C297+D297-E297&gt;0,OR('Debt strategy'!$D$9&gt;'Debt strategy'!$D$10,AND('Debt strategy'!$D$9='Debt strategy'!$D$10,0&lt;1))),1,0),IF(AND(O297+P297-Q297&gt;0,OR('Debt strategy'!$D$11&gt;'Debt strategy'!$D$10,AND('Debt strategy'!$D$11='Debt strategy'!$D$10,2&lt;1))),1,0),IF(AND(U297+V297-W297&gt;0,OR('Debt strategy'!$D$12&gt;'Debt strategy'!$D$10,AND('Debt strategy'!$D$12='Debt strategy'!$D$10,3&lt;1))),1,0),IF(AND(AA297+AB297-AC297&gt;0,OR('Debt strategy'!$D$13&gt;'Debt strategy'!$D$10,AND('Debt strategy'!$D$13='Debt strategy'!$D$10,4&lt;1))),1,0)))</x:f>
        <x:v>99</x:v>
      </x:c>
      <x:c r="M297" s="6" t="n">
        <x:f>IF('Debt strategy'!$C$16&gt;0,0,MIN(I297+J297-K297,MAX(0,'Debt strategy'!$C$5-SUM(E297,K297,Q297,W297,AC297)-SUM(IF(F297&lt;L297,C297+D297-E297,0),IF(R297&lt;L297,O297+P297-Q297,0),IF(X297&lt;L297,U297+V297-W297,0),IF(AD297&lt;L297,AA297+AB297-AC297,0)))))</x:f>
        <x:v>0</x:v>
      </x:c>
      <x:c r="N297" s="6" t="n">
        <x:f>ROUND(MAX(0,I297+J297-K297-M297),2)</x:f>
        <x:v>0</x:v>
      </x:c>
      <x:c r="O297" s="6" t="n">
        <x:f>T296</x:f>
        <x:v>0</x:v>
      </x:c>
      <x:c r="P297" s="6" t="n">
        <x:f>ROUND(O297*'Debt strategy'!$D$11/12,2)</x:f>
        <x:v>0</x:v>
      </x:c>
      <x:c r="Q297" s="6" t="n">
        <x:f>MIN(O297+P297,'Debt strategy'!$E$11)</x:f>
        <x:v>0</x:v>
      </x:c>
      <x:c r="R297" s="27" t="n">
        <x:f>IF(O297+P297-Q297&lt;=0,99,1+SUM(IF(AND(C297+D297-E297&gt;0,OR('Debt strategy'!$D$9&gt;'Debt strategy'!$D$11,AND('Debt strategy'!$D$9='Debt strategy'!$D$11,0&lt;2))),1,0),IF(AND(I297+J297-K297&gt;0,OR('Debt strategy'!$D$10&gt;'Debt strategy'!$D$11,AND('Debt strategy'!$D$10='Debt strategy'!$D$11,1&lt;2))),1,0),IF(AND(U297+V297-W297&gt;0,OR('Debt strategy'!$D$12&gt;'Debt strategy'!$D$11,AND('Debt strategy'!$D$12='Debt strategy'!$D$11,3&lt;2))),1,0),IF(AND(AA297+AB297-AC297&gt;0,OR('Debt strategy'!$D$13&gt;'Debt strategy'!$D$11,AND('Debt strategy'!$D$13='Debt strategy'!$D$11,4&lt;2))),1,0)))</x:f>
        <x:v>99</x:v>
      </x:c>
      <x:c r="S297" s="6" t="n">
        <x:f>IF('Debt strategy'!$C$16&gt;0,0,MIN(O297+P297-Q297,MAX(0,'Debt strategy'!$C$5-SUM(E297,K297,Q297,W297,AC297)-SUM(IF(F297&lt;R297,C297+D297-E297,0),IF(L297&lt;R297,I297+J297-K297,0),IF(X297&lt;R297,U297+V297-W297,0),IF(AD297&lt;R297,AA297+AB297-AC297,0)))))</x:f>
        <x:v>0</x:v>
      </x:c>
      <x:c r="T297" s="6" t="n">
        <x:f>ROUND(MAX(0,O297+P297-Q297-S297),2)</x:f>
        <x:v>0</x:v>
      </x:c>
      <x:c r="U297" s="6" t="n">
        <x:f>Z296</x:f>
        <x:v>0</x:v>
      </x:c>
      <x:c r="V297" s="6" t="n">
        <x:f>ROUND(U297*'Debt strategy'!$D$12/12,2)</x:f>
        <x:v>0</x:v>
      </x:c>
      <x:c r="W297" s="6" t="n">
        <x:f>MIN(U297+V297,'Debt strategy'!$E$12)</x:f>
        <x:v>0</x:v>
      </x:c>
      <x:c r="X297" s="27" t="n">
        <x:f>IF(U297+V297-W297&lt;=0,99,1+SUM(IF(AND(C297+D297-E297&gt;0,OR('Debt strategy'!$D$9&gt;'Debt strategy'!$D$12,AND('Debt strategy'!$D$9='Debt strategy'!$D$12,0&lt;3))),1,0),IF(AND(I297+J297-K297&gt;0,OR('Debt strategy'!$D$10&gt;'Debt strategy'!$D$12,AND('Debt strategy'!$D$10='Debt strategy'!$D$12,1&lt;3))),1,0),IF(AND(O297+P297-Q297&gt;0,OR('Debt strategy'!$D$11&gt;'Debt strategy'!$D$12,AND('Debt strategy'!$D$11='Debt strategy'!$D$12,2&lt;3))),1,0),IF(AND(AA297+AB297-AC297&gt;0,OR('Debt strategy'!$D$13&gt;'Debt strategy'!$D$12,AND('Debt strategy'!$D$13='Debt strategy'!$D$12,4&lt;3))),1,0)))</x:f>
        <x:v>99</x:v>
      </x:c>
      <x:c r="Y297" s="6" t="n">
        <x:f>IF('Debt strategy'!$C$16&gt;0,0,MIN(U297+V297-W297,MAX(0,'Debt strategy'!$C$5-SUM(E297,K297,Q297,W297,AC297)-SUM(IF(F297&lt;X297,C297+D297-E297,0),IF(L297&lt;X297,I297+J297-K297,0),IF(R297&lt;X297,O297+P297-Q297,0),IF(AD297&lt;X297,AA297+AB297-AC297,0)))))</x:f>
        <x:v>0</x:v>
      </x:c>
      <x:c r="Z297" s="6" t="n">
        <x:f>ROUND(MAX(0,U297+V297-W297-Y297),2)</x:f>
        <x:v>0</x:v>
      </x:c>
      <x:c r="AA297" s="6" t="n">
        <x:f>AF296</x:f>
        <x:v>0</x:v>
      </x:c>
      <x:c r="AB297" s="6" t="n">
        <x:f>ROUND(AA297*'Debt strategy'!$D$13/12,2)</x:f>
        <x:v>0</x:v>
      </x:c>
      <x:c r="AC297" s="6" t="n">
        <x:f>MIN(AA297+AB297,'Debt strategy'!$E$13)</x:f>
        <x:v>0</x:v>
      </x:c>
      <x:c r="AD297" s="27" t="n">
        <x:f>IF(AA297+AB297-AC297&lt;=0,99,1+SUM(IF(AND(C297+D297-E297&gt;0,OR('Debt strategy'!$D$9&gt;'Debt strategy'!$D$13,AND('Debt strategy'!$D$9='Debt strategy'!$D$13,0&lt;4))),1,0),IF(AND(I297+J297-K297&gt;0,OR('Debt strategy'!$D$10&gt;'Debt strategy'!$D$13,AND('Debt strategy'!$D$10='Debt strategy'!$D$13,1&lt;4))),1,0),IF(AND(O297+P297-Q297&gt;0,OR('Debt strategy'!$D$11&gt;'Debt strategy'!$D$13,AND('Debt strategy'!$D$11='Debt strategy'!$D$13,2&lt;4))),1,0),IF(AND(U297+V297-W297&gt;0,OR('Debt strategy'!$D$12&gt;'Debt strategy'!$D$13,AND('Debt strategy'!$D$12='Debt strategy'!$D$13,3&lt;4))),1,0)))</x:f>
        <x:v>99</x:v>
      </x:c>
      <x:c r="AE297" s="6" t="n">
        <x:f>IF('Debt strategy'!$C$16&gt;0,0,MIN(AA297+AB297-AC297,MAX(0,'Debt strategy'!$C$5-SUM(E297,K297,Q297,W297,AC297)-SUM(IF(F297&lt;AD297,C297+D297-E297,0),IF(L297&lt;AD297,I297+J297-K297,0),IF(R297&lt;AD297,O297+P297-Q297,0),IF(X297&lt;AD297,U297+V297-W297,0)))))</x:f>
        <x:v>0</x:v>
      </x:c>
      <x:c r="AF297" s="6" t="n">
        <x:f>ROUND(MAX(0,AA297+AB297-AC297-AE297),2)</x:f>
        <x:v>0</x:v>
      </x:c>
      <x:c r="AG297" s="6" t="n">
        <x:f>SUM(H297,N297,T297,Z297,AF297)</x:f>
        <x:v>0</x:v>
      </x:c>
      <x:c r="AH297" s="6" t="n">
        <x:f>SUM(D297,J297,P297,V297,AB297)+AH296</x:f>
        <x:v>1220.8400000000001</x:v>
      </x:c>
      <x:c r="AI297" s="2"/>
    </x:row>
    <x:row r="298" ht="23" customHeight="1">
      <x:c r="B298" s="2" t="n">
        <x:f>290</x:f>
        <x:v>290</x:v>
      </x:c>
      <x:c r="C298" s="6" t="n">
        <x:f>H297</x:f>
        <x:v>0</x:v>
      </x:c>
      <x:c r="D298" s="6" t="n">
        <x:f>ROUND(C298*'Debt strategy'!$D$9/12,2)</x:f>
        <x:v>0</x:v>
      </x:c>
      <x:c r="E298" s="6" t="n">
        <x:f>MIN(C298+D298,'Debt strategy'!$E$9)</x:f>
        <x:v>0</x:v>
      </x:c>
      <x:c r="F298" s="27" t="n">
        <x:f>IF(C298+D298-E298&lt;=0,99,1+SUM(IF(AND(I298+J298-K298&gt;0,OR('Debt strategy'!$D$10&gt;'Debt strategy'!$D$9,AND('Debt strategy'!$D$10='Debt strategy'!$D$9,1&lt;0))),1,0),IF(AND(O298+P298-Q298&gt;0,OR('Debt strategy'!$D$11&gt;'Debt strategy'!$D$9,AND('Debt strategy'!$D$11='Debt strategy'!$D$9,2&lt;0))),1,0),IF(AND(U298+V298-W298&gt;0,OR('Debt strategy'!$D$12&gt;'Debt strategy'!$D$9,AND('Debt strategy'!$D$12='Debt strategy'!$D$9,3&lt;0))),1,0),IF(AND(AA298+AB298-AC298&gt;0,OR('Debt strategy'!$D$13&gt;'Debt strategy'!$D$9,AND('Debt strategy'!$D$13='Debt strategy'!$D$9,4&lt;0))),1,0)))</x:f>
        <x:v>99</x:v>
      </x:c>
      <x:c r="G298" s="6" t="n">
        <x:f>IF('Debt strategy'!$C$16&gt;0,0,MIN(C298+D298-E298,MAX(0,'Debt strategy'!$C$5-SUM(E298,K298,Q298,W298,AC298)-SUM(IF(L298&lt;F298,I298+J298-K298,0),IF(R298&lt;F298,O298+P298-Q298,0),IF(X298&lt;F298,U298+V298-W298,0),IF(AD298&lt;F298,AA298+AB298-AC298,0)))))</x:f>
        <x:v>0</x:v>
      </x:c>
      <x:c r="H298" s="6" t="n">
        <x:f>ROUND(MAX(0,C298+D298-E298-G298),2)</x:f>
        <x:v>0</x:v>
      </x:c>
      <x:c r="I298" s="6" t="n">
        <x:f>N297</x:f>
        <x:v>0</x:v>
      </x:c>
      <x:c r="J298" s="6" t="n">
        <x:f>ROUND(I298*'Debt strategy'!$D$10/12,2)</x:f>
        <x:v>0</x:v>
      </x:c>
      <x:c r="K298" s="6" t="n">
        <x:f>MIN(I298+J298,'Debt strategy'!$E$10)</x:f>
        <x:v>0</x:v>
      </x:c>
      <x:c r="L298" s="27" t="n">
        <x:f>IF(I298+J298-K298&lt;=0,99,1+SUM(IF(AND(C298+D298-E298&gt;0,OR('Debt strategy'!$D$9&gt;'Debt strategy'!$D$10,AND('Debt strategy'!$D$9='Debt strategy'!$D$10,0&lt;1))),1,0),IF(AND(O298+P298-Q298&gt;0,OR('Debt strategy'!$D$11&gt;'Debt strategy'!$D$10,AND('Debt strategy'!$D$11='Debt strategy'!$D$10,2&lt;1))),1,0),IF(AND(U298+V298-W298&gt;0,OR('Debt strategy'!$D$12&gt;'Debt strategy'!$D$10,AND('Debt strategy'!$D$12='Debt strategy'!$D$10,3&lt;1))),1,0),IF(AND(AA298+AB298-AC298&gt;0,OR('Debt strategy'!$D$13&gt;'Debt strategy'!$D$10,AND('Debt strategy'!$D$13='Debt strategy'!$D$10,4&lt;1))),1,0)))</x:f>
        <x:v>99</x:v>
      </x:c>
      <x:c r="M298" s="6" t="n">
        <x:f>IF('Debt strategy'!$C$16&gt;0,0,MIN(I298+J298-K298,MAX(0,'Debt strategy'!$C$5-SUM(E298,K298,Q298,W298,AC298)-SUM(IF(F298&lt;L298,C298+D298-E298,0),IF(R298&lt;L298,O298+P298-Q298,0),IF(X298&lt;L298,U298+V298-W298,0),IF(AD298&lt;L298,AA298+AB298-AC298,0)))))</x:f>
        <x:v>0</x:v>
      </x:c>
      <x:c r="N298" s="6" t="n">
        <x:f>ROUND(MAX(0,I298+J298-K298-M298),2)</x:f>
        <x:v>0</x:v>
      </x:c>
      <x:c r="O298" s="6" t="n">
        <x:f>T297</x:f>
        <x:v>0</x:v>
      </x:c>
      <x:c r="P298" s="6" t="n">
        <x:f>ROUND(O298*'Debt strategy'!$D$11/12,2)</x:f>
        <x:v>0</x:v>
      </x:c>
      <x:c r="Q298" s="6" t="n">
        <x:f>MIN(O298+P298,'Debt strategy'!$E$11)</x:f>
        <x:v>0</x:v>
      </x:c>
      <x:c r="R298" s="27" t="n">
        <x:f>IF(O298+P298-Q298&lt;=0,99,1+SUM(IF(AND(C298+D298-E298&gt;0,OR('Debt strategy'!$D$9&gt;'Debt strategy'!$D$11,AND('Debt strategy'!$D$9='Debt strategy'!$D$11,0&lt;2))),1,0),IF(AND(I298+J298-K298&gt;0,OR('Debt strategy'!$D$10&gt;'Debt strategy'!$D$11,AND('Debt strategy'!$D$10='Debt strategy'!$D$11,1&lt;2))),1,0),IF(AND(U298+V298-W298&gt;0,OR('Debt strategy'!$D$12&gt;'Debt strategy'!$D$11,AND('Debt strategy'!$D$12='Debt strategy'!$D$11,3&lt;2))),1,0),IF(AND(AA298+AB298-AC298&gt;0,OR('Debt strategy'!$D$13&gt;'Debt strategy'!$D$11,AND('Debt strategy'!$D$13='Debt strategy'!$D$11,4&lt;2))),1,0)))</x:f>
        <x:v>99</x:v>
      </x:c>
      <x:c r="S298" s="6" t="n">
        <x:f>IF('Debt strategy'!$C$16&gt;0,0,MIN(O298+P298-Q298,MAX(0,'Debt strategy'!$C$5-SUM(E298,K298,Q298,W298,AC298)-SUM(IF(F298&lt;R298,C298+D298-E298,0),IF(L298&lt;R298,I298+J298-K298,0),IF(X298&lt;R298,U298+V298-W298,0),IF(AD298&lt;R298,AA298+AB298-AC298,0)))))</x:f>
        <x:v>0</x:v>
      </x:c>
      <x:c r="T298" s="6" t="n">
        <x:f>ROUND(MAX(0,O298+P298-Q298-S298),2)</x:f>
        <x:v>0</x:v>
      </x:c>
      <x:c r="U298" s="6" t="n">
        <x:f>Z297</x:f>
        <x:v>0</x:v>
      </x:c>
      <x:c r="V298" s="6" t="n">
        <x:f>ROUND(U298*'Debt strategy'!$D$12/12,2)</x:f>
        <x:v>0</x:v>
      </x:c>
      <x:c r="W298" s="6" t="n">
        <x:f>MIN(U298+V298,'Debt strategy'!$E$12)</x:f>
        <x:v>0</x:v>
      </x:c>
      <x:c r="X298" s="27" t="n">
        <x:f>IF(U298+V298-W298&lt;=0,99,1+SUM(IF(AND(C298+D298-E298&gt;0,OR('Debt strategy'!$D$9&gt;'Debt strategy'!$D$12,AND('Debt strategy'!$D$9='Debt strategy'!$D$12,0&lt;3))),1,0),IF(AND(I298+J298-K298&gt;0,OR('Debt strategy'!$D$10&gt;'Debt strategy'!$D$12,AND('Debt strategy'!$D$10='Debt strategy'!$D$12,1&lt;3))),1,0),IF(AND(O298+P298-Q298&gt;0,OR('Debt strategy'!$D$11&gt;'Debt strategy'!$D$12,AND('Debt strategy'!$D$11='Debt strategy'!$D$12,2&lt;3))),1,0),IF(AND(AA298+AB298-AC298&gt;0,OR('Debt strategy'!$D$13&gt;'Debt strategy'!$D$12,AND('Debt strategy'!$D$13='Debt strategy'!$D$12,4&lt;3))),1,0)))</x:f>
        <x:v>99</x:v>
      </x:c>
      <x:c r="Y298" s="6" t="n">
        <x:f>IF('Debt strategy'!$C$16&gt;0,0,MIN(U298+V298-W298,MAX(0,'Debt strategy'!$C$5-SUM(E298,K298,Q298,W298,AC298)-SUM(IF(F298&lt;X298,C298+D298-E298,0),IF(L298&lt;X298,I298+J298-K298,0),IF(R298&lt;X298,O298+P298-Q298,0),IF(AD298&lt;X298,AA298+AB298-AC298,0)))))</x:f>
        <x:v>0</x:v>
      </x:c>
      <x:c r="Z298" s="6" t="n">
        <x:f>ROUND(MAX(0,U298+V298-W298-Y298),2)</x:f>
        <x:v>0</x:v>
      </x:c>
      <x:c r="AA298" s="6" t="n">
        <x:f>AF297</x:f>
        <x:v>0</x:v>
      </x:c>
      <x:c r="AB298" s="6" t="n">
        <x:f>ROUND(AA298*'Debt strategy'!$D$13/12,2)</x:f>
        <x:v>0</x:v>
      </x:c>
      <x:c r="AC298" s="6" t="n">
        <x:f>MIN(AA298+AB298,'Debt strategy'!$E$13)</x:f>
        <x:v>0</x:v>
      </x:c>
      <x:c r="AD298" s="27" t="n">
        <x:f>IF(AA298+AB298-AC298&lt;=0,99,1+SUM(IF(AND(C298+D298-E298&gt;0,OR('Debt strategy'!$D$9&gt;'Debt strategy'!$D$13,AND('Debt strategy'!$D$9='Debt strategy'!$D$13,0&lt;4))),1,0),IF(AND(I298+J298-K298&gt;0,OR('Debt strategy'!$D$10&gt;'Debt strategy'!$D$13,AND('Debt strategy'!$D$10='Debt strategy'!$D$13,1&lt;4))),1,0),IF(AND(O298+P298-Q298&gt;0,OR('Debt strategy'!$D$11&gt;'Debt strategy'!$D$13,AND('Debt strategy'!$D$11='Debt strategy'!$D$13,2&lt;4))),1,0),IF(AND(U298+V298-W298&gt;0,OR('Debt strategy'!$D$12&gt;'Debt strategy'!$D$13,AND('Debt strategy'!$D$12='Debt strategy'!$D$13,3&lt;4))),1,0)))</x:f>
        <x:v>99</x:v>
      </x:c>
      <x:c r="AE298" s="6" t="n">
        <x:f>IF('Debt strategy'!$C$16&gt;0,0,MIN(AA298+AB298-AC298,MAX(0,'Debt strategy'!$C$5-SUM(E298,K298,Q298,W298,AC298)-SUM(IF(F298&lt;AD298,C298+D298-E298,0),IF(L298&lt;AD298,I298+J298-K298,0),IF(R298&lt;AD298,O298+P298-Q298,0),IF(X298&lt;AD298,U298+V298-W298,0)))))</x:f>
        <x:v>0</x:v>
      </x:c>
      <x:c r="AF298" s="6" t="n">
        <x:f>ROUND(MAX(0,AA298+AB298-AC298-AE298),2)</x:f>
        <x:v>0</x:v>
      </x:c>
      <x:c r="AG298" s="6" t="n">
        <x:f>SUM(H298,N298,T298,Z298,AF298)</x:f>
        <x:v>0</x:v>
      </x:c>
      <x:c r="AH298" s="6" t="n">
        <x:f>SUM(D298,J298,P298,V298,AB298)+AH297</x:f>
        <x:v>1220.8400000000001</x:v>
      </x:c>
      <x:c r="AI298" s="2"/>
    </x:row>
    <x:row r="299" ht="23" customHeight="1">
      <x:c r="B299" s="2" t="n">
        <x:f>291</x:f>
        <x:v>291</x:v>
      </x:c>
      <x:c r="C299" s="6" t="n">
        <x:f>H298</x:f>
        <x:v>0</x:v>
      </x:c>
      <x:c r="D299" s="6" t="n">
        <x:f>ROUND(C299*'Debt strategy'!$D$9/12,2)</x:f>
        <x:v>0</x:v>
      </x:c>
      <x:c r="E299" s="6" t="n">
        <x:f>MIN(C299+D299,'Debt strategy'!$E$9)</x:f>
        <x:v>0</x:v>
      </x:c>
      <x:c r="F299" s="27" t="n">
        <x:f>IF(C299+D299-E299&lt;=0,99,1+SUM(IF(AND(I299+J299-K299&gt;0,OR('Debt strategy'!$D$10&gt;'Debt strategy'!$D$9,AND('Debt strategy'!$D$10='Debt strategy'!$D$9,1&lt;0))),1,0),IF(AND(O299+P299-Q299&gt;0,OR('Debt strategy'!$D$11&gt;'Debt strategy'!$D$9,AND('Debt strategy'!$D$11='Debt strategy'!$D$9,2&lt;0))),1,0),IF(AND(U299+V299-W299&gt;0,OR('Debt strategy'!$D$12&gt;'Debt strategy'!$D$9,AND('Debt strategy'!$D$12='Debt strategy'!$D$9,3&lt;0))),1,0),IF(AND(AA299+AB299-AC299&gt;0,OR('Debt strategy'!$D$13&gt;'Debt strategy'!$D$9,AND('Debt strategy'!$D$13='Debt strategy'!$D$9,4&lt;0))),1,0)))</x:f>
        <x:v>99</x:v>
      </x:c>
      <x:c r="G299" s="6" t="n">
        <x:f>IF('Debt strategy'!$C$16&gt;0,0,MIN(C299+D299-E299,MAX(0,'Debt strategy'!$C$5-SUM(E299,K299,Q299,W299,AC299)-SUM(IF(L299&lt;F299,I299+J299-K299,0),IF(R299&lt;F299,O299+P299-Q299,0),IF(X299&lt;F299,U299+V299-W299,0),IF(AD299&lt;F299,AA299+AB299-AC299,0)))))</x:f>
        <x:v>0</x:v>
      </x:c>
      <x:c r="H299" s="6" t="n">
        <x:f>ROUND(MAX(0,C299+D299-E299-G299),2)</x:f>
        <x:v>0</x:v>
      </x:c>
      <x:c r="I299" s="6" t="n">
        <x:f>N298</x:f>
        <x:v>0</x:v>
      </x:c>
      <x:c r="J299" s="6" t="n">
        <x:f>ROUND(I299*'Debt strategy'!$D$10/12,2)</x:f>
        <x:v>0</x:v>
      </x:c>
      <x:c r="K299" s="6" t="n">
        <x:f>MIN(I299+J299,'Debt strategy'!$E$10)</x:f>
        <x:v>0</x:v>
      </x:c>
      <x:c r="L299" s="27" t="n">
        <x:f>IF(I299+J299-K299&lt;=0,99,1+SUM(IF(AND(C299+D299-E299&gt;0,OR('Debt strategy'!$D$9&gt;'Debt strategy'!$D$10,AND('Debt strategy'!$D$9='Debt strategy'!$D$10,0&lt;1))),1,0),IF(AND(O299+P299-Q299&gt;0,OR('Debt strategy'!$D$11&gt;'Debt strategy'!$D$10,AND('Debt strategy'!$D$11='Debt strategy'!$D$10,2&lt;1))),1,0),IF(AND(U299+V299-W299&gt;0,OR('Debt strategy'!$D$12&gt;'Debt strategy'!$D$10,AND('Debt strategy'!$D$12='Debt strategy'!$D$10,3&lt;1))),1,0),IF(AND(AA299+AB299-AC299&gt;0,OR('Debt strategy'!$D$13&gt;'Debt strategy'!$D$10,AND('Debt strategy'!$D$13='Debt strategy'!$D$10,4&lt;1))),1,0)))</x:f>
        <x:v>99</x:v>
      </x:c>
      <x:c r="M299" s="6" t="n">
        <x:f>IF('Debt strategy'!$C$16&gt;0,0,MIN(I299+J299-K299,MAX(0,'Debt strategy'!$C$5-SUM(E299,K299,Q299,W299,AC299)-SUM(IF(F299&lt;L299,C299+D299-E299,0),IF(R299&lt;L299,O299+P299-Q299,0),IF(X299&lt;L299,U299+V299-W299,0),IF(AD299&lt;L299,AA299+AB299-AC299,0)))))</x:f>
        <x:v>0</x:v>
      </x:c>
      <x:c r="N299" s="6" t="n">
        <x:f>ROUND(MAX(0,I299+J299-K299-M299),2)</x:f>
        <x:v>0</x:v>
      </x:c>
      <x:c r="O299" s="6" t="n">
        <x:f>T298</x:f>
        <x:v>0</x:v>
      </x:c>
      <x:c r="P299" s="6" t="n">
        <x:f>ROUND(O299*'Debt strategy'!$D$11/12,2)</x:f>
        <x:v>0</x:v>
      </x:c>
      <x:c r="Q299" s="6" t="n">
        <x:f>MIN(O299+P299,'Debt strategy'!$E$11)</x:f>
        <x:v>0</x:v>
      </x:c>
      <x:c r="R299" s="27" t="n">
        <x:f>IF(O299+P299-Q299&lt;=0,99,1+SUM(IF(AND(C299+D299-E299&gt;0,OR('Debt strategy'!$D$9&gt;'Debt strategy'!$D$11,AND('Debt strategy'!$D$9='Debt strategy'!$D$11,0&lt;2))),1,0),IF(AND(I299+J299-K299&gt;0,OR('Debt strategy'!$D$10&gt;'Debt strategy'!$D$11,AND('Debt strategy'!$D$10='Debt strategy'!$D$11,1&lt;2))),1,0),IF(AND(U299+V299-W299&gt;0,OR('Debt strategy'!$D$12&gt;'Debt strategy'!$D$11,AND('Debt strategy'!$D$12='Debt strategy'!$D$11,3&lt;2))),1,0),IF(AND(AA299+AB299-AC299&gt;0,OR('Debt strategy'!$D$13&gt;'Debt strategy'!$D$11,AND('Debt strategy'!$D$13='Debt strategy'!$D$11,4&lt;2))),1,0)))</x:f>
        <x:v>99</x:v>
      </x:c>
      <x:c r="S299" s="6" t="n">
        <x:f>IF('Debt strategy'!$C$16&gt;0,0,MIN(O299+P299-Q299,MAX(0,'Debt strategy'!$C$5-SUM(E299,K299,Q299,W299,AC299)-SUM(IF(F299&lt;R299,C299+D299-E299,0),IF(L299&lt;R299,I299+J299-K299,0),IF(X299&lt;R299,U299+V299-W299,0),IF(AD299&lt;R299,AA299+AB299-AC299,0)))))</x:f>
        <x:v>0</x:v>
      </x:c>
      <x:c r="T299" s="6" t="n">
        <x:f>ROUND(MAX(0,O299+P299-Q299-S299),2)</x:f>
        <x:v>0</x:v>
      </x:c>
      <x:c r="U299" s="6" t="n">
        <x:f>Z298</x:f>
        <x:v>0</x:v>
      </x:c>
      <x:c r="V299" s="6" t="n">
        <x:f>ROUND(U299*'Debt strategy'!$D$12/12,2)</x:f>
        <x:v>0</x:v>
      </x:c>
      <x:c r="W299" s="6" t="n">
        <x:f>MIN(U299+V299,'Debt strategy'!$E$12)</x:f>
        <x:v>0</x:v>
      </x:c>
      <x:c r="X299" s="27" t="n">
        <x:f>IF(U299+V299-W299&lt;=0,99,1+SUM(IF(AND(C299+D299-E299&gt;0,OR('Debt strategy'!$D$9&gt;'Debt strategy'!$D$12,AND('Debt strategy'!$D$9='Debt strategy'!$D$12,0&lt;3))),1,0),IF(AND(I299+J299-K299&gt;0,OR('Debt strategy'!$D$10&gt;'Debt strategy'!$D$12,AND('Debt strategy'!$D$10='Debt strategy'!$D$12,1&lt;3))),1,0),IF(AND(O299+P299-Q299&gt;0,OR('Debt strategy'!$D$11&gt;'Debt strategy'!$D$12,AND('Debt strategy'!$D$11='Debt strategy'!$D$12,2&lt;3))),1,0),IF(AND(AA299+AB299-AC299&gt;0,OR('Debt strategy'!$D$13&gt;'Debt strategy'!$D$12,AND('Debt strategy'!$D$13='Debt strategy'!$D$12,4&lt;3))),1,0)))</x:f>
        <x:v>99</x:v>
      </x:c>
      <x:c r="Y299" s="6" t="n">
        <x:f>IF('Debt strategy'!$C$16&gt;0,0,MIN(U299+V299-W299,MAX(0,'Debt strategy'!$C$5-SUM(E299,K299,Q299,W299,AC299)-SUM(IF(F299&lt;X299,C299+D299-E299,0),IF(L299&lt;X299,I299+J299-K299,0),IF(R299&lt;X299,O299+P299-Q299,0),IF(AD299&lt;X299,AA299+AB299-AC299,0)))))</x:f>
        <x:v>0</x:v>
      </x:c>
      <x:c r="Z299" s="6" t="n">
        <x:f>ROUND(MAX(0,U299+V299-W299-Y299),2)</x:f>
        <x:v>0</x:v>
      </x:c>
      <x:c r="AA299" s="6" t="n">
        <x:f>AF298</x:f>
        <x:v>0</x:v>
      </x:c>
      <x:c r="AB299" s="6" t="n">
        <x:f>ROUND(AA299*'Debt strategy'!$D$13/12,2)</x:f>
        <x:v>0</x:v>
      </x:c>
      <x:c r="AC299" s="6" t="n">
        <x:f>MIN(AA299+AB299,'Debt strategy'!$E$13)</x:f>
        <x:v>0</x:v>
      </x:c>
      <x:c r="AD299" s="27" t="n">
        <x:f>IF(AA299+AB299-AC299&lt;=0,99,1+SUM(IF(AND(C299+D299-E299&gt;0,OR('Debt strategy'!$D$9&gt;'Debt strategy'!$D$13,AND('Debt strategy'!$D$9='Debt strategy'!$D$13,0&lt;4))),1,0),IF(AND(I299+J299-K299&gt;0,OR('Debt strategy'!$D$10&gt;'Debt strategy'!$D$13,AND('Debt strategy'!$D$10='Debt strategy'!$D$13,1&lt;4))),1,0),IF(AND(O299+P299-Q299&gt;0,OR('Debt strategy'!$D$11&gt;'Debt strategy'!$D$13,AND('Debt strategy'!$D$11='Debt strategy'!$D$13,2&lt;4))),1,0),IF(AND(U299+V299-W299&gt;0,OR('Debt strategy'!$D$12&gt;'Debt strategy'!$D$13,AND('Debt strategy'!$D$12='Debt strategy'!$D$13,3&lt;4))),1,0)))</x:f>
        <x:v>99</x:v>
      </x:c>
      <x:c r="AE299" s="6" t="n">
        <x:f>IF('Debt strategy'!$C$16&gt;0,0,MIN(AA299+AB299-AC299,MAX(0,'Debt strategy'!$C$5-SUM(E299,K299,Q299,W299,AC299)-SUM(IF(F299&lt;AD299,C299+D299-E299,0),IF(L299&lt;AD299,I299+J299-K299,0),IF(R299&lt;AD299,O299+P299-Q299,0),IF(X299&lt;AD299,U299+V299-W299,0)))))</x:f>
        <x:v>0</x:v>
      </x:c>
      <x:c r="AF299" s="6" t="n">
        <x:f>ROUND(MAX(0,AA299+AB299-AC299-AE299),2)</x:f>
        <x:v>0</x:v>
      </x:c>
      <x:c r="AG299" s="6" t="n">
        <x:f>SUM(H299,N299,T299,Z299,AF299)</x:f>
        <x:v>0</x:v>
      </x:c>
      <x:c r="AH299" s="6" t="n">
        <x:f>SUM(D299,J299,P299,V299,AB299)+AH298</x:f>
        <x:v>1220.8400000000001</x:v>
      </x:c>
      <x:c r="AI299" s="2"/>
    </x:row>
    <x:row r="300" ht="23" customHeight="1">
      <x:c r="B300" s="2" t="n">
        <x:f>292</x:f>
        <x:v>292</x:v>
      </x:c>
      <x:c r="C300" s="6" t="n">
        <x:f>H299</x:f>
        <x:v>0</x:v>
      </x:c>
      <x:c r="D300" s="6" t="n">
        <x:f>ROUND(C300*'Debt strategy'!$D$9/12,2)</x:f>
        <x:v>0</x:v>
      </x:c>
      <x:c r="E300" s="6" t="n">
        <x:f>MIN(C300+D300,'Debt strategy'!$E$9)</x:f>
        <x:v>0</x:v>
      </x:c>
      <x:c r="F300" s="27" t="n">
        <x:f>IF(C300+D300-E300&lt;=0,99,1+SUM(IF(AND(I300+J300-K300&gt;0,OR('Debt strategy'!$D$10&gt;'Debt strategy'!$D$9,AND('Debt strategy'!$D$10='Debt strategy'!$D$9,1&lt;0))),1,0),IF(AND(O300+P300-Q300&gt;0,OR('Debt strategy'!$D$11&gt;'Debt strategy'!$D$9,AND('Debt strategy'!$D$11='Debt strategy'!$D$9,2&lt;0))),1,0),IF(AND(U300+V300-W300&gt;0,OR('Debt strategy'!$D$12&gt;'Debt strategy'!$D$9,AND('Debt strategy'!$D$12='Debt strategy'!$D$9,3&lt;0))),1,0),IF(AND(AA300+AB300-AC300&gt;0,OR('Debt strategy'!$D$13&gt;'Debt strategy'!$D$9,AND('Debt strategy'!$D$13='Debt strategy'!$D$9,4&lt;0))),1,0)))</x:f>
        <x:v>99</x:v>
      </x:c>
      <x:c r="G300" s="6" t="n">
        <x:f>IF('Debt strategy'!$C$16&gt;0,0,MIN(C300+D300-E300,MAX(0,'Debt strategy'!$C$5-SUM(E300,K300,Q300,W300,AC300)-SUM(IF(L300&lt;F300,I300+J300-K300,0),IF(R300&lt;F300,O300+P300-Q300,0),IF(X300&lt;F300,U300+V300-W300,0),IF(AD300&lt;F300,AA300+AB300-AC300,0)))))</x:f>
        <x:v>0</x:v>
      </x:c>
      <x:c r="H300" s="6" t="n">
        <x:f>ROUND(MAX(0,C300+D300-E300-G300),2)</x:f>
        <x:v>0</x:v>
      </x:c>
      <x:c r="I300" s="6" t="n">
        <x:f>N299</x:f>
        <x:v>0</x:v>
      </x:c>
      <x:c r="J300" s="6" t="n">
        <x:f>ROUND(I300*'Debt strategy'!$D$10/12,2)</x:f>
        <x:v>0</x:v>
      </x:c>
      <x:c r="K300" s="6" t="n">
        <x:f>MIN(I300+J300,'Debt strategy'!$E$10)</x:f>
        <x:v>0</x:v>
      </x:c>
      <x:c r="L300" s="27" t="n">
        <x:f>IF(I300+J300-K300&lt;=0,99,1+SUM(IF(AND(C300+D300-E300&gt;0,OR('Debt strategy'!$D$9&gt;'Debt strategy'!$D$10,AND('Debt strategy'!$D$9='Debt strategy'!$D$10,0&lt;1))),1,0),IF(AND(O300+P300-Q300&gt;0,OR('Debt strategy'!$D$11&gt;'Debt strategy'!$D$10,AND('Debt strategy'!$D$11='Debt strategy'!$D$10,2&lt;1))),1,0),IF(AND(U300+V300-W300&gt;0,OR('Debt strategy'!$D$12&gt;'Debt strategy'!$D$10,AND('Debt strategy'!$D$12='Debt strategy'!$D$10,3&lt;1))),1,0),IF(AND(AA300+AB300-AC300&gt;0,OR('Debt strategy'!$D$13&gt;'Debt strategy'!$D$10,AND('Debt strategy'!$D$13='Debt strategy'!$D$10,4&lt;1))),1,0)))</x:f>
        <x:v>99</x:v>
      </x:c>
      <x:c r="M300" s="6" t="n">
        <x:f>IF('Debt strategy'!$C$16&gt;0,0,MIN(I300+J300-K300,MAX(0,'Debt strategy'!$C$5-SUM(E300,K300,Q300,W300,AC300)-SUM(IF(F300&lt;L300,C300+D300-E300,0),IF(R300&lt;L300,O300+P300-Q300,0),IF(X300&lt;L300,U300+V300-W300,0),IF(AD300&lt;L300,AA300+AB300-AC300,0)))))</x:f>
        <x:v>0</x:v>
      </x:c>
      <x:c r="N300" s="6" t="n">
        <x:f>ROUND(MAX(0,I300+J300-K300-M300),2)</x:f>
        <x:v>0</x:v>
      </x:c>
      <x:c r="O300" s="6" t="n">
        <x:f>T299</x:f>
        <x:v>0</x:v>
      </x:c>
      <x:c r="P300" s="6" t="n">
        <x:f>ROUND(O300*'Debt strategy'!$D$11/12,2)</x:f>
        <x:v>0</x:v>
      </x:c>
      <x:c r="Q300" s="6" t="n">
        <x:f>MIN(O300+P300,'Debt strategy'!$E$11)</x:f>
        <x:v>0</x:v>
      </x:c>
      <x:c r="R300" s="27" t="n">
        <x:f>IF(O300+P300-Q300&lt;=0,99,1+SUM(IF(AND(C300+D300-E300&gt;0,OR('Debt strategy'!$D$9&gt;'Debt strategy'!$D$11,AND('Debt strategy'!$D$9='Debt strategy'!$D$11,0&lt;2))),1,0),IF(AND(I300+J300-K300&gt;0,OR('Debt strategy'!$D$10&gt;'Debt strategy'!$D$11,AND('Debt strategy'!$D$10='Debt strategy'!$D$11,1&lt;2))),1,0),IF(AND(U300+V300-W300&gt;0,OR('Debt strategy'!$D$12&gt;'Debt strategy'!$D$11,AND('Debt strategy'!$D$12='Debt strategy'!$D$11,3&lt;2))),1,0),IF(AND(AA300+AB300-AC300&gt;0,OR('Debt strategy'!$D$13&gt;'Debt strategy'!$D$11,AND('Debt strategy'!$D$13='Debt strategy'!$D$11,4&lt;2))),1,0)))</x:f>
        <x:v>99</x:v>
      </x:c>
      <x:c r="S300" s="6" t="n">
        <x:f>IF('Debt strategy'!$C$16&gt;0,0,MIN(O300+P300-Q300,MAX(0,'Debt strategy'!$C$5-SUM(E300,K300,Q300,W300,AC300)-SUM(IF(F300&lt;R300,C300+D300-E300,0),IF(L300&lt;R300,I300+J300-K300,0),IF(X300&lt;R300,U300+V300-W300,0),IF(AD300&lt;R300,AA300+AB300-AC300,0)))))</x:f>
        <x:v>0</x:v>
      </x:c>
      <x:c r="T300" s="6" t="n">
        <x:f>ROUND(MAX(0,O300+P300-Q300-S300),2)</x:f>
        <x:v>0</x:v>
      </x:c>
      <x:c r="U300" s="6" t="n">
        <x:f>Z299</x:f>
        <x:v>0</x:v>
      </x:c>
      <x:c r="V300" s="6" t="n">
        <x:f>ROUND(U300*'Debt strategy'!$D$12/12,2)</x:f>
        <x:v>0</x:v>
      </x:c>
      <x:c r="W300" s="6" t="n">
        <x:f>MIN(U300+V300,'Debt strategy'!$E$12)</x:f>
        <x:v>0</x:v>
      </x:c>
      <x:c r="X300" s="27" t="n">
        <x:f>IF(U300+V300-W300&lt;=0,99,1+SUM(IF(AND(C300+D300-E300&gt;0,OR('Debt strategy'!$D$9&gt;'Debt strategy'!$D$12,AND('Debt strategy'!$D$9='Debt strategy'!$D$12,0&lt;3))),1,0),IF(AND(I300+J300-K300&gt;0,OR('Debt strategy'!$D$10&gt;'Debt strategy'!$D$12,AND('Debt strategy'!$D$10='Debt strategy'!$D$12,1&lt;3))),1,0),IF(AND(O300+P300-Q300&gt;0,OR('Debt strategy'!$D$11&gt;'Debt strategy'!$D$12,AND('Debt strategy'!$D$11='Debt strategy'!$D$12,2&lt;3))),1,0),IF(AND(AA300+AB300-AC300&gt;0,OR('Debt strategy'!$D$13&gt;'Debt strategy'!$D$12,AND('Debt strategy'!$D$13='Debt strategy'!$D$12,4&lt;3))),1,0)))</x:f>
        <x:v>99</x:v>
      </x:c>
      <x:c r="Y300" s="6" t="n">
        <x:f>IF('Debt strategy'!$C$16&gt;0,0,MIN(U300+V300-W300,MAX(0,'Debt strategy'!$C$5-SUM(E300,K300,Q300,W300,AC300)-SUM(IF(F300&lt;X300,C300+D300-E300,0),IF(L300&lt;X300,I300+J300-K300,0),IF(R300&lt;X300,O300+P300-Q300,0),IF(AD300&lt;X300,AA300+AB300-AC300,0)))))</x:f>
        <x:v>0</x:v>
      </x:c>
      <x:c r="Z300" s="6" t="n">
        <x:f>ROUND(MAX(0,U300+V300-W300-Y300),2)</x:f>
        <x:v>0</x:v>
      </x:c>
      <x:c r="AA300" s="6" t="n">
        <x:f>AF299</x:f>
        <x:v>0</x:v>
      </x:c>
      <x:c r="AB300" s="6" t="n">
        <x:f>ROUND(AA300*'Debt strategy'!$D$13/12,2)</x:f>
        <x:v>0</x:v>
      </x:c>
      <x:c r="AC300" s="6" t="n">
        <x:f>MIN(AA300+AB300,'Debt strategy'!$E$13)</x:f>
        <x:v>0</x:v>
      </x:c>
      <x:c r="AD300" s="27" t="n">
        <x:f>IF(AA300+AB300-AC300&lt;=0,99,1+SUM(IF(AND(C300+D300-E300&gt;0,OR('Debt strategy'!$D$9&gt;'Debt strategy'!$D$13,AND('Debt strategy'!$D$9='Debt strategy'!$D$13,0&lt;4))),1,0),IF(AND(I300+J300-K300&gt;0,OR('Debt strategy'!$D$10&gt;'Debt strategy'!$D$13,AND('Debt strategy'!$D$10='Debt strategy'!$D$13,1&lt;4))),1,0),IF(AND(O300+P300-Q300&gt;0,OR('Debt strategy'!$D$11&gt;'Debt strategy'!$D$13,AND('Debt strategy'!$D$11='Debt strategy'!$D$13,2&lt;4))),1,0),IF(AND(U300+V300-W300&gt;0,OR('Debt strategy'!$D$12&gt;'Debt strategy'!$D$13,AND('Debt strategy'!$D$12='Debt strategy'!$D$13,3&lt;4))),1,0)))</x:f>
        <x:v>99</x:v>
      </x:c>
      <x:c r="AE300" s="6" t="n">
        <x:f>IF('Debt strategy'!$C$16&gt;0,0,MIN(AA300+AB300-AC300,MAX(0,'Debt strategy'!$C$5-SUM(E300,K300,Q300,W300,AC300)-SUM(IF(F300&lt;AD300,C300+D300-E300,0),IF(L300&lt;AD300,I300+J300-K300,0),IF(R300&lt;AD300,O300+P300-Q300,0),IF(X300&lt;AD300,U300+V300-W300,0)))))</x:f>
        <x:v>0</x:v>
      </x:c>
      <x:c r="AF300" s="6" t="n">
        <x:f>ROUND(MAX(0,AA300+AB300-AC300-AE300),2)</x:f>
        <x:v>0</x:v>
      </x:c>
      <x:c r="AG300" s="6" t="n">
        <x:f>SUM(H300,N300,T300,Z300,AF300)</x:f>
        <x:v>0</x:v>
      </x:c>
      <x:c r="AH300" s="6" t="n">
        <x:f>SUM(D300,J300,P300,V300,AB300)+AH299</x:f>
        <x:v>1220.8400000000001</x:v>
      </x:c>
      <x:c r="AI300" s="2"/>
    </x:row>
    <x:row r="301" ht="23" customHeight="1">
      <x:c r="B301" s="2" t="n">
        <x:f>293</x:f>
        <x:v>293</x:v>
      </x:c>
      <x:c r="C301" s="6" t="n">
        <x:f>H300</x:f>
        <x:v>0</x:v>
      </x:c>
      <x:c r="D301" s="6" t="n">
        <x:f>ROUND(C301*'Debt strategy'!$D$9/12,2)</x:f>
        <x:v>0</x:v>
      </x:c>
      <x:c r="E301" s="6" t="n">
        <x:f>MIN(C301+D301,'Debt strategy'!$E$9)</x:f>
        <x:v>0</x:v>
      </x:c>
      <x:c r="F301" s="27" t="n">
        <x:f>IF(C301+D301-E301&lt;=0,99,1+SUM(IF(AND(I301+J301-K301&gt;0,OR('Debt strategy'!$D$10&gt;'Debt strategy'!$D$9,AND('Debt strategy'!$D$10='Debt strategy'!$D$9,1&lt;0))),1,0),IF(AND(O301+P301-Q301&gt;0,OR('Debt strategy'!$D$11&gt;'Debt strategy'!$D$9,AND('Debt strategy'!$D$11='Debt strategy'!$D$9,2&lt;0))),1,0),IF(AND(U301+V301-W301&gt;0,OR('Debt strategy'!$D$12&gt;'Debt strategy'!$D$9,AND('Debt strategy'!$D$12='Debt strategy'!$D$9,3&lt;0))),1,0),IF(AND(AA301+AB301-AC301&gt;0,OR('Debt strategy'!$D$13&gt;'Debt strategy'!$D$9,AND('Debt strategy'!$D$13='Debt strategy'!$D$9,4&lt;0))),1,0)))</x:f>
        <x:v>99</x:v>
      </x:c>
      <x:c r="G301" s="6" t="n">
        <x:f>IF('Debt strategy'!$C$16&gt;0,0,MIN(C301+D301-E301,MAX(0,'Debt strategy'!$C$5-SUM(E301,K301,Q301,W301,AC301)-SUM(IF(L301&lt;F301,I301+J301-K301,0),IF(R301&lt;F301,O301+P301-Q301,0),IF(X301&lt;F301,U301+V301-W301,0),IF(AD301&lt;F301,AA301+AB301-AC301,0)))))</x:f>
        <x:v>0</x:v>
      </x:c>
      <x:c r="H301" s="6" t="n">
        <x:f>ROUND(MAX(0,C301+D301-E301-G301),2)</x:f>
        <x:v>0</x:v>
      </x:c>
      <x:c r="I301" s="6" t="n">
        <x:f>N300</x:f>
        <x:v>0</x:v>
      </x:c>
      <x:c r="J301" s="6" t="n">
        <x:f>ROUND(I301*'Debt strategy'!$D$10/12,2)</x:f>
        <x:v>0</x:v>
      </x:c>
      <x:c r="K301" s="6" t="n">
        <x:f>MIN(I301+J301,'Debt strategy'!$E$10)</x:f>
        <x:v>0</x:v>
      </x:c>
      <x:c r="L301" s="27" t="n">
        <x:f>IF(I301+J301-K301&lt;=0,99,1+SUM(IF(AND(C301+D301-E301&gt;0,OR('Debt strategy'!$D$9&gt;'Debt strategy'!$D$10,AND('Debt strategy'!$D$9='Debt strategy'!$D$10,0&lt;1))),1,0),IF(AND(O301+P301-Q301&gt;0,OR('Debt strategy'!$D$11&gt;'Debt strategy'!$D$10,AND('Debt strategy'!$D$11='Debt strategy'!$D$10,2&lt;1))),1,0),IF(AND(U301+V301-W301&gt;0,OR('Debt strategy'!$D$12&gt;'Debt strategy'!$D$10,AND('Debt strategy'!$D$12='Debt strategy'!$D$10,3&lt;1))),1,0),IF(AND(AA301+AB301-AC301&gt;0,OR('Debt strategy'!$D$13&gt;'Debt strategy'!$D$10,AND('Debt strategy'!$D$13='Debt strategy'!$D$10,4&lt;1))),1,0)))</x:f>
        <x:v>99</x:v>
      </x:c>
      <x:c r="M301" s="6" t="n">
        <x:f>IF('Debt strategy'!$C$16&gt;0,0,MIN(I301+J301-K301,MAX(0,'Debt strategy'!$C$5-SUM(E301,K301,Q301,W301,AC301)-SUM(IF(F301&lt;L301,C301+D301-E301,0),IF(R301&lt;L301,O301+P301-Q301,0),IF(X301&lt;L301,U301+V301-W301,0),IF(AD301&lt;L301,AA301+AB301-AC301,0)))))</x:f>
        <x:v>0</x:v>
      </x:c>
      <x:c r="N301" s="6" t="n">
        <x:f>ROUND(MAX(0,I301+J301-K301-M301),2)</x:f>
        <x:v>0</x:v>
      </x:c>
      <x:c r="O301" s="6" t="n">
        <x:f>T300</x:f>
        <x:v>0</x:v>
      </x:c>
      <x:c r="P301" s="6" t="n">
        <x:f>ROUND(O301*'Debt strategy'!$D$11/12,2)</x:f>
        <x:v>0</x:v>
      </x:c>
      <x:c r="Q301" s="6" t="n">
        <x:f>MIN(O301+P301,'Debt strategy'!$E$11)</x:f>
        <x:v>0</x:v>
      </x:c>
      <x:c r="R301" s="27" t="n">
        <x:f>IF(O301+P301-Q301&lt;=0,99,1+SUM(IF(AND(C301+D301-E301&gt;0,OR('Debt strategy'!$D$9&gt;'Debt strategy'!$D$11,AND('Debt strategy'!$D$9='Debt strategy'!$D$11,0&lt;2))),1,0),IF(AND(I301+J301-K301&gt;0,OR('Debt strategy'!$D$10&gt;'Debt strategy'!$D$11,AND('Debt strategy'!$D$10='Debt strategy'!$D$11,1&lt;2))),1,0),IF(AND(U301+V301-W301&gt;0,OR('Debt strategy'!$D$12&gt;'Debt strategy'!$D$11,AND('Debt strategy'!$D$12='Debt strategy'!$D$11,3&lt;2))),1,0),IF(AND(AA301+AB301-AC301&gt;0,OR('Debt strategy'!$D$13&gt;'Debt strategy'!$D$11,AND('Debt strategy'!$D$13='Debt strategy'!$D$11,4&lt;2))),1,0)))</x:f>
        <x:v>99</x:v>
      </x:c>
      <x:c r="S301" s="6" t="n">
        <x:f>IF('Debt strategy'!$C$16&gt;0,0,MIN(O301+P301-Q301,MAX(0,'Debt strategy'!$C$5-SUM(E301,K301,Q301,W301,AC301)-SUM(IF(F301&lt;R301,C301+D301-E301,0),IF(L301&lt;R301,I301+J301-K301,0),IF(X301&lt;R301,U301+V301-W301,0),IF(AD301&lt;R301,AA301+AB301-AC301,0)))))</x:f>
        <x:v>0</x:v>
      </x:c>
      <x:c r="T301" s="6" t="n">
        <x:f>ROUND(MAX(0,O301+P301-Q301-S301),2)</x:f>
        <x:v>0</x:v>
      </x:c>
      <x:c r="U301" s="6" t="n">
        <x:f>Z300</x:f>
        <x:v>0</x:v>
      </x:c>
      <x:c r="V301" s="6" t="n">
        <x:f>ROUND(U301*'Debt strategy'!$D$12/12,2)</x:f>
        <x:v>0</x:v>
      </x:c>
      <x:c r="W301" s="6" t="n">
        <x:f>MIN(U301+V301,'Debt strategy'!$E$12)</x:f>
        <x:v>0</x:v>
      </x:c>
      <x:c r="X301" s="27" t="n">
        <x:f>IF(U301+V301-W301&lt;=0,99,1+SUM(IF(AND(C301+D301-E301&gt;0,OR('Debt strategy'!$D$9&gt;'Debt strategy'!$D$12,AND('Debt strategy'!$D$9='Debt strategy'!$D$12,0&lt;3))),1,0),IF(AND(I301+J301-K301&gt;0,OR('Debt strategy'!$D$10&gt;'Debt strategy'!$D$12,AND('Debt strategy'!$D$10='Debt strategy'!$D$12,1&lt;3))),1,0),IF(AND(O301+P301-Q301&gt;0,OR('Debt strategy'!$D$11&gt;'Debt strategy'!$D$12,AND('Debt strategy'!$D$11='Debt strategy'!$D$12,2&lt;3))),1,0),IF(AND(AA301+AB301-AC301&gt;0,OR('Debt strategy'!$D$13&gt;'Debt strategy'!$D$12,AND('Debt strategy'!$D$13='Debt strategy'!$D$12,4&lt;3))),1,0)))</x:f>
        <x:v>99</x:v>
      </x:c>
      <x:c r="Y301" s="6" t="n">
        <x:f>IF('Debt strategy'!$C$16&gt;0,0,MIN(U301+V301-W301,MAX(0,'Debt strategy'!$C$5-SUM(E301,K301,Q301,W301,AC301)-SUM(IF(F301&lt;X301,C301+D301-E301,0),IF(L301&lt;X301,I301+J301-K301,0),IF(R301&lt;X301,O301+P301-Q301,0),IF(AD301&lt;X301,AA301+AB301-AC301,0)))))</x:f>
        <x:v>0</x:v>
      </x:c>
      <x:c r="Z301" s="6" t="n">
        <x:f>ROUND(MAX(0,U301+V301-W301-Y301),2)</x:f>
        <x:v>0</x:v>
      </x:c>
      <x:c r="AA301" s="6" t="n">
        <x:f>AF300</x:f>
        <x:v>0</x:v>
      </x:c>
      <x:c r="AB301" s="6" t="n">
        <x:f>ROUND(AA301*'Debt strategy'!$D$13/12,2)</x:f>
        <x:v>0</x:v>
      </x:c>
      <x:c r="AC301" s="6" t="n">
        <x:f>MIN(AA301+AB301,'Debt strategy'!$E$13)</x:f>
        <x:v>0</x:v>
      </x:c>
      <x:c r="AD301" s="27" t="n">
        <x:f>IF(AA301+AB301-AC301&lt;=0,99,1+SUM(IF(AND(C301+D301-E301&gt;0,OR('Debt strategy'!$D$9&gt;'Debt strategy'!$D$13,AND('Debt strategy'!$D$9='Debt strategy'!$D$13,0&lt;4))),1,0),IF(AND(I301+J301-K301&gt;0,OR('Debt strategy'!$D$10&gt;'Debt strategy'!$D$13,AND('Debt strategy'!$D$10='Debt strategy'!$D$13,1&lt;4))),1,0),IF(AND(O301+P301-Q301&gt;0,OR('Debt strategy'!$D$11&gt;'Debt strategy'!$D$13,AND('Debt strategy'!$D$11='Debt strategy'!$D$13,2&lt;4))),1,0),IF(AND(U301+V301-W301&gt;0,OR('Debt strategy'!$D$12&gt;'Debt strategy'!$D$13,AND('Debt strategy'!$D$12='Debt strategy'!$D$13,3&lt;4))),1,0)))</x:f>
        <x:v>99</x:v>
      </x:c>
      <x:c r="AE301" s="6" t="n">
        <x:f>IF('Debt strategy'!$C$16&gt;0,0,MIN(AA301+AB301-AC301,MAX(0,'Debt strategy'!$C$5-SUM(E301,K301,Q301,W301,AC301)-SUM(IF(F301&lt;AD301,C301+D301-E301,0),IF(L301&lt;AD301,I301+J301-K301,0),IF(R301&lt;AD301,O301+P301-Q301,0),IF(X301&lt;AD301,U301+V301-W301,0)))))</x:f>
        <x:v>0</x:v>
      </x:c>
      <x:c r="AF301" s="6" t="n">
        <x:f>ROUND(MAX(0,AA301+AB301-AC301-AE301),2)</x:f>
        <x:v>0</x:v>
      </x:c>
      <x:c r="AG301" s="6" t="n">
        <x:f>SUM(H301,N301,T301,Z301,AF301)</x:f>
        <x:v>0</x:v>
      </x:c>
      <x:c r="AH301" s="6" t="n">
        <x:f>SUM(D301,J301,P301,V301,AB301)+AH300</x:f>
        <x:v>1220.8400000000001</x:v>
      </x:c>
      <x:c r="AI301" s="2"/>
    </x:row>
    <x:row r="302" ht="23" customHeight="1">
      <x:c r="B302" s="2" t="n">
        <x:f>294</x:f>
        <x:v>294</x:v>
      </x:c>
      <x:c r="C302" s="6" t="n">
        <x:f>H301</x:f>
        <x:v>0</x:v>
      </x:c>
      <x:c r="D302" s="6" t="n">
        <x:f>ROUND(C302*'Debt strategy'!$D$9/12,2)</x:f>
        <x:v>0</x:v>
      </x:c>
      <x:c r="E302" s="6" t="n">
        <x:f>MIN(C302+D302,'Debt strategy'!$E$9)</x:f>
        <x:v>0</x:v>
      </x:c>
      <x:c r="F302" s="27" t="n">
        <x:f>IF(C302+D302-E302&lt;=0,99,1+SUM(IF(AND(I302+J302-K302&gt;0,OR('Debt strategy'!$D$10&gt;'Debt strategy'!$D$9,AND('Debt strategy'!$D$10='Debt strategy'!$D$9,1&lt;0))),1,0),IF(AND(O302+P302-Q302&gt;0,OR('Debt strategy'!$D$11&gt;'Debt strategy'!$D$9,AND('Debt strategy'!$D$11='Debt strategy'!$D$9,2&lt;0))),1,0),IF(AND(U302+V302-W302&gt;0,OR('Debt strategy'!$D$12&gt;'Debt strategy'!$D$9,AND('Debt strategy'!$D$12='Debt strategy'!$D$9,3&lt;0))),1,0),IF(AND(AA302+AB302-AC302&gt;0,OR('Debt strategy'!$D$13&gt;'Debt strategy'!$D$9,AND('Debt strategy'!$D$13='Debt strategy'!$D$9,4&lt;0))),1,0)))</x:f>
        <x:v>99</x:v>
      </x:c>
      <x:c r="G302" s="6" t="n">
        <x:f>IF('Debt strategy'!$C$16&gt;0,0,MIN(C302+D302-E302,MAX(0,'Debt strategy'!$C$5-SUM(E302,K302,Q302,W302,AC302)-SUM(IF(L302&lt;F302,I302+J302-K302,0),IF(R302&lt;F302,O302+P302-Q302,0),IF(X302&lt;F302,U302+V302-W302,0),IF(AD302&lt;F302,AA302+AB302-AC302,0)))))</x:f>
        <x:v>0</x:v>
      </x:c>
      <x:c r="H302" s="6" t="n">
        <x:f>ROUND(MAX(0,C302+D302-E302-G302),2)</x:f>
        <x:v>0</x:v>
      </x:c>
      <x:c r="I302" s="6" t="n">
        <x:f>N301</x:f>
        <x:v>0</x:v>
      </x:c>
      <x:c r="J302" s="6" t="n">
        <x:f>ROUND(I302*'Debt strategy'!$D$10/12,2)</x:f>
        <x:v>0</x:v>
      </x:c>
      <x:c r="K302" s="6" t="n">
        <x:f>MIN(I302+J302,'Debt strategy'!$E$10)</x:f>
        <x:v>0</x:v>
      </x:c>
      <x:c r="L302" s="27" t="n">
        <x:f>IF(I302+J302-K302&lt;=0,99,1+SUM(IF(AND(C302+D302-E302&gt;0,OR('Debt strategy'!$D$9&gt;'Debt strategy'!$D$10,AND('Debt strategy'!$D$9='Debt strategy'!$D$10,0&lt;1))),1,0),IF(AND(O302+P302-Q302&gt;0,OR('Debt strategy'!$D$11&gt;'Debt strategy'!$D$10,AND('Debt strategy'!$D$11='Debt strategy'!$D$10,2&lt;1))),1,0),IF(AND(U302+V302-W302&gt;0,OR('Debt strategy'!$D$12&gt;'Debt strategy'!$D$10,AND('Debt strategy'!$D$12='Debt strategy'!$D$10,3&lt;1))),1,0),IF(AND(AA302+AB302-AC302&gt;0,OR('Debt strategy'!$D$13&gt;'Debt strategy'!$D$10,AND('Debt strategy'!$D$13='Debt strategy'!$D$10,4&lt;1))),1,0)))</x:f>
        <x:v>99</x:v>
      </x:c>
      <x:c r="M302" s="6" t="n">
        <x:f>IF('Debt strategy'!$C$16&gt;0,0,MIN(I302+J302-K302,MAX(0,'Debt strategy'!$C$5-SUM(E302,K302,Q302,W302,AC302)-SUM(IF(F302&lt;L302,C302+D302-E302,0),IF(R302&lt;L302,O302+P302-Q302,0),IF(X302&lt;L302,U302+V302-W302,0),IF(AD302&lt;L302,AA302+AB302-AC302,0)))))</x:f>
        <x:v>0</x:v>
      </x:c>
      <x:c r="N302" s="6" t="n">
        <x:f>ROUND(MAX(0,I302+J302-K302-M302),2)</x:f>
        <x:v>0</x:v>
      </x:c>
      <x:c r="O302" s="6" t="n">
        <x:f>T301</x:f>
        <x:v>0</x:v>
      </x:c>
      <x:c r="P302" s="6" t="n">
        <x:f>ROUND(O302*'Debt strategy'!$D$11/12,2)</x:f>
        <x:v>0</x:v>
      </x:c>
      <x:c r="Q302" s="6" t="n">
        <x:f>MIN(O302+P302,'Debt strategy'!$E$11)</x:f>
        <x:v>0</x:v>
      </x:c>
      <x:c r="R302" s="27" t="n">
        <x:f>IF(O302+P302-Q302&lt;=0,99,1+SUM(IF(AND(C302+D302-E302&gt;0,OR('Debt strategy'!$D$9&gt;'Debt strategy'!$D$11,AND('Debt strategy'!$D$9='Debt strategy'!$D$11,0&lt;2))),1,0),IF(AND(I302+J302-K302&gt;0,OR('Debt strategy'!$D$10&gt;'Debt strategy'!$D$11,AND('Debt strategy'!$D$10='Debt strategy'!$D$11,1&lt;2))),1,0),IF(AND(U302+V302-W302&gt;0,OR('Debt strategy'!$D$12&gt;'Debt strategy'!$D$11,AND('Debt strategy'!$D$12='Debt strategy'!$D$11,3&lt;2))),1,0),IF(AND(AA302+AB302-AC302&gt;0,OR('Debt strategy'!$D$13&gt;'Debt strategy'!$D$11,AND('Debt strategy'!$D$13='Debt strategy'!$D$11,4&lt;2))),1,0)))</x:f>
        <x:v>99</x:v>
      </x:c>
      <x:c r="S302" s="6" t="n">
        <x:f>IF('Debt strategy'!$C$16&gt;0,0,MIN(O302+P302-Q302,MAX(0,'Debt strategy'!$C$5-SUM(E302,K302,Q302,W302,AC302)-SUM(IF(F302&lt;R302,C302+D302-E302,0),IF(L302&lt;R302,I302+J302-K302,0),IF(X302&lt;R302,U302+V302-W302,0),IF(AD302&lt;R302,AA302+AB302-AC302,0)))))</x:f>
        <x:v>0</x:v>
      </x:c>
      <x:c r="T302" s="6" t="n">
        <x:f>ROUND(MAX(0,O302+P302-Q302-S302),2)</x:f>
        <x:v>0</x:v>
      </x:c>
      <x:c r="U302" s="6" t="n">
        <x:f>Z301</x:f>
        <x:v>0</x:v>
      </x:c>
      <x:c r="V302" s="6" t="n">
        <x:f>ROUND(U302*'Debt strategy'!$D$12/12,2)</x:f>
        <x:v>0</x:v>
      </x:c>
      <x:c r="W302" s="6" t="n">
        <x:f>MIN(U302+V302,'Debt strategy'!$E$12)</x:f>
        <x:v>0</x:v>
      </x:c>
      <x:c r="X302" s="27" t="n">
        <x:f>IF(U302+V302-W302&lt;=0,99,1+SUM(IF(AND(C302+D302-E302&gt;0,OR('Debt strategy'!$D$9&gt;'Debt strategy'!$D$12,AND('Debt strategy'!$D$9='Debt strategy'!$D$12,0&lt;3))),1,0),IF(AND(I302+J302-K302&gt;0,OR('Debt strategy'!$D$10&gt;'Debt strategy'!$D$12,AND('Debt strategy'!$D$10='Debt strategy'!$D$12,1&lt;3))),1,0),IF(AND(O302+P302-Q302&gt;0,OR('Debt strategy'!$D$11&gt;'Debt strategy'!$D$12,AND('Debt strategy'!$D$11='Debt strategy'!$D$12,2&lt;3))),1,0),IF(AND(AA302+AB302-AC302&gt;0,OR('Debt strategy'!$D$13&gt;'Debt strategy'!$D$12,AND('Debt strategy'!$D$13='Debt strategy'!$D$12,4&lt;3))),1,0)))</x:f>
        <x:v>99</x:v>
      </x:c>
      <x:c r="Y302" s="6" t="n">
        <x:f>IF('Debt strategy'!$C$16&gt;0,0,MIN(U302+V302-W302,MAX(0,'Debt strategy'!$C$5-SUM(E302,K302,Q302,W302,AC302)-SUM(IF(F302&lt;X302,C302+D302-E302,0),IF(L302&lt;X302,I302+J302-K302,0),IF(R302&lt;X302,O302+P302-Q302,0),IF(AD302&lt;X302,AA302+AB302-AC302,0)))))</x:f>
        <x:v>0</x:v>
      </x:c>
      <x:c r="Z302" s="6" t="n">
        <x:f>ROUND(MAX(0,U302+V302-W302-Y302),2)</x:f>
        <x:v>0</x:v>
      </x:c>
      <x:c r="AA302" s="6" t="n">
        <x:f>AF301</x:f>
        <x:v>0</x:v>
      </x:c>
      <x:c r="AB302" s="6" t="n">
        <x:f>ROUND(AA302*'Debt strategy'!$D$13/12,2)</x:f>
        <x:v>0</x:v>
      </x:c>
      <x:c r="AC302" s="6" t="n">
        <x:f>MIN(AA302+AB302,'Debt strategy'!$E$13)</x:f>
        <x:v>0</x:v>
      </x:c>
      <x:c r="AD302" s="27" t="n">
        <x:f>IF(AA302+AB302-AC302&lt;=0,99,1+SUM(IF(AND(C302+D302-E302&gt;0,OR('Debt strategy'!$D$9&gt;'Debt strategy'!$D$13,AND('Debt strategy'!$D$9='Debt strategy'!$D$13,0&lt;4))),1,0),IF(AND(I302+J302-K302&gt;0,OR('Debt strategy'!$D$10&gt;'Debt strategy'!$D$13,AND('Debt strategy'!$D$10='Debt strategy'!$D$13,1&lt;4))),1,0),IF(AND(O302+P302-Q302&gt;0,OR('Debt strategy'!$D$11&gt;'Debt strategy'!$D$13,AND('Debt strategy'!$D$11='Debt strategy'!$D$13,2&lt;4))),1,0),IF(AND(U302+V302-W302&gt;0,OR('Debt strategy'!$D$12&gt;'Debt strategy'!$D$13,AND('Debt strategy'!$D$12='Debt strategy'!$D$13,3&lt;4))),1,0)))</x:f>
        <x:v>99</x:v>
      </x:c>
      <x:c r="AE302" s="6" t="n">
        <x:f>IF('Debt strategy'!$C$16&gt;0,0,MIN(AA302+AB302-AC302,MAX(0,'Debt strategy'!$C$5-SUM(E302,K302,Q302,W302,AC302)-SUM(IF(F302&lt;AD302,C302+D302-E302,0),IF(L302&lt;AD302,I302+J302-K302,0),IF(R302&lt;AD302,O302+P302-Q302,0),IF(X302&lt;AD302,U302+V302-W302,0)))))</x:f>
        <x:v>0</x:v>
      </x:c>
      <x:c r="AF302" s="6" t="n">
        <x:f>ROUND(MAX(0,AA302+AB302-AC302-AE302),2)</x:f>
        <x:v>0</x:v>
      </x:c>
      <x:c r="AG302" s="6" t="n">
        <x:f>SUM(H302,N302,T302,Z302,AF302)</x:f>
        <x:v>0</x:v>
      </x:c>
      <x:c r="AH302" s="6" t="n">
        <x:f>SUM(D302,J302,P302,V302,AB302)+AH301</x:f>
        <x:v>1220.8400000000001</x:v>
      </x:c>
      <x:c r="AI302" s="2"/>
    </x:row>
    <x:row r="303" ht="23" customHeight="1">
      <x:c r="B303" s="2" t="n">
        <x:f>295</x:f>
        <x:v>295</x:v>
      </x:c>
      <x:c r="C303" s="6" t="n">
        <x:f>H302</x:f>
        <x:v>0</x:v>
      </x:c>
      <x:c r="D303" s="6" t="n">
        <x:f>ROUND(C303*'Debt strategy'!$D$9/12,2)</x:f>
        <x:v>0</x:v>
      </x:c>
      <x:c r="E303" s="6" t="n">
        <x:f>MIN(C303+D303,'Debt strategy'!$E$9)</x:f>
        <x:v>0</x:v>
      </x:c>
      <x:c r="F303" s="27" t="n">
        <x:f>IF(C303+D303-E303&lt;=0,99,1+SUM(IF(AND(I303+J303-K303&gt;0,OR('Debt strategy'!$D$10&gt;'Debt strategy'!$D$9,AND('Debt strategy'!$D$10='Debt strategy'!$D$9,1&lt;0))),1,0),IF(AND(O303+P303-Q303&gt;0,OR('Debt strategy'!$D$11&gt;'Debt strategy'!$D$9,AND('Debt strategy'!$D$11='Debt strategy'!$D$9,2&lt;0))),1,0),IF(AND(U303+V303-W303&gt;0,OR('Debt strategy'!$D$12&gt;'Debt strategy'!$D$9,AND('Debt strategy'!$D$12='Debt strategy'!$D$9,3&lt;0))),1,0),IF(AND(AA303+AB303-AC303&gt;0,OR('Debt strategy'!$D$13&gt;'Debt strategy'!$D$9,AND('Debt strategy'!$D$13='Debt strategy'!$D$9,4&lt;0))),1,0)))</x:f>
        <x:v>99</x:v>
      </x:c>
      <x:c r="G303" s="6" t="n">
        <x:f>IF('Debt strategy'!$C$16&gt;0,0,MIN(C303+D303-E303,MAX(0,'Debt strategy'!$C$5-SUM(E303,K303,Q303,W303,AC303)-SUM(IF(L303&lt;F303,I303+J303-K303,0),IF(R303&lt;F303,O303+P303-Q303,0),IF(X303&lt;F303,U303+V303-W303,0),IF(AD303&lt;F303,AA303+AB303-AC303,0)))))</x:f>
        <x:v>0</x:v>
      </x:c>
      <x:c r="H303" s="6" t="n">
        <x:f>ROUND(MAX(0,C303+D303-E303-G303),2)</x:f>
        <x:v>0</x:v>
      </x:c>
      <x:c r="I303" s="6" t="n">
        <x:f>N302</x:f>
        <x:v>0</x:v>
      </x:c>
      <x:c r="J303" s="6" t="n">
        <x:f>ROUND(I303*'Debt strategy'!$D$10/12,2)</x:f>
        <x:v>0</x:v>
      </x:c>
      <x:c r="K303" s="6" t="n">
        <x:f>MIN(I303+J303,'Debt strategy'!$E$10)</x:f>
        <x:v>0</x:v>
      </x:c>
      <x:c r="L303" s="27" t="n">
        <x:f>IF(I303+J303-K303&lt;=0,99,1+SUM(IF(AND(C303+D303-E303&gt;0,OR('Debt strategy'!$D$9&gt;'Debt strategy'!$D$10,AND('Debt strategy'!$D$9='Debt strategy'!$D$10,0&lt;1))),1,0),IF(AND(O303+P303-Q303&gt;0,OR('Debt strategy'!$D$11&gt;'Debt strategy'!$D$10,AND('Debt strategy'!$D$11='Debt strategy'!$D$10,2&lt;1))),1,0),IF(AND(U303+V303-W303&gt;0,OR('Debt strategy'!$D$12&gt;'Debt strategy'!$D$10,AND('Debt strategy'!$D$12='Debt strategy'!$D$10,3&lt;1))),1,0),IF(AND(AA303+AB303-AC303&gt;0,OR('Debt strategy'!$D$13&gt;'Debt strategy'!$D$10,AND('Debt strategy'!$D$13='Debt strategy'!$D$10,4&lt;1))),1,0)))</x:f>
        <x:v>99</x:v>
      </x:c>
      <x:c r="M303" s="6" t="n">
        <x:f>IF('Debt strategy'!$C$16&gt;0,0,MIN(I303+J303-K303,MAX(0,'Debt strategy'!$C$5-SUM(E303,K303,Q303,W303,AC303)-SUM(IF(F303&lt;L303,C303+D303-E303,0),IF(R303&lt;L303,O303+P303-Q303,0),IF(X303&lt;L303,U303+V303-W303,0),IF(AD303&lt;L303,AA303+AB303-AC303,0)))))</x:f>
        <x:v>0</x:v>
      </x:c>
      <x:c r="N303" s="6" t="n">
        <x:f>ROUND(MAX(0,I303+J303-K303-M303),2)</x:f>
        <x:v>0</x:v>
      </x:c>
      <x:c r="O303" s="6" t="n">
        <x:f>T302</x:f>
        <x:v>0</x:v>
      </x:c>
      <x:c r="P303" s="6" t="n">
        <x:f>ROUND(O303*'Debt strategy'!$D$11/12,2)</x:f>
        <x:v>0</x:v>
      </x:c>
      <x:c r="Q303" s="6" t="n">
        <x:f>MIN(O303+P303,'Debt strategy'!$E$11)</x:f>
        <x:v>0</x:v>
      </x:c>
      <x:c r="R303" s="27" t="n">
        <x:f>IF(O303+P303-Q303&lt;=0,99,1+SUM(IF(AND(C303+D303-E303&gt;0,OR('Debt strategy'!$D$9&gt;'Debt strategy'!$D$11,AND('Debt strategy'!$D$9='Debt strategy'!$D$11,0&lt;2))),1,0),IF(AND(I303+J303-K303&gt;0,OR('Debt strategy'!$D$10&gt;'Debt strategy'!$D$11,AND('Debt strategy'!$D$10='Debt strategy'!$D$11,1&lt;2))),1,0),IF(AND(U303+V303-W303&gt;0,OR('Debt strategy'!$D$12&gt;'Debt strategy'!$D$11,AND('Debt strategy'!$D$12='Debt strategy'!$D$11,3&lt;2))),1,0),IF(AND(AA303+AB303-AC303&gt;0,OR('Debt strategy'!$D$13&gt;'Debt strategy'!$D$11,AND('Debt strategy'!$D$13='Debt strategy'!$D$11,4&lt;2))),1,0)))</x:f>
        <x:v>99</x:v>
      </x:c>
      <x:c r="S303" s="6" t="n">
        <x:f>IF('Debt strategy'!$C$16&gt;0,0,MIN(O303+P303-Q303,MAX(0,'Debt strategy'!$C$5-SUM(E303,K303,Q303,W303,AC303)-SUM(IF(F303&lt;R303,C303+D303-E303,0),IF(L303&lt;R303,I303+J303-K303,0),IF(X303&lt;R303,U303+V303-W303,0),IF(AD303&lt;R303,AA303+AB303-AC303,0)))))</x:f>
        <x:v>0</x:v>
      </x:c>
      <x:c r="T303" s="6" t="n">
        <x:f>ROUND(MAX(0,O303+P303-Q303-S303),2)</x:f>
        <x:v>0</x:v>
      </x:c>
      <x:c r="U303" s="6" t="n">
        <x:f>Z302</x:f>
        <x:v>0</x:v>
      </x:c>
      <x:c r="V303" s="6" t="n">
        <x:f>ROUND(U303*'Debt strategy'!$D$12/12,2)</x:f>
        <x:v>0</x:v>
      </x:c>
      <x:c r="W303" s="6" t="n">
        <x:f>MIN(U303+V303,'Debt strategy'!$E$12)</x:f>
        <x:v>0</x:v>
      </x:c>
      <x:c r="X303" s="27" t="n">
        <x:f>IF(U303+V303-W303&lt;=0,99,1+SUM(IF(AND(C303+D303-E303&gt;0,OR('Debt strategy'!$D$9&gt;'Debt strategy'!$D$12,AND('Debt strategy'!$D$9='Debt strategy'!$D$12,0&lt;3))),1,0),IF(AND(I303+J303-K303&gt;0,OR('Debt strategy'!$D$10&gt;'Debt strategy'!$D$12,AND('Debt strategy'!$D$10='Debt strategy'!$D$12,1&lt;3))),1,0),IF(AND(O303+P303-Q303&gt;0,OR('Debt strategy'!$D$11&gt;'Debt strategy'!$D$12,AND('Debt strategy'!$D$11='Debt strategy'!$D$12,2&lt;3))),1,0),IF(AND(AA303+AB303-AC303&gt;0,OR('Debt strategy'!$D$13&gt;'Debt strategy'!$D$12,AND('Debt strategy'!$D$13='Debt strategy'!$D$12,4&lt;3))),1,0)))</x:f>
        <x:v>99</x:v>
      </x:c>
      <x:c r="Y303" s="6" t="n">
        <x:f>IF('Debt strategy'!$C$16&gt;0,0,MIN(U303+V303-W303,MAX(0,'Debt strategy'!$C$5-SUM(E303,K303,Q303,W303,AC303)-SUM(IF(F303&lt;X303,C303+D303-E303,0),IF(L303&lt;X303,I303+J303-K303,0),IF(R303&lt;X303,O303+P303-Q303,0),IF(AD303&lt;X303,AA303+AB303-AC303,0)))))</x:f>
        <x:v>0</x:v>
      </x:c>
      <x:c r="Z303" s="6" t="n">
        <x:f>ROUND(MAX(0,U303+V303-W303-Y303),2)</x:f>
        <x:v>0</x:v>
      </x:c>
      <x:c r="AA303" s="6" t="n">
        <x:f>AF302</x:f>
        <x:v>0</x:v>
      </x:c>
      <x:c r="AB303" s="6" t="n">
        <x:f>ROUND(AA303*'Debt strategy'!$D$13/12,2)</x:f>
        <x:v>0</x:v>
      </x:c>
      <x:c r="AC303" s="6" t="n">
        <x:f>MIN(AA303+AB303,'Debt strategy'!$E$13)</x:f>
        <x:v>0</x:v>
      </x:c>
      <x:c r="AD303" s="27" t="n">
        <x:f>IF(AA303+AB303-AC303&lt;=0,99,1+SUM(IF(AND(C303+D303-E303&gt;0,OR('Debt strategy'!$D$9&gt;'Debt strategy'!$D$13,AND('Debt strategy'!$D$9='Debt strategy'!$D$13,0&lt;4))),1,0),IF(AND(I303+J303-K303&gt;0,OR('Debt strategy'!$D$10&gt;'Debt strategy'!$D$13,AND('Debt strategy'!$D$10='Debt strategy'!$D$13,1&lt;4))),1,0),IF(AND(O303+P303-Q303&gt;0,OR('Debt strategy'!$D$11&gt;'Debt strategy'!$D$13,AND('Debt strategy'!$D$11='Debt strategy'!$D$13,2&lt;4))),1,0),IF(AND(U303+V303-W303&gt;0,OR('Debt strategy'!$D$12&gt;'Debt strategy'!$D$13,AND('Debt strategy'!$D$12='Debt strategy'!$D$13,3&lt;4))),1,0)))</x:f>
        <x:v>99</x:v>
      </x:c>
      <x:c r="AE303" s="6" t="n">
        <x:f>IF('Debt strategy'!$C$16&gt;0,0,MIN(AA303+AB303-AC303,MAX(0,'Debt strategy'!$C$5-SUM(E303,K303,Q303,W303,AC303)-SUM(IF(F303&lt;AD303,C303+D303-E303,0),IF(L303&lt;AD303,I303+J303-K303,0),IF(R303&lt;AD303,O303+P303-Q303,0),IF(X303&lt;AD303,U303+V303-W303,0)))))</x:f>
        <x:v>0</x:v>
      </x:c>
      <x:c r="AF303" s="6" t="n">
        <x:f>ROUND(MAX(0,AA303+AB303-AC303-AE303),2)</x:f>
        <x:v>0</x:v>
      </x:c>
      <x:c r="AG303" s="6" t="n">
        <x:f>SUM(H303,N303,T303,Z303,AF303)</x:f>
        <x:v>0</x:v>
      </x:c>
      <x:c r="AH303" s="6" t="n">
        <x:f>SUM(D303,J303,P303,V303,AB303)+AH302</x:f>
        <x:v>1220.8400000000001</x:v>
      </x:c>
      <x:c r="AI303" s="2"/>
    </x:row>
    <x:row r="304" ht="23" customHeight="1">
      <x:c r="B304" s="2" t="n">
        <x:f>296</x:f>
        <x:v>296</x:v>
      </x:c>
      <x:c r="C304" s="6" t="n">
        <x:f>H303</x:f>
        <x:v>0</x:v>
      </x:c>
      <x:c r="D304" s="6" t="n">
        <x:f>ROUND(C304*'Debt strategy'!$D$9/12,2)</x:f>
        <x:v>0</x:v>
      </x:c>
      <x:c r="E304" s="6" t="n">
        <x:f>MIN(C304+D304,'Debt strategy'!$E$9)</x:f>
        <x:v>0</x:v>
      </x:c>
      <x:c r="F304" s="27" t="n">
        <x:f>IF(C304+D304-E304&lt;=0,99,1+SUM(IF(AND(I304+J304-K304&gt;0,OR('Debt strategy'!$D$10&gt;'Debt strategy'!$D$9,AND('Debt strategy'!$D$10='Debt strategy'!$D$9,1&lt;0))),1,0),IF(AND(O304+P304-Q304&gt;0,OR('Debt strategy'!$D$11&gt;'Debt strategy'!$D$9,AND('Debt strategy'!$D$11='Debt strategy'!$D$9,2&lt;0))),1,0),IF(AND(U304+V304-W304&gt;0,OR('Debt strategy'!$D$12&gt;'Debt strategy'!$D$9,AND('Debt strategy'!$D$12='Debt strategy'!$D$9,3&lt;0))),1,0),IF(AND(AA304+AB304-AC304&gt;0,OR('Debt strategy'!$D$13&gt;'Debt strategy'!$D$9,AND('Debt strategy'!$D$13='Debt strategy'!$D$9,4&lt;0))),1,0)))</x:f>
        <x:v>99</x:v>
      </x:c>
      <x:c r="G304" s="6" t="n">
        <x:f>IF('Debt strategy'!$C$16&gt;0,0,MIN(C304+D304-E304,MAX(0,'Debt strategy'!$C$5-SUM(E304,K304,Q304,W304,AC304)-SUM(IF(L304&lt;F304,I304+J304-K304,0),IF(R304&lt;F304,O304+P304-Q304,0),IF(X304&lt;F304,U304+V304-W304,0),IF(AD304&lt;F304,AA304+AB304-AC304,0)))))</x:f>
        <x:v>0</x:v>
      </x:c>
      <x:c r="H304" s="6" t="n">
        <x:f>ROUND(MAX(0,C304+D304-E304-G304),2)</x:f>
        <x:v>0</x:v>
      </x:c>
      <x:c r="I304" s="6" t="n">
        <x:f>N303</x:f>
        <x:v>0</x:v>
      </x:c>
      <x:c r="J304" s="6" t="n">
        <x:f>ROUND(I304*'Debt strategy'!$D$10/12,2)</x:f>
        <x:v>0</x:v>
      </x:c>
      <x:c r="K304" s="6" t="n">
        <x:f>MIN(I304+J304,'Debt strategy'!$E$10)</x:f>
        <x:v>0</x:v>
      </x:c>
      <x:c r="L304" s="27" t="n">
        <x:f>IF(I304+J304-K304&lt;=0,99,1+SUM(IF(AND(C304+D304-E304&gt;0,OR('Debt strategy'!$D$9&gt;'Debt strategy'!$D$10,AND('Debt strategy'!$D$9='Debt strategy'!$D$10,0&lt;1))),1,0),IF(AND(O304+P304-Q304&gt;0,OR('Debt strategy'!$D$11&gt;'Debt strategy'!$D$10,AND('Debt strategy'!$D$11='Debt strategy'!$D$10,2&lt;1))),1,0),IF(AND(U304+V304-W304&gt;0,OR('Debt strategy'!$D$12&gt;'Debt strategy'!$D$10,AND('Debt strategy'!$D$12='Debt strategy'!$D$10,3&lt;1))),1,0),IF(AND(AA304+AB304-AC304&gt;0,OR('Debt strategy'!$D$13&gt;'Debt strategy'!$D$10,AND('Debt strategy'!$D$13='Debt strategy'!$D$10,4&lt;1))),1,0)))</x:f>
        <x:v>99</x:v>
      </x:c>
      <x:c r="M304" s="6" t="n">
        <x:f>IF('Debt strategy'!$C$16&gt;0,0,MIN(I304+J304-K304,MAX(0,'Debt strategy'!$C$5-SUM(E304,K304,Q304,W304,AC304)-SUM(IF(F304&lt;L304,C304+D304-E304,0),IF(R304&lt;L304,O304+P304-Q304,0),IF(X304&lt;L304,U304+V304-W304,0),IF(AD304&lt;L304,AA304+AB304-AC304,0)))))</x:f>
        <x:v>0</x:v>
      </x:c>
      <x:c r="N304" s="6" t="n">
        <x:f>ROUND(MAX(0,I304+J304-K304-M304),2)</x:f>
        <x:v>0</x:v>
      </x:c>
      <x:c r="O304" s="6" t="n">
        <x:f>T303</x:f>
        <x:v>0</x:v>
      </x:c>
      <x:c r="P304" s="6" t="n">
        <x:f>ROUND(O304*'Debt strategy'!$D$11/12,2)</x:f>
        <x:v>0</x:v>
      </x:c>
      <x:c r="Q304" s="6" t="n">
        <x:f>MIN(O304+P304,'Debt strategy'!$E$11)</x:f>
        <x:v>0</x:v>
      </x:c>
      <x:c r="R304" s="27" t="n">
        <x:f>IF(O304+P304-Q304&lt;=0,99,1+SUM(IF(AND(C304+D304-E304&gt;0,OR('Debt strategy'!$D$9&gt;'Debt strategy'!$D$11,AND('Debt strategy'!$D$9='Debt strategy'!$D$11,0&lt;2))),1,0),IF(AND(I304+J304-K304&gt;0,OR('Debt strategy'!$D$10&gt;'Debt strategy'!$D$11,AND('Debt strategy'!$D$10='Debt strategy'!$D$11,1&lt;2))),1,0),IF(AND(U304+V304-W304&gt;0,OR('Debt strategy'!$D$12&gt;'Debt strategy'!$D$11,AND('Debt strategy'!$D$12='Debt strategy'!$D$11,3&lt;2))),1,0),IF(AND(AA304+AB304-AC304&gt;0,OR('Debt strategy'!$D$13&gt;'Debt strategy'!$D$11,AND('Debt strategy'!$D$13='Debt strategy'!$D$11,4&lt;2))),1,0)))</x:f>
        <x:v>99</x:v>
      </x:c>
      <x:c r="S304" s="6" t="n">
        <x:f>IF('Debt strategy'!$C$16&gt;0,0,MIN(O304+P304-Q304,MAX(0,'Debt strategy'!$C$5-SUM(E304,K304,Q304,W304,AC304)-SUM(IF(F304&lt;R304,C304+D304-E304,0),IF(L304&lt;R304,I304+J304-K304,0),IF(X304&lt;R304,U304+V304-W304,0),IF(AD304&lt;R304,AA304+AB304-AC304,0)))))</x:f>
        <x:v>0</x:v>
      </x:c>
      <x:c r="T304" s="6" t="n">
        <x:f>ROUND(MAX(0,O304+P304-Q304-S304),2)</x:f>
        <x:v>0</x:v>
      </x:c>
      <x:c r="U304" s="6" t="n">
        <x:f>Z303</x:f>
        <x:v>0</x:v>
      </x:c>
      <x:c r="V304" s="6" t="n">
        <x:f>ROUND(U304*'Debt strategy'!$D$12/12,2)</x:f>
        <x:v>0</x:v>
      </x:c>
      <x:c r="W304" s="6" t="n">
        <x:f>MIN(U304+V304,'Debt strategy'!$E$12)</x:f>
        <x:v>0</x:v>
      </x:c>
      <x:c r="X304" s="27" t="n">
        <x:f>IF(U304+V304-W304&lt;=0,99,1+SUM(IF(AND(C304+D304-E304&gt;0,OR('Debt strategy'!$D$9&gt;'Debt strategy'!$D$12,AND('Debt strategy'!$D$9='Debt strategy'!$D$12,0&lt;3))),1,0),IF(AND(I304+J304-K304&gt;0,OR('Debt strategy'!$D$10&gt;'Debt strategy'!$D$12,AND('Debt strategy'!$D$10='Debt strategy'!$D$12,1&lt;3))),1,0),IF(AND(O304+P304-Q304&gt;0,OR('Debt strategy'!$D$11&gt;'Debt strategy'!$D$12,AND('Debt strategy'!$D$11='Debt strategy'!$D$12,2&lt;3))),1,0),IF(AND(AA304+AB304-AC304&gt;0,OR('Debt strategy'!$D$13&gt;'Debt strategy'!$D$12,AND('Debt strategy'!$D$13='Debt strategy'!$D$12,4&lt;3))),1,0)))</x:f>
        <x:v>99</x:v>
      </x:c>
      <x:c r="Y304" s="6" t="n">
        <x:f>IF('Debt strategy'!$C$16&gt;0,0,MIN(U304+V304-W304,MAX(0,'Debt strategy'!$C$5-SUM(E304,K304,Q304,W304,AC304)-SUM(IF(F304&lt;X304,C304+D304-E304,0),IF(L304&lt;X304,I304+J304-K304,0),IF(R304&lt;X304,O304+P304-Q304,0),IF(AD304&lt;X304,AA304+AB304-AC304,0)))))</x:f>
        <x:v>0</x:v>
      </x:c>
      <x:c r="Z304" s="6" t="n">
        <x:f>ROUND(MAX(0,U304+V304-W304-Y304),2)</x:f>
        <x:v>0</x:v>
      </x:c>
      <x:c r="AA304" s="6" t="n">
        <x:f>AF303</x:f>
        <x:v>0</x:v>
      </x:c>
      <x:c r="AB304" s="6" t="n">
        <x:f>ROUND(AA304*'Debt strategy'!$D$13/12,2)</x:f>
        <x:v>0</x:v>
      </x:c>
      <x:c r="AC304" s="6" t="n">
        <x:f>MIN(AA304+AB304,'Debt strategy'!$E$13)</x:f>
        <x:v>0</x:v>
      </x:c>
      <x:c r="AD304" s="27" t="n">
        <x:f>IF(AA304+AB304-AC304&lt;=0,99,1+SUM(IF(AND(C304+D304-E304&gt;0,OR('Debt strategy'!$D$9&gt;'Debt strategy'!$D$13,AND('Debt strategy'!$D$9='Debt strategy'!$D$13,0&lt;4))),1,0),IF(AND(I304+J304-K304&gt;0,OR('Debt strategy'!$D$10&gt;'Debt strategy'!$D$13,AND('Debt strategy'!$D$10='Debt strategy'!$D$13,1&lt;4))),1,0),IF(AND(O304+P304-Q304&gt;0,OR('Debt strategy'!$D$11&gt;'Debt strategy'!$D$13,AND('Debt strategy'!$D$11='Debt strategy'!$D$13,2&lt;4))),1,0),IF(AND(U304+V304-W304&gt;0,OR('Debt strategy'!$D$12&gt;'Debt strategy'!$D$13,AND('Debt strategy'!$D$12='Debt strategy'!$D$13,3&lt;4))),1,0)))</x:f>
        <x:v>99</x:v>
      </x:c>
      <x:c r="AE304" s="6" t="n">
        <x:f>IF('Debt strategy'!$C$16&gt;0,0,MIN(AA304+AB304-AC304,MAX(0,'Debt strategy'!$C$5-SUM(E304,K304,Q304,W304,AC304)-SUM(IF(F304&lt;AD304,C304+D304-E304,0),IF(L304&lt;AD304,I304+J304-K304,0),IF(R304&lt;AD304,O304+P304-Q304,0),IF(X304&lt;AD304,U304+V304-W304,0)))))</x:f>
        <x:v>0</x:v>
      </x:c>
      <x:c r="AF304" s="6" t="n">
        <x:f>ROUND(MAX(0,AA304+AB304-AC304-AE304),2)</x:f>
        <x:v>0</x:v>
      </x:c>
      <x:c r="AG304" s="6" t="n">
        <x:f>SUM(H304,N304,T304,Z304,AF304)</x:f>
        <x:v>0</x:v>
      </x:c>
      <x:c r="AH304" s="6" t="n">
        <x:f>SUM(D304,J304,P304,V304,AB304)+AH303</x:f>
        <x:v>1220.8400000000001</x:v>
      </x:c>
      <x:c r="AI304" s="2"/>
    </x:row>
    <x:row r="305" ht="23" customHeight="1">
      <x:c r="B305" s="2" t="n">
        <x:f>297</x:f>
        <x:v>297</x:v>
      </x:c>
      <x:c r="C305" s="6" t="n">
        <x:f>H304</x:f>
        <x:v>0</x:v>
      </x:c>
      <x:c r="D305" s="6" t="n">
        <x:f>ROUND(C305*'Debt strategy'!$D$9/12,2)</x:f>
        <x:v>0</x:v>
      </x:c>
      <x:c r="E305" s="6" t="n">
        <x:f>MIN(C305+D305,'Debt strategy'!$E$9)</x:f>
        <x:v>0</x:v>
      </x:c>
      <x:c r="F305" s="27" t="n">
        <x:f>IF(C305+D305-E305&lt;=0,99,1+SUM(IF(AND(I305+J305-K305&gt;0,OR('Debt strategy'!$D$10&gt;'Debt strategy'!$D$9,AND('Debt strategy'!$D$10='Debt strategy'!$D$9,1&lt;0))),1,0),IF(AND(O305+P305-Q305&gt;0,OR('Debt strategy'!$D$11&gt;'Debt strategy'!$D$9,AND('Debt strategy'!$D$11='Debt strategy'!$D$9,2&lt;0))),1,0),IF(AND(U305+V305-W305&gt;0,OR('Debt strategy'!$D$12&gt;'Debt strategy'!$D$9,AND('Debt strategy'!$D$12='Debt strategy'!$D$9,3&lt;0))),1,0),IF(AND(AA305+AB305-AC305&gt;0,OR('Debt strategy'!$D$13&gt;'Debt strategy'!$D$9,AND('Debt strategy'!$D$13='Debt strategy'!$D$9,4&lt;0))),1,0)))</x:f>
        <x:v>99</x:v>
      </x:c>
      <x:c r="G305" s="6" t="n">
        <x:f>IF('Debt strategy'!$C$16&gt;0,0,MIN(C305+D305-E305,MAX(0,'Debt strategy'!$C$5-SUM(E305,K305,Q305,W305,AC305)-SUM(IF(L305&lt;F305,I305+J305-K305,0),IF(R305&lt;F305,O305+P305-Q305,0),IF(X305&lt;F305,U305+V305-W305,0),IF(AD305&lt;F305,AA305+AB305-AC305,0)))))</x:f>
        <x:v>0</x:v>
      </x:c>
      <x:c r="H305" s="6" t="n">
        <x:f>ROUND(MAX(0,C305+D305-E305-G305),2)</x:f>
        <x:v>0</x:v>
      </x:c>
      <x:c r="I305" s="6" t="n">
        <x:f>N304</x:f>
        <x:v>0</x:v>
      </x:c>
      <x:c r="J305" s="6" t="n">
        <x:f>ROUND(I305*'Debt strategy'!$D$10/12,2)</x:f>
        <x:v>0</x:v>
      </x:c>
      <x:c r="K305" s="6" t="n">
        <x:f>MIN(I305+J305,'Debt strategy'!$E$10)</x:f>
        <x:v>0</x:v>
      </x:c>
      <x:c r="L305" s="27" t="n">
        <x:f>IF(I305+J305-K305&lt;=0,99,1+SUM(IF(AND(C305+D305-E305&gt;0,OR('Debt strategy'!$D$9&gt;'Debt strategy'!$D$10,AND('Debt strategy'!$D$9='Debt strategy'!$D$10,0&lt;1))),1,0),IF(AND(O305+P305-Q305&gt;0,OR('Debt strategy'!$D$11&gt;'Debt strategy'!$D$10,AND('Debt strategy'!$D$11='Debt strategy'!$D$10,2&lt;1))),1,0),IF(AND(U305+V305-W305&gt;0,OR('Debt strategy'!$D$12&gt;'Debt strategy'!$D$10,AND('Debt strategy'!$D$12='Debt strategy'!$D$10,3&lt;1))),1,0),IF(AND(AA305+AB305-AC305&gt;0,OR('Debt strategy'!$D$13&gt;'Debt strategy'!$D$10,AND('Debt strategy'!$D$13='Debt strategy'!$D$10,4&lt;1))),1,0)))</x:f>
        <x:v>99</x:v>
      </x:c>
      <x:c r="M305" s="6" t="n">
        <x:f>IF('Debt strategy'!$C$16&gt;0,0,MIN(I305+J305-K305,MAX(0,'Debt strategy'!$C$5-SUM(E305,K305,Q305,W305,AC305)-SUM(IF(F305&lt;L305,C305+D305-E305,0),IF(R305&lt;L305,O305+P305-Q305,0),IF(X305&lt;L305,U305+V305-W305,0),IF(AD305&lt;L305,AA305+AB305-AC305,0)))))</x:f>
        <x:v>0</x:v>
      </x:c>
      <x:c r="N305" s="6" t="n">
        <x:f>ROUND(MAX(0,I305+J305-K305-M305),2)</x:f>
        <x:v>0</x:v>
      </x:c>
      <x:c r="O305" s="6" t="n">
        <x:f>T304</x:f>
        <x:v>0</x:v>
      </x:c>
      <x:c r="P305" s="6" t="n">
        <x:f>ROUND(O305*'Debt strategy'!$D$11/12,2)</x:f>
        <x:v>0</x:v>
      </x:c>
      <x:c r="Q305" s="6" t="n">
        <x:f>MIN(O305+P305,'Debt strategy'!$E$11)</x:f>
        <x:v>0</x:v>
      </x:c>
      <x:c r="R305" s="27" t="n">
        <x:f>IF(O305+P305-Q305&lt;=0,99,1+SUM(IF(AND(C305+D305-E305&gt;0,OR('Debt strategy'!$D$9&gt;'Debt strategy'!$D$11,AND('Debt strategy'!$D$9='Debt strategy'!$D$11,0&lt;2))),1,0),IF(AND(I305+J305-K305&gt;0,OR('Debt strategy'!$D$10&gt;'Debt strategy'!$D$11,AND('Debt strategy'!$D$10='Debt strategy'!$D$11,1&lt;2))),1,0),IF(AND(U305+V305-W305&gt;0,OR('Debt strategy'!$D$12&gt;'Debt strategy'!$D$11,AND('Debt strategy'!$D$12='Debt strategy'!$D$11,3&lt;2))),1,0),IF(AND(AA305+AB305-AC305&gt;0,OR('Debt strategy'!$D$13&gt;'Debt strategy'!$D$11,AND('Debt strategy'!$D$13='Debt strategy'!$D$11,4&lt;2))),1,0)))</x:f>
        <x:v>99</x:v>
      </x:c>
      <x:c r="S305" s="6" t="n">
        <x:f>IF('Debt strategy'!$C$16&gt;0,0,MIN(O305+P305-Q305,MAX(0,'Debt strategy'!$C$5-SUM(E305,K305,Q305,W305,AC305)-SUM(IF(F305&lt;R305,C305+D305-E305,0),IF(L305&lt;R305,I305+J305-K305,0),IF(X305&lt;R305,U305+V305-W305,0),IF(AD305&lt;R305,AA305+AB305-AC305,0)))))</x:f>
        <x:v>0</x:v>
      </x:c>
      <x:c r="T305" s="6" t="n">
        <x:f>ROUND(MAX(0,O305+P305-Q305-S305),2)</x:f>
        <x:v>0</x:v>
      </x:c>
      <x:c r="U305" s="6" t="n">
        <x:f>Z304</x:f>
        <x:v>0</x:v>
      </x:c>
      <x:c r="V305" s="6" t="n">
        <x:f>ROUND(U305*'Debt strategy'!$D$12/12,2)</x:f>
        <x:v>0</x:v>
      </x:c>
      <x:c r="W305" s="6" t="n">
        <x:f>MIN(U305+V305,'Debt strategy'!$E$12)</x:f>
        <x:v>0</x:v>
      </x:c>
      <x:c r="X305" s="27" t="n">
        <x:f>IF(U305+V305-W305&lt;=0,99,1+SUM(IF(AND(C305+D305-E305&gt;0,OR('Debt strategy'!$D$9&gt;'Debt strategy'!$D$12,AND('Debt strategy'!$D$9='Debt strategy'!$D$12,0&lt;3))),1,0),IF(AND(I305+J305-K305&gt;0,OR('Debt strategy'!$D$10&gt;'Debt strategy'!$D$12,AND('Debt strategy'!$D$10='Debt strategy'!$D$12,1&lt;3))),1,0),IF(AND(O305+P305-Q305&gt;0,OR('Debt strategy'!$D$11&gt;'Debt strategy'!$D$12,AND('Debt strategy'!$D$11='Debt strategy'!$D$12,2&lt;3))),1,0),IF(AND(AA305+AB305-AC305&gt;0,OR('Debt strategy'!$D$13&gt;'Debt strategy'!$D$12,AND('Debt strategy'!$D$13='Debt strategy'!$D$12,4&lt;3))),1,0)))</x:f>
        <x:v>99</x:v>
      </x:c>
      <x:c r="Y305" s="6" t="n">
        <x:f>IF('Debt strategy'!$C$16&gt;0,0,MIN(U305+V305-W305,MAX(0,'Debt strategy'!$C$5-SUM(E305,K305,Q305,W305,AC305)-SUM(IF(F305&lt;X305,C305+D305-E305,0),IF(L305&lt;X305,I305+J305-K305,0),IF(R305&lt;X305,O305+P305-Q305,0),IF(AD305&lt;X305,AA305+AB305-AC305,0)))))</x:f>
        <x:v>0</x:v>
      </x:c>
      <x:c r="Z305" s="6" t="n">
        <x:f>ROUND(MAX(0,U305+V305-W305-Y305),2)</x:f>
        <x:v>0</x:v>
      </x:c>
      <x:c r="AA305" s="6" t="n">
        <x:f>AF304</x:f>
        <x:v>0</x:v>
      </x:c>
      <x:c r="AB305" s="6" t="n">
        <x:f>ROUND(AA305*'Debt strategy'!$D$13/12,2)</x:f>
        <x:v>0</x:v>
      </x:c>
      <x:c r="AC305" s="6" t="n">
        <x:f>MIN(AA305+AB305,'Debt strategy'!$E$13)</x:f>
        <x:v>0</x:v>
      </x:c>
      <x:c r="AD305" s="27" t="n">
        <x:f>IF(AA305+AB305-AC305&lt;=0,99,1+SUM(IF(AND(C305+D305-E305&gt;0,OR('Debt strategy'!$D$9&gt;'Debt strategy'!$D$13,AND('Debt strategy'!$D$9='Debt strategy'!$D$13,0&lt;4))),1,0),IF(AND(I305+J305-K305&gt;0,OR('Debt strategy'!$D$10&gt;'Debt strategy'!$D$13,AND('Debt strategy'!$D$10='Debt strategy'!$D$13,1&lt;4))),1,0),IF(AND(O305+P305-Q305&gt;0,OR('Debt strategy'!$D$11&gt;'Debt strategy'!$D$13,AND('Debt strategy'!$D$11='Debt strategy'!$D$13,2&lt;4))),1,0),IF(AND(U305+V305-W305&gt;0,OR('Debt strategy'!$D$12&gt;'Debt strategy'!$D$13,AND('Debt strategy'!$D$12='Debt strategy'!$D$13,3&lt;4))),1,0)))</x:f>
        <x:v>99</x:v>
      </x:c>
      <x:c r="AE305" s="6" t="n">
        <x:f>IF('Debt strategy'!$C$16&gt;0,0,MIN(AA305+AB305-AC305,MAX(0,'Debt strategy'!$C$5-SUM(E305,K305,Q305,W305,AC305)-SUM(IF(F305&lt;AD305,C305+D305-E305,0),IF(L305&lt;AD305,I305+J305-K305,0),IF(R305&lt;AD305,O305+P305-Q305,0),IF(X305&lt;AD305,U305+V305-W305,0)))))</x:f>
        <x:v>0</x:v>
      </x:c>
      <x:c r="AF305" s="6" t="n">
        <x:f>ROUND(MAX(0,AA305+AB305-AC305-AE305),2)</x:f>
        <x:v>0</x:v>
      </x:c>
      <x:c r="AG305" s="6" t="n">
        <x:f>SUM(H305,N305,T305,Z305,AF305)</x:f>
        <x:v>0</x:v>
      </x:c>
      <x:c r="AH305" s="6" t="n">
        <x:f>SUM(D305,J305,P305,V305,AB305)+AH304</x:f>
        <x:v>1220.8400000000001</x:v>
      </x:c>
      <x:c r="AI305" s="2"/>
    </x:row>
    <x:row r="306" ht="23" customHeight="1">
      <x:c r="B306" s="2" t="n">
        <x:f>298</x:f>
        <x:v>298</x:v>
      </x:c>
      <x:c r="C306" s="6" t="n">
        <x:f>H305</x:f>
        <x:v>0</x:v>
      </x:c>
      <x:c r="D306" s="6" t="n">
        <x:f>ROUND(C306*'Debt strategy'!$D$9/12,2)</x:f>
        <x:v>0</x:v>
      </x:c>
      <x:c r="E306" s="6" t="n">
        <x:f>MIN(C306+D306,'Debt strategy'!$E$9)</x:f>
        <x:v>0</x:v>
      </x:c>
      <x:c r="F306" s="27" t="n">
        <x:f>IF(C306+D306-E306&lt;=0,99,1+SUM(IF(AND(I306+J306-K306&gt;0,OR('Debt strategy'!$D$10&gt;'Debt strategy'!$D$9,AND('Debt strategy'!$D$10='Debt strategy'!$D$9,1&lt;0))),1,0),IF(AND(O306+P306-Q306&gt;0,OR('Debt strategy'!$D$11&gt;'Debt strategy'!$D$9,AND('Debt strategy'!$D$11='Debt strategy'!$D$9,2&lt;0))),1,0),IF(AND(U306+V306-W306&gt;0,OR('Debt strategy'!$D$12&gt;'Debt strategy'!$D$9,AND('Debt strategy'!$D$12='Debt strategy'!$D$9,3&lt;0))),1,0),IF(AND(AA306+AB306-AC306&gt;0,OR('Debt strategy'!$D$13&gt;'Debt strategy'!$D$9,AND('Debt strategy'!$D$13='Debt strategy'!$D$9,4&lt;0))),1,0)))</x:f>
        <x:v>99</x:v>
      </x:c>
      <x:c r="G306" s="6" t="n">
        <x:f>IF('Debt strategy'!$C$16&gt;0,0,MIN(C306+D306-E306,MAX(0,'Debt strategy'!$C$5-SUM(E306,K306,Q306,W306,AC306)-SUM(IF(L306&lt;F306,I306+J306-K306,0),IF(R306&lt;F306,O306+P306-Q306,0),IF(X306&lt;F306,U306+V306-W306,0),IF(AD306&lt;F306,AA306+AB306-AC306,0)))))</x:f>
        <x:v>0</x:v>
      </x:c>
      <x:c r="H306" s="6" t="n">
        <x:f>ROUND(MAX(0,C306+D306-E306-G306),2)</x:f>
        <x:v>0</x:v>
      </x:c>
      <x:c r="I306" s="6" t="n">
        <x:f>N305</x:f>
        <x:v>0</x:v>
      </x:c>
      <x:c r="J306" s="6" t="n">
        <x:f>ROUND(I306*'Debt strategy'!$D$10/12,2)</x:f>
        <x:v>0</x:v>
      </x:c>
      <x:c r="K306" s="6" t="n">
        <x:f>MIN(I306+J306,'Debt strategy'!$E$10)</x:f>
        <x:v>0</x:v>
      </x:c>
      <x:c r="L306" s="27" t="n">
        <x:f>IF(I306+J306-K306&lt;=0,99,1+SUM(IF(AND(C306+D306-E306&gt;0,OR('Debt strategy'!$D$9&gt;'Debt strategy'!$D$10,AND('Debt strategy'!$D$9='Debt strategy'!$D$10,0&lt;1))),1,0),IF(AND(O306+P306-Q306&gt;0,OR('Debt strategy'!$D$11&gt;'Debt strategy'!$D$10,AND('Debt strategy'!$D$11='Debt strategy'!$D$10,2&lt;1))),1,0),IF(AND(U306+V306-W306&gt;0,OR('Debt strategy'!$D$12&gt;'Debt strategy'!$D$10,AND('Debt strategy'!$D$12='Debt strategy'!$D$10,3&lt;1))),1,0),IF(AND(AA306+AB306-AC306&gt;0,OR('Debt strategy'!$D$13&gt;'Debt strategy'!$D$10,AND('Debt strategy'!$D$13='Debt strategy'!$D$10,4&lt;1))),1,0)))</x:f>
        <x:v>99</x:v>
      </x:c>
      <x:c r="M306" s="6" t="n">
        <x:f>IF('Debt strategy'!$C$16&gt;0,0,MIN(I306+J306-K306,MAX(0,'Debt strategy'!$C$5-SUM(E306,K306,Q306,W306,AC306)-SUM(IF(F306&lt;L306,C306+D306-E306,0),IF(R306&lt;L306,O306+P306-Q306,0),IF(X306&lt;L306,U306+V306-W306,0),IF(AD306&lt;L306,AA306+AB306-AC306,0)))))</x:f>
        <x:v>0</x:v>
      </x:c>
      <x:c r="N306" s="6" t="n">
        <x:f>ROUND(MAX(0,I306+J306-K306-M306),2)</x:f>
        <x:v>0</x:v>
      </x:c>
      <x:c r="O306" s="6" t="n">
        <x:f>T305</x:f>
        <x:v>0</x:v>
      </x:c>
      <x:c r="P306" s="6" t="n">
        <x:f>ROUND(O306*'Debt strategy'!$D$11/12,2)</x:f>
        <x:v>0</x:v>
      </x:c>
      <x:c r="Q306" s="6" t="n">
        <x:f>MIN(O306+P306,'Debt strategy'!$E$11)</x:f>
        <x:v>0</x:v>
      </x:c>
      <x:c r="R306" s="27" t="n">
        <x:f>IF(O306+P306-Q306&lt;=0,99,1+SUM(IF(AND(C306+D306-E306&gt;0,OR('Debt strategy'!$D$9&gt;'Debt strategy'!$D$11,AND('Debt strategy'!$D$9='Debt strategy'!$D$11,0&lt;2))),1,0),IF(AND(I306+J306-K306&gt;0,OR('Debt strategy'!$D$10&gt;'Debt strategy'!$D$11,AND('Debt strategy'!$D$10='Debt strategy'!$D$11,1&lt;2))),1,0),IF(AND(U306+V306-W306&gt;0,OR('Debt strategy'!$D$12&gt;'Debt strategy'!$D$11,AND('Debt strategy'!$D$12='Debt strategy'!$D$11,3&lt;2))),1,0),IF(AND(AA306+AB306-AC306&gt;0,OR('Debt strategy'!$D$13&gt;'Debt strategy'!$D$11,AND('Debt strategy'!$D$13='Debt strategy'!$D$11,4&lt;2))),1,0)))</x:f>
        <x:v>99</x:v>
      </x:c>
      <x:c r="S306" s="6" t="n">
        <x:f>IF('Debt strategy'!$C$16&gt;0,0,MIN(O306+P306-Q306,MAX(0,'Debt strategy'!$C$5-SUM(E306,K306,Q306,W306,AC306)-SUM(IF(F306&lt;R306,C306+D306-E306,0),IF(L306&lt;R306,I306+J306-K306,0),IF(X306&lt;R306,U306+V306-W306,0),IF(AD306&lt;R306,AA306+AB306-AC306,0)))))</x:f>
        <x:v>0</x:v>
      </x:c>
      <x:c r="T306" s="6" t="n">
        <x:f>ROUND(MAX(0,O306+P306-Q306-S306),2)</x:f>
        <x:v>0</x:v>
      </x:c>
      <x:c r="U306" s="6" t="n">
        <x:f>Z305</x:f>
        <x:v>0</x:v>
      </x:c>
      <x:c r="V306" s="6" t="n">
        <x:f>ROUND(U306*'Debt strategy'!$D$12/12,2)</x:f>
        <x:v>0</x:v>
      </x:c>
      <x:c r="W306" s="6" t="n">
        <x:f>MIN(U306+V306,'Debt strategy'!$E$12)</x:f>
        <x:v>0</x:v>
      </x:c>
      <x:c r="X306" s="27" t="n">
        <x:f>IF(U306+V306-W306&lt;=0,99,1+SUM(IF(AND(C306+D306-E306&gt;0,OR('Debt strategy'!$D$9&gt;'Debt strategy'!$D$12,AND('Debt strategy'!$D$9='Debt strategy'!$D$12,0&lt;3))),1,0),IF(AND(I306+J306-K306&gt;0,OR('Debt strategy'!$D$10&gt;'Debt strategy'!$D$12,AND('Debt strategy'!$D$10='Debt strategy'!$D$12,1&lt;3))),1,0),IF(AND(O306+P306-Q306&gt;0,OR('Debt strategy'!$D$11&gt;'Debt strategy'!$D$12,AND('Debt strategy'!$D$11='Debt strategy'!$D$12,2&lt;3))),1,0),IF(AND(AA306+AB306-AC306&gt;0,OR('Debt strategy'!$D$13&gt;'Debt strategy'!$D$12,AND('Debt strategy'!$D$13='Debt strategy'!$D$12,4&lt;3))),1,0)))</x:f>
        <x:v>99</x:v>
      </x:c>
      <x:c r="Y306" s="6" t="n">
        <x:f>IF('Debt strategy'!$C$16&gt;0,0,MIN(U306+V306-W306,MAX(0,'Debt strategy'!$C$5-SUM(E306,K306,Q306,W306,AC306)-SUM(IF(F306&lt;X306,C306+D306-E306,0),IF(L306&lt;X306,I306+J306-K306,0),IF(R306&lt;X306,O306+P306-Q306,0),IF(AD306&lt;X306,AA306+AB306-AC306,0)))))</x:f>
        <x:v>0</x:v>
      </x:c>
      <x:c r="Z306" s="6" t="n">
        <x:f>ROUND(MAX(0,U306+V306-W306-Y306),2)</x:f>
        <x:v>0</x:v>
      </x:c>
      <x:c r="AA306" s="6" t="n">
        <x:f>AF305</x:f>
        <x:v>0</x:v>
      </x:c>
      <x:c r="AB306" s="6" t="n">
        <x:f>ROUND(AA306*'Debt strategy'!$D$13/12,2)</x:f>
        <x:v>0</x:v>
      </x:c>
      <x:c r="AC306" s="6" t="n">
        <x:f>MIN(AA306+AB306,'Debt strategy'!$E$13)</x:f>
        <x:v>0</x:v>
      </x:c>
      <x:c r="AD306" s="27" t="n">
        <x:f>IF(AA306+AB306-AC306&lt;=0,99,1+SUM(IF(AND(C306+D306-E306&gt;0,OR('Debt strategy'!$D$9&gt;'Debt strategy'!$D$13,AND('Debt strategy'!$D$9='Debt strategy'!$D$13,0&lt;4))),1,0),IF(AND(I306+J306-K306&gt;0,OR('Debt strategy'!$D$10&gt;'Debt strategy'!$D$13,AND('Debt strategy'!$D$10='Debt strategy'!$D$13,1&lt;4))),1,0),IF(AND(O306+P306-Q306&gt;0,OR('Debt strategy'!$D$11&gt;'Debt strategy'!$D$13,AND('Debt strategy'!$D$11='Debt strategy'!$D$13,2&lt;4))),1,0),IF(AND(U306+V306-W306&gt;0,OR('Debt strategy'!$D$12&gt;'Debt strategy'!$D$13,AND('Debt strategy'!$D$12='Debt strategy'!$D$13,3&lt;4))),1,0)))</x:f>
        <x:v>99</x:v>
      </x:c>
      <x:c r="AE306" s="6" t="n">
        <x:f>IF('Debt strategy'!$C$16&gt;0,0,MIN(AA306+AB306-AC306,MAX(0,'Debt strategy'!$C$5-SUM(E306,K306,Q306,W306,AC306)-SUM(IF(F306&lt;AD306,C306+D306-E306,0),IF(L306&lt;AD306,I306+J306-K306,0),IF(R306&lt;AD306,O306+P306-Q306,0),IF(X306&lt;AD306,U306+V306-W306,0)))))</x:f>
        <x:v>0</x:v>
      </x:c>
      <x:c r="AF306" s="6" t="n">
        <x:f>ROUND(MAX(0,AA306+AB306-AC306-AE306),2)</x:f>
        <x:v>0</x:v>
      </x:c>
      <x:c r="AG306" s="6" t="n">
        <x:f>SUM(H306,N306,T306,Z306,AF306)</x:f>
        <x:v>0</x:v>
      </x:c>
      <x:c r="AH306" s="6" t="n">
        <x:f>SUM(D306,J306,P306,V306,AB306)+AH305</x:f>
        <x:v>1220.8400000000001</x:v>
      </x:c>
      <x:c r="AI306" s="2"/>
    </x:row>
    <x:row r="307" ht="23" customHeight="1">
      <x:c r="B307" s="2" t="n">
        <x:f>299</x:f>
        <x:v>299</x:v>
      </x:c>
      <x:c r="C307" s="6" t="n">
        <x:f>H306</x:f>
        <x:v>0</x:v>
      </x:c>
      <x:c r="D307" s="6" t="n">
        <x:f>ROUND(C307*'Debt strategy'!$D$9/12,2)</x:f>
        <x:v>0</x:v>
      </x:c>
      <x:c r="E307" s="6" t="n">
        <x:f>MIN(C307+D307,'Debt strategy'!$E$9)</x:f>
        <x:v>0</x:v>
      </x:c>
      <x:c r="F307" s="27" t="n">
        <x:f>IF(C307+D307-E307&lt;=0,99,1+SUM(IF(AND(I307+J307-K307&gt;0,OR('Debt strategy'!$D$10&gt;'Debt strategy'!$D$9,AND('Debt strategy'!$D$10='Debt strategy'!$D$9,1&lt;0))),1,0),IF(AND(O307+P307-Q307&gt;0,OR('Debt strategy'!$D$11&gt;'Debt strategy'!$D$9,AND('Debt strategy'!$D$11='Debt strategy'!$D$9,2&lt;0))),1,0),IF(AND(U307+V307-W307&gt;0,OR('Debt strategy'!$D$12&gt;'Debt strategy'!$D$9,AND('Debt strategy'!$D$12='Debt strategy'!$D$9,3&lt;0))),1,0),IF(AND(AA307+AB307-AC307&gt;0,OR('Debt strategy'!$D$13&gt;'Debt strategy'!$D$9,AND('Debt strategy'!$D$13='Debt strategy'!$D$9,4&lt;0))),1,0)))</x:f>
        <x:v>99</x:v>
      </x:c>
      <x:c r="G307" s="6" t="n">
        <x:f>IF('Debt strategy'!$C$16&gt;0,0,MIN(C307+D307-E307,MAX(0,'Debt strategy'!$C$5-SUM(E307,K307,Q307,W307,AC307)-SUM(IF(L307&lt;F307,I307+J307-K307,0),IF(R307&lt;F307,O307+P307-Q307,0),IF(X307&lt;F307,U307+V307-W307,0),IF(AD307&lt;F307,AA307+AB307-AC307,0)))))</x:f>
        <x:v>0</x:v>
      </x:c>
      <x:c r="H307" s="6" t="n">
        <x:f>ROUND(MAX(0,C307+D307-E307-G307),2)</x:f>
        <x:v>0</x:v>
      </x:c>
      <x:c r="I307" s="6" t="n">
        <x:f>N306</x:f>
        <x:v>0</x:v>
      </x:c>
      <x:c r="J307" s="6" t="n">
        <x:f>ROUND(I307*'Debt strategy'!$D$10/12,2)</x:f>
        <x:v>0</x:v>
      </x:c>
      <x:c r="K307" s="6" t="n">
        <x:f>MIN(I307+J307,'Debt strategy'!$E$10)</x:f>
        <x:v>0</x:v>
      </x:c>
      <x:c r="L307" s="27" t="n">
        <x:f>IF(I307+J307-K307&lt;=0,99,1+SUM(IF(AND(C307+D307-E307&gt;0,OR('Debt strategy'!$D$9&gt;'Debt strategy'!$D$10,AND('Debt strategy'!$D$9='Debt strategy'!$D$10,0&lt;1))),1,0),IF(AND(O307+P307-Q307&gt;0,OR('Debt strategy'!$D$11&gt;'Debt strategy'!$D$10,AND('Debt strategy'!$D$11='Debt strategy'!$D$10,2&lt;1))),1,0),IF(AND(U307+V307-W307&gt;0,OR('Debt strategy'!$D$12&gt;'Debt strategy'!$D$10,AND('Debt strategy'!$D$12='Debt strategy'!$D$10,3&lt;1))),1,0),IF(AND(AA307+AB307-AC307&gt;0,OR('Debt strategy'!$D$13&gt;'Debt strategy'!$D$10,AND('Debt strategy'!$D$13='Debt strategy'!$D$10,4&lt;1))),1,0)))</x:f>
        <x:v>99</x:v>
      </x:c>
      <x:c r="M307" s="6" t="n">
        <x:f>IF('Debt strategy'!$C$16&gt;0,0,MIN(I307+J307-K307,MAX(0,'Debt strategy'!$C$5-SUM(E307,K307,Q307,W307,AC307)-SUM(IF(F307&lt;L307,C307+D307-E307,0),IF(R307&lt;L307,O307+P307-Q307,0),IF(X307&lt;L307,U307+V307-W307,0),IF(AD307&lt;L307,AA307+AB307-AC307,0)))))</x:f>
        <x:v>0</x:v>
      </x:c>
      <x:c r="N307" s="6" t="n">
        <x:f>ROUND(MAX(0,I307+J307-K307-M307),2)</x:f>
        <x:v>0</x:v>
      </x:c>
      <x:c r="O307" s="6" t="n">
        <x:f>T306</x:f>
        <x:v>0</x:v>
      </x:c>
      <x:c r="P307" s="6" t="n">
        <x:f>ROUND(O307*'Debt strategy'!$D$11/12,2)</x:f>
        <x:v>0</x:v>
      </x:c>
      <x:c r="Q307" s="6" t="n">
        <x:f>MIN(O307+P307,'Debt strategy'!$E$11)</x:f>
        <x:v>0</x:v>
      </x:c>
      <x:c r="R307" s="27" t="n">
        <x:f>IF(O307+P307-Q307&lt;=0,99,1+SUM(IF(AND(C307+D307-E307&gt;0,OR('Debt strategy'!$D$9&gt;'Debt strategy'!$D$11,AND('Debt strategy'!$D$9='Debt strategy'!$D$11,0&lt;2))),1,0),IF(AND(I307+J307-K307&gt;0,OR('Debt strategy'!$D$10&gt;'Debt strategy'!$D$11,AND('Debt strategy'!$D$10='Debt strategy'!$D$11,1&lt;2))),1,0),IF(AND(U307+V307-W307&gt;0,OR('Debt strategy'!$D$12&gt;'Debt strategy'!$D$11,AND('Debt strategy'!$D$12='Debt strategy'!$D$11,3&lt;2))),1,0),IF(AND(AA307+AB307-AC307&gt;0,OR('Debt strategy'!$D$13&gt;'Debt strategy'!$D$11,AND('Debt strategy'!$D$13='Debt strategy'!$D$11,4&lt;2))),1,0)))</x:f>
        <x:v>99</x:v>
      </x:c>
      <x:c r="S307" s="6" t="n">
        <x:f>IF('Debt strategy'!$C$16&gt;0,0,MIN(O307+P307-Q307,MAX(0,'Debt strategy'!$C$5-SUM(E307,K307,Q307,W307,AC307)-SUM(IF(F307&lt;R307,C307+D307-E307,0),IF(L307&lt;R307,I307+J307-K307,0),IF(X307&lt;R307,U307+V307-W307,0),IF(AD307&lt;R307,AA307+AB307-AC307,0)))))</x:f>
        <x:v>0</x:v>
      </x:c>
      <x:c r="T307" s="6" t="n">
        <x:f>ROUND(MAX(0,O307+P307-Q307-S307),2)</x:f>
        <x:v>0</x:v>
      </x:c>
      <x:c r="U307" s="6" t="n">
        <x:f>Z306</x:f>
        <x:v>0</x:v>
      </x:c>
      <x:c r="V307" s="6" t="n">
        <x:f>ROUND(U307*'Debt strategy'!$D$12/12,2)</x:f>
        <x:v>0</x:v>
      </x:c>
      <x:c r="W307" s="6" t="n">
        <x:f>MIN(U307+V307,'Debt strategy'!$E$12)</x:f>
        <x:v>0</x:v>
      </x:c>
      <x:c r="X307" s="27" t="n">
        <x:f>IF(U307+V307-W307&lt;=0,99,1+SUM(IF(AND(C307+D307-E307&gt;0,OR('Debt strategy'!$D$9&gt;'Debt strategy'!$D$12,AND('Debt strategy'!$D$9='Debt strategy'!$D$12,0&lt;3))),1,0),IF(AND(I307+J307-K307&gt;0,OR('Debt strategy'!$D$10&gt;'Debt strategy'!$D$12,AND('Debt strategy'!$D$10='Debt strategy'!$D$12,1&lt;3))),1,0),IF(AND(O307+P307-Q307&gt;0,OR('Debt strategy'!$D$11&gt;'Debt strategy'!$D$12,AND('Debt strategy'!$D$11='Debt strategy'!$D$12,2&lt;3))),1,0),IF(AND(AA307+AB307-AC307&gt;0,OR('Debt strategy'!$D$13&gt;'Debt strategy'!$D$12,AND('Debt strategy'!$D$13='Debt strategy'!$D$12,4&lt;3))),1,0)))</x:f>
        <x:v>99</x:v>
      </x:c>
      <x:c r="Y307" s="6" t="n">
        <x:f>IF('Debt strategy'!$C$16&gt;0,0,MIN(U307+V307-W307,MAX(0,'Debt strategy'!$C$5-SUM(E307,K307,Q307,W307,AC307)-SUM(IF(F307&lt;X307,C307+D307-E307,0),IF(L307&lt;X307,I307+J307-K307,0),IF(R307&lt;X307,O307+P307-Q307,0),IF(AD307&lt;X307,AA307+AB307-AC307,0)))))</x:f>
        <x:v>0</x:v>
      </x:c>
      <x:c r="Z307" s="6" t="n">
        <x:f>ROUND(MAX(0,U307+V307-W307-Y307),2)</x:f>
        <x:v>0</x:v>
      </x:c>
      <x:c r="AA307" s="6" t="n">
        <x:f>AF306</x:f>
        <x:v>0</x:v>
      </x:c>
      <x:c r="AB307" s="6" t="n">
        <x:f>ROUND(AA307*'Debt strategy'!$D$13/12,2)</x:f>
        <x:v>0</x:v>
      </x:c>
      <x:c r="AC307" s="6" t="n">
        <x:f>MIN(AA307+AB307,'Debt strategy'!$E$13)</x:f>
        <x:v>0</x:v>
      </x:c>
      <x:c r="AD307" s="27" t="n">
        <x:f>IF(AA307+AB307-AC307&lt;=0,99,1+SUM(IF(AND(C307+D307-E307&gt;0,OR('Debt strategy'!$D$9&gt;'Debt strategy'!$D$13,AND('Debt strategy'!$D$9='Debt strategy'!$D$13,0&lt;4))),1,0),IF(AND(I307+J307-K307&gt;0,OR('Debt strategy'!$D$10&gt;'Debt strategy'!$D$13,AND('Debt strategy'!$D$10='Debt strategy'!$D$13,1&lt;4))),1,0),IF(AND(O307+P307-Q307&gt;0,OR('Debt strategy'!$D$11&gt;'Debt strategy'!$D$13,AND('Debt strategy'!$D$11='Debt strategy'!$D$13,2&lt;4))),1,0),IF(AND(U307+V307-W307&gt;0,OR('Debt strategy'!$D$12&gt;'Debt strategy'!$D$13,AND('Debt strategy'!$D$12='Debt strategy'!$D$13,3&lt;4))),1,0)))</x:f>
        <x:v>99</x:v>
      </x:c>
      <x:c r="AE307" s="6" t="n">
        <x:f>IF('Debt strategy'!$C$16&gt;0,0,MIN(AA307+AB307-AC307,MAX(0,'Debt strategy'!$C$5-SUM(E307,K307,Q307,W307,AC307)-SUM(IF(F307&lt;AD307,C307+D307-E307,0),IF(L307&lt;AD307,I307+J307-K307,0),IF(R307&lt;AD307,O307+P307-Q307,0),IF(X307&lt;AD307,U307+V307-W307,0)))))</x:f>
        <x:v>0</x:v>
      </x:c>
      <x:c r="AF307" s="6" t="n">
        <x:f>ROUND(MAX(0,AA307+AB307-AC307-AE307),2)</x:f>
        <x:v>0</x:v>
      </x:c>
      <x:c r="AG307" s="6" t="n">
        <x:f>SUM(H307,N307,T307,Z307,AF307)</x:f>
        <x:v>0</x:v>
      </x:c>
      <x:c r="AH307" s="6" t="n">
        <x:f>SUM(D307,J307,P307,V307,AB307)+AH306</x:f>
        <x:v>1220.8400000000001</x:v>
      </x:c>
      <x:c r="AI307" s="2"/>
    </x:row>
    <x:row r="308" ht="23" customHeight="1">
      <x:c r="B308" s="2" t="n">
        <x:f>300</x:f>
        <x:v>300</x:v>
      </x:c>
      <x:c r="C308" s="6" t="n">
        <x:f>H307</x:f>
        <x:v>0</x:v>
      </x:c>
      <x:c r="D308" s="6" t="n">
        <x:f>ROUND(C308*'Debt strategy'!$D$9/12,2)</x:f>
        <x:v>0</x:v>
      </x:c>
      <x:c r="E308" s="6" t="n">
        <x:f>MIN(C308+D308,'Debt strategy'!$E$9)</x:f>
        <x:v>0</x:v>
      </x:c>
      <x:c r="F308" s="27" t="n">
        <x:f>IF(C308+D308-E308&lt;=0,99,1+SUM(IF(AND(I308+J308-K308&gt;0,OR('Debt strategy'!$D$10&gt;'Debt strategy'!$D$9,AND('Debt strategy'!$D$10='Debt strategy'!$D$9,1&lt;0))),1,0),IF(AND(O308+P308-Q308&gt;0,OR('Debt strategy'!$D$11&gt;'Debt strategy'!$D$9,AND('Debt strategy'!$D$11='Debt strategy'!$D$9,2&lt;0))),1,0),IF(AND(U308+V308-W308&gt;0,OR('Debt strategy'!$D$12&gt;'Debt strategy'!$D$9,AND('Debt strategy'!$D$12='Debt strategy'!$D$9,3&lt;0))),1,0),IF(AND(AA308+AB308-AC308&gt;0,OR('Debt strategy'!$D$13&gt;'Debt strategy'!$D$9,AND('Debt strategy'!$D$13='Debt strategy'!$D$9,4&lt;0))),1,0)))</x:f>
        <x:v>99</x:v>
      </x:c>
      <x:c r="G308" s="6" t="n">
        <x:f>IF('Debt strategy'!$C$16&gt;0,0,MIN(C308+D308-E308,MAX(0,'Debt strategy'!$C$5-SUM(E308,K308,Q308,W308,AC308)-SUM(IF(L308&lt;F308,I308+J308-K308,0),IF(R308&lt;F308,O308+P308-Q308,0),IF(X308&lt;F308,U308+V308-W308,0),IF(AD308&lt;F308,AA308+AB308-AC308,0)))))</x:f>
        <x:v>0</x:v>
      </x:c>
      <x:c r="H308" s="6" t="n">
        <x:f>ROUND(MAX(0,C308+D308-E308-G308),2)</x:f>
        <x:v>0</x:v>
      </x:c>
      <x:c r="I308" s="6" t="n">
        <x:f>N307</x:f>
        <x:v>0</x:v>
      </x:c>
      <x:c r="J308" s="6" t="n">
        <x:f>ROUND(I308*'Debt strategy'!$D$10/12,2)</x:f>
        <x:v>0</x:v>
      </x:c>
      <x:c r="K308" s="6" t="n">
        <x:f>MIN(I308+J308,'Debt strategy'!$E$10)</x:f>
        <x:v>0</x:v>
      </x:c>
      <x:c r="L308" s="27" t="n">
        <x:f>IF(I308+J308-K308&lt;=0,99,1+SUM(IF(AND(C308+D308-E308&gt;0,OR('Debt strategy'!$D$9&gt;'Debt strategy'!$D$10,AND('Debt strategy'!$D$9='Debt strategy'!$D$10,0&lt;1))),1,0),IF(AND(O308+P308-Q308&gt;0,OR('Debt strategy'!$D$11&gt;'Debt strategy'!$D$10,AND('Debt strategy'!$D$11='Debt strategy'!$D$10,2&lt;1))),1,0),IF(AND(U308+V308-W308&gt;0,OR('Debt strategy'!$D$12&gt;'Debt strategy'!$D$10,AND('Debt strategy'!$D$12='Debt strategy'!$D$10,3&lt;1))),1,0),IF(AND(AA308+AB308-AC308&gt;0,OR('Debt strategy'!$D$13&gt;'Debt strategy'!$D$10,AND('Debt strategy'!$D$13='Debt strategy'!$D$10,4&lt;1))),1,0)))</x:f>
        <x:v>99</x:v>
      </x:c>
      <x:c r="M308" s="6" t="n">
        <x:f>IF('Debt strategy'!$C$16&gt;0,0,MIN(I308+J308-K308,MAX(0,'Debt strategy'!$C$5-SUM(E308,K308,Q308,W308,AC308)-SUM(IF(F308&lt;L308,C308+D308-E308,0),IF(R308&lt;L308,O308+P308-Q308,0),IF(X308&lt;L308,U308+V308-W308,0),IF(AD308&lt;L308,AA308+AB308-AC308,0)))))</x:f>
        <x:v>0</x:v>
      </x:c>
      <x:c r="N308" s="6" t="n">
        <x:f>ROUND(MAX(0,I308+J308-K308-M308),2)</x:f>
        <x:v>0</x:v>
      </x:c>
      <x:c r="O308" s="6" t="n">
        <x:f>T307</x:f>
        <x:v>0</x:v>
      </x:c>
      <x:c r="P308" s="6" t="n">
        <x:f>ROUND(O308*'Debt strategy'!$D$11/12,2)</x:f>
        <x:v>0</x:v>
      </x:c>
      <x:c r="Q308" s="6" t="n">
        <x:f>MIN(O308+P308,'Debt strategy'!$E$11)</x:f>
        <x:v>0</x:v>
      </x:c>
      <x:c r="R308" s="27" t="n">
        <x:f>IF(O308+P308-Q308&lt;=0,99,1+SUM(IF(AND(C308+D308-E308&gt;0,OR('Debt strategy'!$D$9&gt;'Debt strategy'!$D$11,AND('Debt strategy'!$D$9='Debt strategy'!$D$11,0&lt;2))),1,0),IF(AND(I308+J308-K308&gt;0,OR('Debt strategy'!$D$10&gt;'Debt strategy'!$D$11,AND('Debt strategy'!$D$10='Debt strategy'!$D$11,1&lt;2))),1,0),IF(AND(U308+V308-W308&gt;0,OR('Debt strategy'!$D$12&gt;'Debt strategy'!$D$11,AND('Debt strategy'!$D$12='Debt strategy'!$D$11,3&lt;2))),1,0),IF(AND(AA308+AB308-AC308&gt;0,OR('Debt strategy'!$D$13&gt;'Debt strategy'!$D$11,AND('Debt strategy'!$D$13='Debt strategy'!$D$11,4&lt;2))),1,0)))</x:f>
        <x:v>99</x:v>
      </x:c>
      <x:c r="S308" s="6" t="n">
        <x:f>IF('Debt strategy'!$C$16&gt;0,0,MIN(O308+P308-Q308,MAX(0,'Debt strategy'!$C$5-SUM(E308,K308,Q308,W308,AC308)-SUM(IF(F308&lt;R308,C308+D308-E308,0),IF(L308&lt;R308,I308+J308-K308,0),IF(X308&lt;R308,U308+V308-W308,0),IF(AD308&lt;R308,AA308+AB308-AC308,0)))))</x:f>
        <x:v>0</x:v>
      </x:c>
      <x:c r="T308" s="6" t="n">
        <x:f>ROUND(MAX(0,O308+P308-Q308-S308),2)</x:f>
        <x:v>0</x:v>
      </x:c>
      <x:c r="U308" s="6" t="n">
        <x:f>Z307</x:f>
        <x:v>0</x:v>
      </x:c>
      <x:c r="V308" s="6" t="n">
        <x:f>ROUND(U308*'Debt strategy'!$D$12/12,2)</x:f>
        <x:v>0</x:v>
      </x:c>
      <x:c r="W308" s="6" t="n">
        <x:f>MIN(U308+V308,'Debt strategy'!$E$12)</x:f>
        <x:v>0</x:v>
      </x:c>
      <x:c r="X308" s="27" t="n">
        <x:f>IF(U308+V308-W308&lt;=0,99,1+SUM(IF(AND(C308+D308-E308&gt;0,OR('Debt strategy'!$D$9&gt;'Debt strategy'!$D$12,AND('Debt strategy'!$D$9='Debt strategy'!$D$12,0&lt;3))),1,0),IF(AND(I308+J308-K308&gt;0,OR('Debt strategy'!$D$10&gt;'Debt strategy'!$D$12,AND('Debt strategy'!$D$10='Debt strategy'!$D$12,1&lt;3))),1,0),IF(AND(O308+P308-Q308&gt;0,OR('Debt strategy'!$D$11&gt;'Debt strategy'!$D$12,AND('Debt strategy'!$D$11='Debt strategy'!$D$12,2&lt;3))),1,0),IF(AND(AA308+AB308-AC308&gt;0,OR('Debt strategy'!$D$13&gt;'Debt strategy'!$D$12,AND('Debt strategy'!$D$13='Debt strategy'!$D$12,4&lt;3))),1,0)))</x:f>
        <x:v>99</x:v>
      </x:c>
      <x:c r="Y308" s="6" t="n">
        <x:f>IF('Debt strategy'!$C$16&gt;0,0,MIN(U308+V308-W308,MAX(0,'Debt strategy'!$C$5-SUM(E308,K308,Q308,W308,AC308)-SUM(IF(F308&lt;X308,C308+D308-E308,0),IF(L308&lt;X308,I308+J308-K308,0),IF(R308&lt;X308,O308+P308-Q308,0),IF(AD308&lt;X308,AA308+AB308-AC308,0)))))</x:f>
        <x:v>0</x:v>
      </x:c>
      <x:c r="Z308" s="6" t="n">
        <x:f>ROUND(MAX(0,U308+V308-W308-Y308),2)</x:f>
        <x:v>0</x:v>
      </x:c>
      <x:c r="AA308" s="6" t="n">
        <x:f>AF307</x:f>
        <x:v>0</x:v>
      </x:c>
      <x:c r="AB308" s="6" t="n">
        <x:f>ROUND(AA308*'Debt strategy'!$D$13/12,2)</x:f>
        <x:v>0</x:v>
      </x:c>
      <x:c r="AC308" s="6" t="n">
        <x:f>MIN(AA308+AB308,'Debt strategy'!$E$13)</x:f>
        <x:v>0</x:v>
      </x:c>
      <x:c r="AD308" s="27" t="n">
        <x:f>IF(AA308+AB308-AC308&lt;=0,99,1+SUM(IF(AND(C308+D308-E308&gt;0,OR('Debt strategy'!$D$9&gt;'Debt strategy'!$D$13,AND('Debt strategy'!$D$9='Debt strategy'!$D$13,0&lt;4))),1,0),IF(AND(I308+J308-K308&gt;0,OR('Debt strategy'!$D$10&gt;'Debt strategy'!$D$13,AND('Debt strategy'!$D$10='Debt strategy'!$D$13,1&lt;4))),1,0),IF(AND(O308+P308-Q308&gt;0,OR('Debt strategy'!$D$11&gt;'Debt strategy'!$D$13,AND('Debt strategy'!$D$11='Debt strategy'!$D$13,2&lt;4))),1,0),IF(AND(U308+V308-W308&gt;0,OR('Debt strategy'!$D$12&gt;'Debt strategy'!$D$13,AND('Debt strategy'!$D$12='Debt strategy'!$D$13,3&lt;4))),1,0)))</x:f>
        <x:v>99</x:v>
      </x:c>
      <x:c r="AE308" s="6" t="n">
        <x:f>IF('Debt strategy'!$C$16&gt;0,0,MIN(AA308+AB308-AC308,MAX(0,'Debt strategy'!$C$5-SUM(E308,K308,Q308,W308,AC308)-SUM(IF(F308&lt;AD308,C308+D308-E308,0),IF(L308&lt;AD308,I308+J308-K308,0),IF(R308&lt;AD308,O308+P308-Q308,0),IF(X308&lt;AD308,U308+V308-W308,0)))))</x:f>
        <x:v>0</x:v>
      </x:c>
      <x:c r="AF308" s="6" t="n">
        <x:f>ROUND(MAX(0,AA308+AB308-AC308-AE308),2)</x:f>
        <x:v>0</x:v>
      </x:c>
      <x:c r="AG308" s="6" t="n">
        <x:f>SUM(H308,N308,T308,Z308,AF308)</x:f>
        <x:v>0</x:v>
      </x:c>
      <x:c r="AH308" s="6" t="n">
        <x:f>SUM(D308,J308,P308,V308,AB308)+AH307</x:f>
        <x:v>1220.8400000000001</x:v>
      </x:c>
      <x:c r="AI308" s="2"/>
    </x:row>
    <x:row r="309" ht="23" customHeight="1">
      <x:c r="B309" s="2" t="n">
        <x:f>301</x:f>
        <x:v>301</x:v>
      </x:c>
      <x:c r="C309" s="6" t="n">
        <x:f>H308</x:f>
        <x:v>0</x:v>
      </x:c>
      <x:c r="D309" s="6" t="n">
        <x:f>ROUND(C309*'Debt strategy'!$D$9/12,2)</x:f>
        <x:v>0</x:v>
      </x:c>
      <x:c r="E309" s="6" t="n">
        <x:f>MIN(C309+D309,'Debt strategy'!$E$9)</x:f>
        <x:v>0</x:v>
      </x:c>
      <x:c r="F309" s="27" t="n">
        <x:f>IF(C309+D309-E309&lt;=0,99,1+SUM(IF(AND(I309+J309-K309&gt;0,OR('Debt strategy'!$D$10&gt;'Debt strategy'!$D$9,AND('Debt strategy'!$D$10='Debt strategy'!$D$9,1&lt;0))),1,0),IF(AND(O309+P309-Q309&gt;0,OR('Debt strategy'!$D$11&gt;'Debt strategy'!$D$9,AND('Debt strategy'!$D$11='Debt strategy'!$D$9,2&lt;0))),1,0),IF(AND(U309+V309-W309&gt;0,OR('Debt strategy'!$D$12&gt;'Debt strategy'!$D$9,AND('Debt strategy'!$D$12='Debt strategy'!$D$9,3&lt;0))),1,0),IF(AND(AA309+AB309-AC309&gt;0,OR('Debt strategy'!$D$13&gt;'Debt strategy'!$D$9,AND('Debt strategy'!$D$13='Debt strategy'!$D$9,4&lt;0))),1,0)))</x:f>
        <x:v>99</x:v>
      </x:c>
      <x:c r="G309" s="6" t="n">
        <x:f>IF('Debt strategy'!$C$16&gt;0,0,MIN(C309+D309-E309,MAX(0,'Debt strategy'!$C$5-SUM(E309,K309,Q309,W309,AC309)-SUM(IF(L309&lt;F309,I309+J309-K309,0),IF(R309&lt;F309,O309+P309-Q309,0),IF(X309&lt;F309,U309+V309-W309,0),IF(AD309&lt;F309,AA309+AB309-AC309,0)))))</x:f>
        <x:v>0</x:v>
      </x:c>
      <x:c r="H309" s="6" t="n">
        <x:f>ROUND(MAX(0,C309+D309-E309-G309),2)</x:f>
        <x:v>0</x:v>
      </x:c>
      <x:c r="I309" s="6" t="n">
        <x:f>N308</x:f>
        <x:v>0</x:v>
      </x:c>
      <x:c r="J309" s="6" t="n">
        <x:f>ROUND(I309*'Debt strategy'!$D$10/12,2)</x:f>
        <x:v>0</x:v>
      </x:c>
      <x:c r="K309" s="6" t="n">
        <x:f>MIN(I309+J309,'Debt strategy'!$E$10)</x:f>
        <x:v>0</x:v>
      </x:c>
      <x:c r="L309" s="27" t="n">
        <x:f>IF(I309+J309-K309&lt;=0,99,1+SUM(IF(AND(C309+D309-E309&gt;0,OR('Debt strategy'!$D$9&gt;'Debt strategy'!$D$10,AND('Debt strategy'!$D$9='Debt strategy'!$D$10,0&lt;1))),1,0),IF(AND(O309+P309-Q309&gt;0,OR('Debt strategy'!$D$11&gt;'Debt strategy'!$D$10,AND('Debt strategy'!$D$11='Debt strategy'!$D$10,2&lt;1))),1,0),IF(AND(U309+V309-W309&gt;0,OR('Debt strategy'!$D$12&gt;'Debt strategy'!$D$10,AND('Debt strategy'!$D$12='Debt strategy'!$D$10,3&lt;1))),1,0),IF(AND(AA309+AB309-AC309&gt;0,OR('Debt strategy'!$D$13&gt;'Debt strategy'!$D$10,AND('Debt strategy'!$D$13='Debt strategy'!$D$10,4&lt;1))),1,0)))</x:f>
        <x:v>99</x:v>
      </x:c>
      <x:c r="M309" s="6" t="n">
        <x:f>IF('Debt strategy'!$C$16&gt;0,0,MIN(I309+J309-K309,MAX(0,'Debt strategy'!$C$5-SUM(E309,K309,Q309,W309,AC309)-SUM(IF(F309&lt;L309,C309+D309-E309,0),IF(R309&lt;L309,O309+P309-Q309,0),IF(X309&lt;L309,U309+V309-W309,0),IF(AD309&lt;L309,AA309+AB309-AC309,0)))))</x:f>
        <x:v>0</x:v>
      </x:c>
      <x:c r="N309" s="6" t="n">
        <x:f>ROUND(MAX(0,I309+J309-K309-M309),2)</x:f>
        <x:v>0</x:v>
      </x:c>
      <x:c r="O309" s="6" t="n">
        <x:f>T308</x:f>
        <x:v>0</x:v>
      </x:c>
      <x:c r="P309" s="6" t="n">
        <x:f>ROUND(O309*'Debt strategy'!$D$11/12,2)</x:f>
        <x:v>0</x:v>
      </x:c>
      <x:c r="Q309" s="6" t="n">
        <x:f>MIN(O309+P309,'Debt strategy'!$E$11)</x:f>
        <x:v>0</x:v>
      </x:c>
      <x:c r="R309" s="27" t="n">
        <x:f>IF(O309+P309-Q309&lt;=0,99,1+SUM(IF(AND(C309+D309-E309&gt;0,OR('Debt strategy'!$D$9&gt;'Debt strategy'!$D$11,AND('Debt strategy'!$D$9='Debt strategy'!$D$11,0&lt;2))),1,0),IF(AND(I309+J309-K309&gt;0,OR('Debt strategy'!$D$10&gt;'Debt strategy'!$D$11,AND('Debt strategy'!$D$10='Debt strategy'!$D$11,1&lt;2))),1,0),IF(AND(U309+V309-W309&gt;0,OR('Debt strategy'!$D$12&gt;'Debt strategy'!$D$11,AND('Debt strategy'!$D$12='Debt strategy'!$D$11,3&lt;2))),1,0),IF(AND(AA309+AB309-AC309&gt;0,OR('Debt strategy'!$D$13&gt;'Debt strategy'!$D$11,AND('Debt strategy'!$D$13='Debt strategy'!$D$11,4&lt;2))),1,0)))</x:f>
        <x:v>99</x:v>
      </x:c>
      <x:c r="S309" s="6" t="n">
        <x:f>IF('Debt strategy'!$C$16&gt;0,0,MIN(O309+P309-Q309,MAX(0,'Debt strategy'!$C$5-SUM(E309,K309,Q309,W309,AC309)-SUM(IF(F309&lt;R309,C309+D309-E309,0),IF(L309&lt;R309,I309+J309-K309,0),IF(X309&lt;R309,U309+V309-W309,0),IF(AD309&lt;R309,AA309+AB309-AC309,0)))))</x:f>
        <x:v>0</x:v>
      </x:c>
      <x:c r="T309" s="6" t="n">
        <x:f>ROUND(MAX(0,O309+P309-Q309-S309),2)</x:f>
        <x:v>0</x:v>
      </x:c>
      <x:c r="U309" s="6" t="n">
        <x:f>Z308</x:f>
        <x:v>0</x:v>
      </x:c>
      <x:c r="V309" s="6" t="n">
        <x:f>ROUND(U309*'Debt strategy'!$D$12/12,2)</x:f>
        <x:v>0</x:v>
      </x:c>
      <x:c r="W309" s="6" t="n">
        <x:f>MIN(U309+V309,'Debt strategy'!$E$12)</x:f>
        <x:v>0</x:v>
      </x:c>
      <x:c r="X309" s="27" t="n">
        <x:f>IF(U309+V309-W309&lt;=0,99,1+SUM(IF(AND(C309+D309-E309&gt;0,OR('Debt strategy'!$D$9&gt;'Debt strategy'!$D$12,AND('Debt strategy'!$D$9='Debt strategy'!$D$12,0&lt;3))),1,0),IF(AND(I309+J309-K309&gt;0,OR('Debt strategy'!$D$10&gt;'Debt strategy'!$D$12,AND('Debt strategy'!$D$10='Debt strategy'!$D$12,1&lt;3))),1,0),IF(AND(O309+P309-Q309&gt;0,OR('Debt strategy'!$D$11&gt;'Debt strategy'!$D$12,AND('Debt strategy'!$D$11='Debt strategy'!$D$12,2&lt;3))),1,0),IF(AND(AA309+AB309-AC309&gt;0,OR('Debt strategy'!$D$13&gt;'Debt strategy'!$D$12,AND('Debt strategy'!$D$13='Debt strategy'!$D$12,4&lt;3))),1,0)))</x:f>
        <x:v>99</x:v>
      </x:c>
      <x:c r="Y309" s="6" t="n">
        <x:f>IF('Debt strategy'!$C$16&gt;0,0,MIN(U309+V309-W309,MAX(0,'Debt strategy'!$C$5-SUM(E309,K309,Q309,W309,AC309)-SUM(IF(F309&lt;X309,C309+D309-E309,0),IF(L309&lt;X309,I309+J309-K309,0),IF(R309&lt;X309,O309+P309-Q309,0),IF(AD309&lt;X309,AA309+AB309-AC309,0)))))</x:f>
        <x:v>0</x:v>
      </x:c>
      <x:c r="Z309" s="6" t="n">
        <x:f>ROUND(MAX(0,U309+V309-W309-Y309),2)</x:f>
        <x:v>0</x:v>
      </x:c>
      <x:c r="AA309" s="6" t="n">
        <x:f>AF308</x:f>
        <x:v>0</x:v>
      </x:c>
      <x:c r="AB309" s="6" t="n">
        <x:f>ROUND(AA309*'Debt strategy'!$D$13/12,2)</x:f>
        <x:v>0</x:v>
      </x:c>
      <x:c r="AC309" s="6" t="n">
        <x:f>MIN(AA309+AB309,'Debt strategy'!$E$13)</x:f>
        <x:v>0</x:v>
      </x:c>
      <x:c r="AD309" s="27" t="n">
        <x:f>IF(AA309+AB309-AC309&lt;=0,99,1+SUM(IF(AND(C309+D309-E309&gt;0,OR('Debt strategy'!$D$9&gt;'Debt strategy'!$D$13,AND('Debt strategy'!$D$9='Debt strategy'!$D$13,0&lt;4))),1,0),IF(AND(I309+J309-K309&gt;0,OR('Debt strategy'!$D$10&gt;'Debt strategy'!$D$13,AND('Debt strategy'!$D$10='Debt strategy'!$D$13,1&lt;4))),1,0),IF(AND(O309+P309-Q309&gt;0,OR('Debt strategy'!$D$11&gt;'Debt strategy'!$D$13,AND('Debt strategy'!$D$11='Debt strategy'!$D$13,2&lt;4))),1,0),IF(AND(U309+V309-W309&gt;0,OR('Debt strategy'!$D$12&gt;'Debt strategy'!$D$13,AND('Debt strategy'!$D$12='Debt strategy'!$D$13,3&lt;4))),1,0)))</x:f>
        <x:v>99</x:v>
      </x:c>
      <x:c r="AE309" s="6" t="n">
        <x:f>IF('Debt strategy'!$C$16&gt;0,0,MIN(AA309+AB309-AC309,MAX(0,'Debt strategy'!$C$5-SUM(E309,K309,Q309,W309,AC309)-SUM(IF(F309&lt;AD309,C309+D309-E309,0),IF(L309&lt;AD309,I309+J309-K309,0),IF(R309&lt;AD309,O309+P309-Q309,0),IF(X309&lt;AD309,U309+V309-W309,0)))))</x:f>
        <x:v>0</x:v>
      </x:c>
      <x:c r="AF309" s="6" t="n">
        <x:f>ROUND(MAX(0,AA309+AB309-AC309-AE309),2)</x:f>
        <x:v>0</x:v>
      </x:c>
      <x:c r="AG309" s="6" t="n">
        <x:f>SUM(H309,N309,T309,Z309,AF309)</x:f>
        <x:v>0</x:v>
      </x:c>
      <x:c r="AH309" s="6" t="n">
        <x:f>SUM(D309,J309,P309,V309,AB309)+AH308</x:f>
        <x:v>1220.8400000000001</x:v>
      </x:c>
      <x:c r="AI309" s="2"/>
    </x:row>
    <x:row r="310" ht="23" customHeight="1">
      <x:c r="B310" s="2" t="n">
        <x:f>302</x:f>
        <x:v>302</x:v>
      </x:c>
      <x:c r="C310" s="6" t="n">
        <x:f>H309</x:f>
        <x:v>0</x:v>
      </x:c>
      <x:c r="D310" s="6" t="n">
        <x:f>ROUND(C310*'Debt strategy'!$D$9/12,2)</x:f>
        <x:v>0</x:v>
      </x:c>
      <x:c r="E310" s="6" t="n">
        <x:f>MIN(C310+D310,'Debt strategy'!$E$9)</x:f>
        <x:v>0</x:v>
      </x:c>
      <x:c r="F310" s="27" t="n">
        <x:f>IF(C310+D310-E310&lt;=0,99,1+SUM(IF(AND(I310+J310-K310&gt;0,OR('Debt strategy'!$D$10&gt;'Debt strategy'!$D$9,AND('Debt strategy'!$D$10='Debt strategy'!$D$9,1&lt;0))),1,0),IF(AND(O310+P310-Q310&gt;0,OR('Debt strategy'!$D$11&gt;'Debt strategy'!$D$9,AND('Debt strategy'!$D$11='Debt strategy'!$D$9,2&lt;0))),1,0),IF(AND(U310+V310-W310&gt;0,OR('Debt strategy'!$D$12&gt;'Debt strategy'!$D$9,AND('Debt strategy'!$D$12='Debt strategy'!$D$9,3&lt;0))),1,0),IF(AND(AA310+AB310-AC310&gt;0,OR('Debt strategy'!$D$13&gt;'Debt strategy'!$D$9,AND('Debt strategy'!$D$13='Debt strategy'!$D$9,4&lt;0))),1,0)))</x:f>
        <x:v>99</x:v>
      </x:c>
      <x:c r="G310" s="6" t="n">
        <x:f>IF('Debt strategy'!$C$16&gt;0,0,MIN(C310+D310-E310,MAX(0,'Debt strategy'!$C$5-SUM(E310,K310,Q310,W310,AC310)-SUM(IF(L310&lt;F310,I310+J310-K310,0),IF(R310&lt;F310,O310+P310-Q310,0),IF(X310&lt;F310,U310+V310-W310,0),IF(AD310&lt;F310,AA310+AB310-AC310,0)))))</x:f>
        <x:v>0</x:v>
      </x:c>
      <x:c r="H310" s="6" t="n">
        <x:f>ROUND(MAX(0,C310+D310-E310-G310),2)</x:f>
        <x:v>0</x:v>
      </x:c>
      <x:c r="I310" s="6" t="n">
        <x:f>N309</x:f>
        <x:v>0</x:v>
      </x:c>
      <x:c r="J310" s="6" t="n">
        <x:f>ROUND(I310*'Debt strategy'!$D$10/12,2)</x:f>
        <x:v>0</x:v>
      </x:c>
      <x:c r="K310" s="6" t="n">
        <x:f>MIN(I310+J310,'Debt strategy'!$E$10)</x:f>
        <x:v>0</x:v>
      </x:c>
      <x:c r="L310" s="27" t="n">
        <x:f>IF(I310+J310-K310&lt;=0,99,1+SUM(IF(AND(C310+D310-E310&gt;0,OR('Debt strategy'!$D$9&gt;'Debt strategy'!$D$10,AND('Debt strategy'!$D$9='Debt strategy'!$D$10,0&lt;1))),1,0),IF(AND(O310+P310-Q310&gt;0,OR('Debt strategy'!$D$11&gt;'Debt strategy'!$D$10,AND('Debt strategy'!$D$11='Debt strategy'!$D$10,2&lt;1))),1,0),IF(AND(U310+V310-W310&gt;0,OR('Debt strategy'!$D$12&gt;'Debt strategy'!$D$10,AND('Debt strategy'!$D$12='Debt strategy'!$D$10,3&lt;1))),1,0),IF(AND(AA310+AB310-AC310&gt;0,OR('Debt strategy'!$D$13&gt;'Debt strategy'!$D$10,AND('Debt strategy'!$D$13='Debt strategy'!$D$10,4&lt;1))),1,0)))</x:f>
        <x:v>99</x:v>
      </x:c>
      <x:c r="M310" s="6" t="n">
        <x:f>IF('Debt strategy'!$C$16&gt;0,0,MIN(I310+J310-K310,MAX(0,'Debt strategy'!$C$5-SUM(E310,K310,Q310,W310,AC310)-SUM(IF(F310&lt;L310,C310+D310-E310,0),IF(R310&lt;L310,O310+P310-Q310,0),IF(X310&lt;L310,U310+V310-W310,0),IF(AD310&lt;L310,AA310+AB310-AC310,0)))))</x:f>
        <x:v>0</x:v>
      </x:c>
      <x:c r="N310" s="6" t="n">
        <x:f>ROUND(MAX(0,I310+J310-K310-M310),2)</x:f>
        <x:v>0</x:v>
      </x:c>
      <x:c r="O310" s="6" t="n">
        <x:f>T309</x:f>
        <x:v>0</x:v>
      </x:c>
      <x:c r="P310" s="6" t="n">
        <x:f>ROUND(O310*'Debt strategy'!$D$11/12,2)</x:f>
        <x:v>0</x:v>
      </x:c>
      <x:c r="Q310" s="6" t="n">
        <x:f>MIN(O310+P310,'Debt strategy'!$E$11)</x:f>
        <x:v>0</x:v>
      </x:c>
      <x:c r="R310" s="27" t="n">
        <x:f>IF(O310+P310-Q310&lt;=0,99,1+SUM(IF(AND(C310+D310-E310&gt;0,OR('Debt strategy'!$D$9&gt;'Debt strategy'!$D$11,AND('Debt strategy'!$D$9='Debt strategy'!$D$11,0&lt;2))),1,0),IF(AND(I310+J310-K310&gt;0,OR('Debt strategy'!$D$10&gt;'Debt strategy'!$D$11,AND('Debt strategy'!$D$10='Debt strategy'!$D$11,1&lt;2))),1,0),IF(AND(U310+V310-W310&gt;0,OR('Debt strategy'!$D$12&gt;'Debt strategy'!$D$11,AND('Debt strategy'!$D$12='Debt strategy'!$D$11,3&lt;2))),1,0),IF(AND(AA310+AB310-AC310&gt;0,OR('Debt strategy'!$D$13&gt;'Debt strategy'!$D$11,AND('Debt strategy'!$D$13='Debt strategy'!$D$11,4&lt;2))),1,0)))</x:f>
        <x:v>99</x:v>
      </x:c>
      <x:c r="S310" s="6" t="n">
        <x:f>IF('Debt strategy'!$C$16&gt;0,0,MIN(O310+P310-Q310,MAX(0,'Debt strategy'!$C$5-SUM(E310,K310,Q310,W310,AC310)-SUM(IF(F310&lt;R310,C310+D310-E310,0),IF(L310&lt;R310,I310+J310-K310,0),IF(X310&lt;R310,U310+V310-W310,0),IF(AD310&lt;R310,AA310+AB310-AC310,0)))))</x:f>
        <x:v>0</x:v>
      </x:c>
      <x:c r="T310" s="6" t="n">
        <x:f>ROUND(MAX(0,O310+P310-Q310-S310),2)</x:f>
        <x:v>0</x:v>
      </x:c>
      <x:c r="U310" s="6" t="n">
        <x:f>Z309</x:f>
        <x:v>0</x:v>
      </x:c>
      <x:c r="V310" s="6" t="n">
        <x:f>ROUND(U310*'Debt strategy'!$D$12/12,2)</x:f>
        <x:v>0</x:v>
      </x:c>
      <x:c r="W310" s="6" t="n">
        <x:f>MIN(U310+V310,'Debt strategy'!$E$12)</x:f>
        <x:v>0</x:v>
      </x:c>
      <x:c r="X310" s="27" t="n">
        <x:f>IF(U310+V310-W310&lt;=0,99,1+SUM(IF(AND(C310+D310-E310&gt;0,OR('Debt strategy'!$D$9&gt;'Debt strategy'!$D$12,AND('Debt strategy'!$D$9='Debt strategy'!$D$12,0&lt;3))),1,0),IF(AND(I310+J310-K310&gt;0,OR('Debt strategy'!$D$10&gt;'Debt strategy'!$D$12,AND('Debt strategy'!$D$10='Debt strategy'!$D$12,1&lt;3))),1,0),IF(AND(O310+P310-Q310&gt;0,OR('Debt strategy'!$D$11&gt;'Debt strategy'!$D$12,AND('Debt strategy'!$D$11='Debt strategy'!$D$12,2&lt;3))),1,0),IF(AND(AA310+AB310-AC310&gt;0,OR('Debt strategy'!$D$13&gt;'Debt strategy'!$D$12,AND('Debt strategy'!$D$13='Debt strategy'!$D$12,4&lt;3))),1,0)))</x:f>
        <x:v>99</x:v>
      </x:c>
      <x:c r="Y310" s="6" t="n">
        <x:f>IF('Debt strategy'!$C$16&gt;0,0,MIN(U310+V310-W310,MAX(0,'Debt strategy'!$C$5-SUM(E310,K310,Q310,W310,AC310)-SUM(IF(F310&lt;X310,C310+D310-E310,0),IF(L310&lt;X310,I310+J310-K310,0),IF(R310&lt;X310,O310+P310-Q310,0),IF(AD310&lt;X310,AA310+AB310-AC310,0)))))</x:f>
        <x:v>0</x:v>
      </x:c>
      <x:c r="Z310" s="6" t="n">
        <x:f>ROUND(MAX(0,U310+V310-W310-Y310),2)</x:f>
        <x:v>0</x:v>
      </x:c>
      <x:c r="AA310" s="6" t="n">
        <x:f>AF309</x:f>
        <x:v>0</x:v>
      </x:c>
      <x:c r="AB310" s="6" t="n">
        <x:f>ROUND(AA310*'Debt strategy'!$D$13/12,2)</x:f>
        <x:v>0</x:v>
      </x:c>
      <x:c r="AC310" s="6" t="n">
        <x:f>MIN(AA310+AB310,'Debt strategy'!$E$13)</x:f>
        <x:v>0</x:v>
      </x:c>
      <x:c r="AD310" s="27" t="n">
        <x:f>IF(AA310+AB310-AC310&lt;=0,99,1+SUM(IF(AND(C310+D310-E310&gt;0,OR('Debt strategy'!$D$9&gt;'Debt strategy'!$D$13,AND('Debt strategy'!$D$9='Debt strategy'!$D$13,0&lt;4))),1,0),IF(AND(I310+J310-K310&gt;0,OR('Debt strategy'!$D$10&gt;'Debt strategy'!$D$13,AND('Debt strategy'!$D$10='Debt strategy'!$D$13,1&lt;4))),1,0),IF(AND(O310+P310-Q310&gt;0,OR('Debt strategy'!$D$11&gt;'Debt strategy'!$D$13,AND('Debt strategy'!$D$11='Debt strategy'!$D$13,2&lt;4))),1,0),IF(AND(U310+V310-W310&gt;0,OR('Debt strategy'!$D$12&gt;'Debt strategy'!$D$13,AND('Debt strategy'!$D$12='Debt strategy'!$D$13,3&lt;4))),1,0)))</x:f>
        <x:v>99</x:v>
      </x:c>
      <x:c r="AE310" s="6" t="n">
        <x:f>IF('Debt strategy'!$C$16&gt;0,0,MIN(AA310+AB310-AC310,MAX(0,'Debt strategy'!$C$5-SUM(E310,K310,Q310,W310,AC310)-SUM(IF(F310&lt;AD310,C310+D310-E310,0),IF(L310&lt;AD310,I310+J310-K310,0),IF(R310&lt;AD310,O310+P310-Q310,0),IF(X310&lt;AD310,U310+V310-W310,0)))))</x:f>
        <x:v>0</x:v>
      </x:c>
      <x:c r="AF310" s="6" t="n">
        <x:f>ROUND(MAX(0,AA310+AB310-AC310-AE310),2)</x:f>
        <x:v>0</x:v>
      </x:c>
      <x:c r="AG310" s="6" t="n">
        <x:f>SUM(H310,N310,T310,Z310,AF310)</x:f>
        <x:v>0</x:v>
      </x:c>
      <x:c r="AH310" s="6" t="n">
        <x:f>SUM(D310,J310,P310,V310,AB310)+AH309</x:f>
        <x:v>1220.8400000000001</x:v>
      </x:c>
      <x:c r="AI310" s="2"/>
    </x:row>
    <x:row r="311" ht="23" customHeight="1">
      <x:c r="B311" s="2" t="n">
        <x:f>303</x:f>
        <x:v>303</x:v>
      </x:c>
      <x:c r="C311" s="6" t="n">
        <x:f>H310</x:f>
        <x:v>0</x:v>
      </x:c>
      <x:c r="D311" s="6" t="n">
        <x:f>ROUND(C311*'Debt strategy'!$D$9/12,2)</x:f>
        <x:v>0</x:v>
      </x:c>
      <x:c r="E311" s="6" t="n">
        <x:f>MIN(C311+D311,'Debt strategy'!$E$9)</x:f>
        <x:v>0</x:v>
      </x:c>
      <x:c r="F311" s="27" t="n">
        <x:f>IF(C311+D311-E311&lt;=0,99,1+SUM(IF(AND(I311+J311-K311&gt;0,OR('Debt strategy'!$D$10&gt;'Debt strategy'!$D$9,AND('Debt strategy'!$D$10='Debt strategy'!$D$9,1&lt;0))),1,0),IF(AND(O311+P311-Q311&gt;0,OR('Debt strategy'!$D$11&gt;'Debt strategy'!$D$9,AND('Debt strategy'!$D$11='Debt strategy'!$D$9,2&lt;0))),1,0),IF(AND(U311+V311-W311&gt;0,OR('Debt strategy'!$D$12&gt;'Debt strategy'!$D$9,AND('Debt strategy'!$D$12='Debt strategy'!$D$9,3&lt;0))),1,0),IF(AND(AA311+AB311-AC311&gt;0,OR('Debt strategy'!$D$13&gt;'Debt strategy'!$D$9,AND('Debt strategy'!$D$13='Debt strategy'!$D$9,4&lt;0))),1,0)))</x:f>
        <x:v>99</x:v>
      </x:c>
      <x:c r="G311" s="6" t="n">
        <x:f>IF('Debt strategy'!$C$16&gt;0,0,MIN(C311+D311-E311,MAX(0,'Debt strategy'!$C$5-SUM(E311,K311,Q311,W311,AC311)-SUM(IF(L311&lt;F311,I311+J311-K311,0),IF(R311&lt;F311,O311+P311-Q311,0),IF(X311&lt;F311,U311+V311-W311,0),IF(AD311&lt;F311,AA311+AB311-AC311,0)))))</x:f>
        <x:v>0</x:v>
      </x:c>
      <x:c r="H311" s="6" t="n">
        <x:f>ROUND(MAX(0,C311+D311-E311-G311),2)</x:f>
        <x:v>0</x:v>
      </x:c>
      <x:c r="I311" s="6" t="n">
        <x:f>N310</x:f>
        <x:v>0</x:v>
      </x:c>
      <x:c r="J311" s="6" t="n">
        <x:f>ROUND(I311*'Debt strategy'!$D$10/12,2)</x:f>
        <x:v>0</x:v>
      </x:c>
      <x:c r="K311" s="6" t="n">
        <x:f>MIN(I311+J311,'Debt strategy'!$E$10)</x:f>
        <x:v>0</x:v>
      </x:c>
      <x:c r="L311" s="27" t="n">
        <x:f>IF(I311+J311-K311&lt;=0,99,1+SUM(IF(AND(C311+D311-E311&gt;0,OR('Debt strategy'!$D$9&gt;'Debt strategy'!$D$10,AND('Debt strategy'!$D$9='Debt strategy'!$D$10,0&lt;1))),1,0),IF(AND(O311+P311-Q311&gt;0,OR('Debt strategy'!$D$11&gt;'Debt strategy'!$D$10,AND('Debt strategy'!$D$11='Debt strategy'!$D$10,2&lt;1))),1,0),IF(AND(U311+V311-W311&gt;0,OR('Debt strategy'!$D$12&gt;'Debt strategy'!$D$10,AND('Debt strategy'!$D$12='Debt strategy'!$D$10,3&lt;1))),1,0),IF(AND(AA311+AB311-AC311&gt;0,OR('Debt strategy'!$D$13&gt;'Debt strategy'!$D$10,AND('Debt strategy'!$D$13='Debt strategy'!$D$10,4&lt;1))),1,0)))</x:f>
        <x:v>99</x:v>
      </x:c>
      <x:c r="M311" s="6" t="n">
        <x:f>IF('Debt strategy'!$C$16&gt;0,0,MIN(I311+J311-K311,MAX(0,'Debt strategy'!$C$5-SUM(E311,K311,Q311,W311,AC311)-SUM(IF(F311&lt;L311,C311+D311-E311,0),IF(R311&lt;L311,O311+P311-Q311,0),IF(X311&lt;L311,U311+V311-W311,0),IF(AD311&lt;L311,AA311+AB311-AC311,0)))))</x:f>
        <x:v>0</x:v>
      </x:c>
      <x:c r="N311" s="6" t="n">
        <x:f>ROUND(MAX(0,I311+J311-K311-M311),2)</x:f>
        <x:v>0</x:v>
      </x:c>
      <x:c r="O311" s="6" t="n">
        <x:f>T310</x:f>
        <x:v>0</x:v>
      </x:c>
      <x:c r="P311" s="6" t="n">
        <x:f>ROUND(O311*'Debt strategy'!$D$11/12,2)</x:f>
        <x:v>0</x:v>
      </x:c>
      <x:c r="Q311" s="6" t="n">
        <x:f>MIN(O311+P311,'Debt strategy'!$E$11)</x:f>
        <x:v>0</x:v>
      </x:c>
      <x:c r="R311" s="27" t="n">
        <x:f>IF(O311+P311-Q311&lt;=0,99,1+SUM(IF(AND(C311+D311-E311&gt;0,OR('Debt strategy'!$D$9&gt;'Debt strategy'!$D$11,AND('Debt strategy'!$D$9='Debt strategy'!$D$11,0&lt;2))),1,0),IF(AND(I311+J311-K311&gt;0,OR('Debt strategy'!$D$10&gt;'Debt strategy'!$D$11,AND('Debt strategy'!$D$10='Debt strategy'!$D$11,1&lt;2))),1,0),IF(AND(U311+V311-W311&gt;0,OR('Debt strategy'!$D$12&gt;'Debt strategy'!$D$11,AND('Debt strategy'!$D$12='Debt strategy'!$D$11,3&lt;2))),1,0),IF(AND(AA311+AB311-AC311&gt;0,OR('Debt strategy'!$D$13&gt;'Debt strategy'!$D$11,AND('Debt strategy'!$D$13='Debt strategy'!$D$11,4&lt;2))),1,0)))</x:f>
        <x:v>99</x:v>
      </x:c>
      <x:c r="S311" s="6" t="n">
        <x:f>IF('Debt strategy'!$C$16&gt;0,0,MIN(O311+P311-Q311,MAX(0,'Debt strategy'!$C$5-SUM(E311,K311,Q311,W311,AC311)-SUM(IF(F311&lt;R311,C311+D311-E311,0),IF(L311&lt;R311,I311+J311-K311,0),IF(X311&lt;R311,U311+V311-W311,0),IF(AD311&lt;R311,AA311+AB311-AC311,0)))))</x:f>
        <x:v>0</x:v>
      </x:c>
      <x:c r="T311" s="6" t="n">
        <x:f>ROUND(MAX(0,O311+P311-Q311-S311),2)</x:f>
        <x:v>0</x:v>
      </x:c>
      <x:c r="U311" s="6" t="n">
        <x:f>Z310</x:f>
        <x:v>0</x:v>
      </x:c>
      <x:c r="V311" s="6" t="n">
        <x:f>ROUND(U311*'Debt strategy'!$D$12/12,2)</x:f>
        <x:v>0</x:v>
      </x:c>
      <x:c r="W311" s="6" t="n">
        <x:f>MIN(U311+V311,'Debt strategy'!$E$12)</x:f>
        <x:v>0</x:v>
      </x:c>
      <x:c r="X311" s="27" t="n">
        <x:f>IF(U311+V311-W311&lt;=0,99,1+SUM(IF(AND(C311+D311-E311&gt;0,OR('Debt strategy'!$D$9&gt;'Debt strategy'!$D$12,AND('Debt strategy'!$D$9='Debt strategy'!$D$12,0&lt;3))),1,0),IF(AND(I311+J311-K311&gt;0,OR('Debt strategy'!$D$10&gt;'Debt strategy'!$D$12,AND('Debt strategy'!$D$10='Debt strategy'!$D$12,1&lt;3))),1,0),IF(AND(O311+P311-Q311&gt;0,OR('Debt strategy'!$D$11&gt;'Debt strategy'!$D$12,AND('Debt strategy'!$D$11='Debt strategy'!$D$12,2&lt;3))),1,0),IF(AND(AA311+AB311-AC311&gt;0,OR('Debt strategy'!$D$13&gt;'Debt strategy'!$D$12,AND('Debt strategy'!$D$13='Debt strategy'!$D$12,4&lt;3))),1,0)))</x:f>
        <x:v>99</x:v>
      </x:c>
      <x:c r="Y311" s="6" t="n">
        <x:f>IF('Debt strategy'!$C$16&gt;0,0,MIN(U311+V311-W311,MAX(0,'Debt strategy'!$C$5-SUM(E311,K311,Q311,W311,AC311)-SUM(IF(F311&lt;X311,C311+D311-E311,0),IF(L311&lt;X311,I311+J311-K311,0),IF(R311&lt;X311,O311+P311-Q311,0),IF(AD311&lt;X311,AA311+AB311-AC311,0)))))</x:f>
        <x:v>0</x:v>
      </x:c>
      <x:c r="Z311" s="6" t="n">
        <x:f>ROUND(MAX(0,U311+V311-W311-Y311),2)</x:f>
        <x:v>0</x:v>
      </x:c>
      <x:c r="AA311" s="6" t="n">
        <x:f>AF310</x:f>
        <x:v>0</x:v>
      </x:c>
      <x:c r="AB311" s="6" t="n">
        <x:f>ROUND(AA311*'Debt strategy'!$D$13/12,2)</x:f>
        <x:v>0</x:v>
      </x:c>
      <x:c r="AC311" s="6" t="n">
        <x:f>MIN(AA311+AB311,'Debt strategy'!$E$13)</x:f>
        <x:v>0</x:v>
      </x:c>
      <x:c r="AD311" s="27" t="n">
        <x:f>IF(AA311+AB311-AC311&lt;=0,99,1+SUM(IF(AND(C311+D311-E311&gt;0,OR('Debt strategy'!$D$9&gt;'Debt strategy'!$D$13,AND('Debt strategy'!$D$9='Debt strategy'!$D$13,0&lt;4))),1,0),IF(AND(I311+J311-K311&gt;0,OR('Debt strategy'!$D$10&gt;'Debt strategy'!$D$13,AND('Debt strategy'!$D$10='Debt strategy'!$D$13,1&lt;4))),1,0),IF(AND(O311+P311-Q311&gt;0,OR('Debt strategy'!$D$11&gt;'Debt strategy'!$D$13,AND('Debt strategy'!$D$11='Debt strategy'!$D$13,2&lt;4))),1,0),IF(AND(U311+V311-W311&gt;0,OR('Debt strategy'!$D$12&gt;'Debt strategy'!$D$13,AND('Debt strategy'!$D$12='Debt strategy'!$D$13,3&lt;4))),1,0)))</x:f>
        <x:v>99</x:v>
      </x:c>
      <x:c r="AE311" s="6" t="n">
        <x:f>IF('Debt strategy'!$C$16&gt;0,0,MIN(AA311+AB311-AC311,MAX(0,'Debt strategy'!$C$5-SUM(E311,K311,Q311,W311,AC311)-SUM(IF(F311&lt;AD311,C311+D311-E311,0),IF(L311&lt;AD311,I311+J311-K311,0),IF(R311&lt;AD311,O311+P311-Q311,0),IF(X311&lt;AD311,U311+V311-W311,0)))))</x:f>
        <x:v>0</x:v>
      </x:c>
      <x:c r="AF311" s="6" t="n">
        <x:f>ROUND(MAX(0,AA311+AB311-AC311-AE311),2)</x:f>
        <x:v>0</x:v>
      </x:c>
      <x:c r="AG311" s="6" t="n">
        <x:f>SUM(H311,N311,T311,Z311,AF311)</x:f>
        <x:v>0</x:v>
      </x:c>
      <x:c r="AH311" s="6" t="n">
        <x:f>SUM(D311,J311,P311,V311,AB311)+AH310</x:f>
        <x:v>1220.8400000000001</x:v>
      </x:c>
      <x:c r="AI311" s="2"/>
    </x:row>
    <x:row r="312" ht="23" customHeight="1">
      <x:c r="B312" s="2" t="n">
        <x:f>304</x:f>
        <x:v>304</x:v>
      </x:c>
      <x:c r="C312" s="6" t="n">
        <x:f>H311</x:f>
        <x:v>0</x:v>
      </x:c>
      <x:c r="D312" s="6" t="n">
        <x:f>ROUND(C312*'Debt strategy'!$D$9/12,2)</x:f>
        <x:v>0</x:v>
      </x:c>
      <x:c r="E312" s="6" t="n">
        <x:f>MIN(C312+D312,'Debt strategy'!$E$9)</x:f>
        <x:v>0</x:v>
      </x:c>
      <x:c r="F312" s="27" t="n">
        <x:f>IF(C312+D312-E312&lt;=0,99,1+SUM(IF(AND(I312+J312-K312&gt;0,OR('Debt strategy'!$D$10&gt;'Debt strategy'!$D$9,AND('Debt strategy'!$D$10='Debt strategy'!$D$9,1&lt;0))),1,0),IF(AND(O312+P312-Q312&gt;0,OR('Debt strategy'!$D$11&gt;'Debt strategy'!$D$9,AND('Debt strategy'!$D$11='Debt strategy'!$D$9,2&lt;0))),1,0),IF(AND(U312+V312-W312&gt;0,OR('Debt strategy'!$D$12&gt;'Debt strategy'!$D$9,AND('Debt strategy'!$D$12='Debt strategy'!$D$9,3&lt;0))),1,0),IF(AND(AA312+AB312-AC312&gt;0,OR('Debt strategy'!$D$13&gt;'Debt strategy'!$D$9,AND('Debt strategy'!$D$13='Debt strategy'!$D$9,4&lt;0))),1,0)))</x:f>
        <x:v>99</x:v>
      </x:c>
      <x:c r="G312" s="6" t="n">
        <x:f>IF('Debt strategy'!$C$16&gt;0,0,MIN(C312+D312-E312,MAX(0,'Debt strategy'!$C$5-SUM(E312,K312,Q312,W312,AC312)-SUM(IF(L312&lt;F312,I312+J312-K312,0),IF(R312&lt;F312,O312+P312-Q312,0),IF(X312&lt;F312,U312+V312-W312,0),IF(AD312&lt;F312,AA312+AB312-AC312,0)))))</x:f>
        <x:v>0</x:v>
      </x:c>
      <x:c r="H312" s="6" t="n">
        <x:f>ROUND(MAX(0,C312+D312-E312-G312),2)</x:f>
        <x:v>0</x:v>
      </x:c>
      <x:c r="I312" s="6" t="n">
        <x:f>N311</x:f>
        <x:v>0</x:v>
      </x:c>
      <x:c r="J312" s="6" t="n">
        <x:f>ROUND(I312*'Debt strategy'!$D$10/12,2)</x:f>
        <x:v>0</x:v>
      </x:c>
      <x:c r="K312" s="6" t="n">
        <x:f>MIN(I312+J312,'Debt strategy'!$E$10)</x:f>
        <x:v>0</x:v>
      </x:c>
      <x:c r="L312" s="27" t="n">
        <x:f>IF(I312+J312-K312&lt;=0,99,1+SUM(IF(AND(C312+D312-E312&gt;0,OR('Debt strategy'!$D$9&gt;'Debt strategy'!$D$10,AND('Debt strategy'!$D$9='Debt strategy'!$D$10,0&lt;1))),1,0),IF(AND(O312+P312-Q312&gt;0,OR('Debt strategy'!$D$11&gt;'Debt strategy'!$D$10,AND('Debt strategy'!$D$11='Debt strategy'!$D$10,2&lt;1))),1,0),IF(AND(U312+V312-W312&gt;0,OR('Debt strategy'!$D$12&gt;'Debt strategy'!$D$10,AND('Debt strategy'!$D$12='Debt strategy'!$D$10,3&lt;1))),1,0),IF(AND(AA312+AB312-AC312&gt;0,OR('Debt strategy'!$D$13&gt;'Debt strategy'!$D$10,AND('Debt strategy'!$D$13='Debt strategy'!$D$10,4&lt;1))),1,0)))</x:f>
        <x:v>99</x:v>
      </x:c>
      <x:c r="M312" s="6" t="n">
        <x:f>IF('Debt strategy'!$C$16&gt;0,0,MIN(I312+J312-K312,MAX(0,'Debt strategy'!$C$5-SUM(E312,K312,Q312,W312,AC312)-SUM(IF(F312&lt;L312,C312+D312-E312,0),IF(R312&lt;L312,O312+P312-Q312,0),IF(X312&lt;L312,U312+V312-W312,0),IF(AD312&lt;L312,AA312+AB312-AC312,0)))))</x:f>
        <x:v>0</x:v>
      </x:c>
      <x:c r="N312" s="6" t="n">
        <x:f>ROUND(MAX(0,I312+J312-K312-M312),2)</x:f>
        <x:v>0</x:v>
      </x:c>
      <x:c r="O312" s="6" t="n">
        <x:f>T311</x:f>
        <x:v>0</x:v>
      </x:c>
      <x:c r="P312" s="6" t="n">
        <x:f>ROUND(O312*'Debt strategy'!$D$11/12,2)</x:f>
        <x:v>0</x:v>
      </x:c>
      <x:c r="Q312" s="6" t="n">
        <x:f>MIN(O312+P312,'Debt strategy'!$E$11)</x:f>
        <x:v>0</x:v>
      </x:c>
      <x:c r="R312" s="27" t="n">
        <x:f>IF(O312+P312-Q312&lt;=0,99,1+SUM(IF(AND(C312+D312-E312&gt;0,OR('Debt strategy'!$D$9&gt;'Debt strategy'!$D$11,AND('Debt strategy'!$D$9='Debt strategy'!$D$11,0&lt;2))),1,0),IF(AND(I312+J312-K312&gt;0,OR('Debt strategy'!$D$10&gt;'Debt strategy'!$D$11,AND('Debt strategy'!$D$10='Debt strategy'!$D$11,1&lt;2))),1,0),IF(AND(U312+V312-W312&gt;0,OR('Debt strategy'!$D$12&gt;'Debt strategy'!$D$11,AND('Debt strategy'!$D$12='Debt strategy'!$D$11,3&lt;2))),1,0),IF(AND(AA312+AB312-AC312&gt;0,OR('Debt strategy'!$D$13&gt;'Debt strategy'!$D$11,AND('Debt strategy'!$D$13='Debt strategy'!$D$11,4&lt;2))),1,0)))</x:f>
        <x:v>99</x:v>
      </x:c>
      <x:c r="S312" s="6" t="n">
        <x:f>IF('Debt strategy'!$C$16&gt;0,0,MIN(O312+P312-Q312,MAX(0,'Debt strategy'!$C$5-SUM(E312,K312,Q312,W312,AC312)-SUM(IF(F312&lt;R312,C312+D312-E312,0),IF(L312&lt;R312,I312+J312-K312,0),IF(X312&lt;R312,U312+V312-W312,0),IF(AD312&lt;R312,AA312+AB312-AC312,0)))))</x:f>
        <x:v>0</x:v>
      </x:c>
      <x:c r="T312" s="6" t="n">
        <x:f>ROUND(MAX(0,O312+P312-Q312-S312),2)</x:f>
        <x:v>0</x:v>
      </x:c>
      <x:c r="U312" s="6" t="n">
        <x:f>Z311</x:f>
        <x:v>0</x:v>
      </x:c>
      <x:c r="V312" s="6" t="n">
        <x:f>ROUND(U312*'Debt strategy'!$D$12/12,2)</x:f>
        <x:v>0</x:v>
      </x:c>
      <x:c r="W312" s="6" t="n">
        <x:f>MIN(U312+V312,'Debt strategy'!$E$12)</x:f>
        <x:v>0</x:v>
      </x:c>
      <x:c r="X312" s="27" t="n">
        <x:f>IF(U312+V312-W312&lt;=0,99,1+SUM(IF(AND(C312+D312-E312&gt;0,OR('Debt strategy'!$D$9&gt;'Debt strategy'!$D$12,AND('Debt strategy'!$D$9='Debt strategy'!$D$12,0&lt;3))),1,0),IF(AND(I312+J312-K312&gt;0,OR('Debt strategy'!$D$10&gt;'Debt strategy'!$D$12,AND('Debt strategy'!$D$10='Debt strategy'!$D$12,1&lt;3))),1,0),IF(AND(O312+P312-Q312&gt;0,OR('Debt strategy'!$D$11&gt;'Debt strategy'!$D$12,AND('Debt strategy'!$D$11='Debt strategy'!$D$12,2&lt;3))),1,0),IF(AND(AA312+AB312-AC312&gt;0,OR('Debt strategy'!$D$13&gt;'Debt strategy'!$D$12,AND('Debt strategy'!$D$13='Debt strategy'!$D$12,4&lt;3))),1,0)))</x:f>
        <x:v>99</x:v>
      </x:c>
      <x:c r="Y312" s="6" t="n">
        <x:f>IF('Debt strategy'!$C$16&gt;0,0,MIN(U312+V312-W312,MAX(0,'Debt strategy'!$C$5-SUM(E312,K312,Q312,W312,AC312)-SUM(IF(F312&lt;X312,C312+D312-E312,0),IF(L312&lt;X312,I312+J312-K312,0),IF(R312&lt;X312,O312+P312-Q312,0),IF(AD312&lt;X312,AA312+AB312-AC312,0)))))</x:f>
        <x:v>0</x:v>
      </x:c>
      <x:c r="Z312" s="6" t="n">
        <x:f>ROUND(MAX(0,U312+V312-W312-Y312),2)</x:f>
        <x:v>0</x:v>
      </x:c>
      <x:c r="AA312" s="6" t="n">
        <x:f>AF311</x:f>
        <x:v>0</x:v>
      </x:c>
      <x:c r="AB312" s="6" t="n">
        <x:f>ROUND(AA312*'Debt strategy'!$D$13/12,2)</x:f>
        <x:v>0</x:v>
      </x:c>
      <x:c r="AC312" s="6" t="n">
        <x:f>MIN(AA312+AB312,'Debt strategy'!$E$13)</x:f>
        <x:v>0</x:v>
      </x:c>
      <x:c r="AD312" s="27" t="n">
        <x:f>IF(AA312+AB312-AC312&lt;=0,99,1+SUM(IF(AND(C312+D312-E312&gt;0,OR('Debt strategy'!$D$9&gt;'Debt strategy'!$D$13,AND('Debt strategy'!$D$9='Debt strategy'!$D$13,0&lt;4))),1,0),IF(AND(I312+J312-K312&gt;0,OR('Debt strategy'!$D$10&gt;'Debt strategy'!$D$13,AND('Debt strategy'!$D$10='Debt strategy'!$D$13,1&lt;4))),1,0),IF(AND(O312+P312-Q312&gt;0,OR('Debt strategy'!$D$11&gt;'Debt strategy'!$D$13,AND('Debt strategy'!$D$11='Debt strategy'!$D$13,2&lt;4))),1,0),IF(AND(U312+V312-W312&gt;0,OR('Debt strategy'!$D$12&gt;'Debt strategy'!$D$13,AND('Debt strategy'!$D$12='Debt strategy'!$D$13,3&lt;4))),1,0)))</x:f>
        <x:v>99</x:v>
      </x:c>
      <x:c r="AE312" s="6" t="n">
        <x:f>IF('Debt strategy'!$C$16&gt;0,0,MIN(AA312+AB312-AC312,MAX(0,'Debt strategy'!$C$5-SUM(E312,K312,Q312,W312,AC312)-SUM(IF(F312&lt;AD312,C312+D312-E312,0),IF(L312&lt;AD312,I312+J312-K312,0),IF(R312&lt;AD312,O312+P312-Q312,0),IF(X312&lt;AD312,U312+V312-W312,0)))))</x:f>
        <x:v>0</x:v>
      </x:c>
      <x:c r="AF312" s="6" t="n">
        <x:f>ROUND(MAX(0,AA312+AB312-AC312-AE312),2)</x:f>
        <x:v>0</x:v>
      </x:c>
      <x:c r="AG312" s="6" t="n">
        <x:f>SUM(H312,N312,T312,Z312,AF312)</x:f>
        <x:v>0</x:v>
      </x:c>
      <x:c r="AH312" s="6" t="n">
        <x:f>SUM(D312,J312,P312,V312,AB312)+AH311</x:f>
        <x:v>1220.8400000000001</x:v>
      </x:c>
      <x:c r="AI312" s="2"/>
    </x:row>
    <x:row r="313" ht="23" customHeight="1">
      <x:c r="B313" s="2" t="n">
        <x:f>305</x:f>
        <x:v>305</x:v>
      </x:c>
      <x:c r="C313" s="6" t="n">
        <x:f>H312</x:f>
        <x:v>0</x:v>
      </x:c>
      <x:c r="D313" s="6" t="n">
        <x:f>ROUND(C313*'Debt strategy'!$D$9/12,2)</x:f>
        <x:v>0</x:v>
      </x:c>
      <x:c r="E313" s="6" t="n">
        <x:f>MIN(C313+D313,'Debt strategy'!$E$9)</x:f>
        <x:v>0</x:v>
      </x:c>
      <x:c r="F313" s="27" t="n">
        <x:f>IF(C313+D313-E313&lt;=0,99,1+SUM(IF(AND(I313+J313-K313&gt;0,OR('Debt strategy'!$D$10&gt;'Debt strategy'!$D$9,AND('Debt strategy'!$D$10='Debt strategy'!$D$9,1&lt;0))),1,0),IF(AND(O313+P313-Q313&gt;0,OR('Debt strategy'!$D$11&gt;'Debt strategy'!$D$9,AND('Debt strategy'!$D$11='Debt strategy'!$D$9,2&lt;0))),1,0),IF(AND(U313+V313-W313&gt;0,OR('Debt strategy'!$D$12&gt;'Debt strategy'!$D$9,AND('Debt strategy'!$D$12='Debt strategy'!$D$9,3&lt;0))),1,0),IF(AND(AA313+AB313-AC313&gt;0,OR('Debt strategy'!$D$13&gt;'Debt strategy'!$D$9,AND('Debt strategy'!$D$13='Debt strategy'!$D$9,4&lt;0))),1,0)))</x:f>
        <x:v>99</x:v>
      </x:c>
      <x:c r="G313" s="6" t="n">
        <x:f>IF('Debt strategy'!$C$16&gt;0,0,MIN(C313+D313-E313,MAX(0,'Debt strategy'!$C$5-SUM(E313,K313,Q313,W313,AC313)-SUM(IF(L313&lt;F313,I313+J313-K313,0),IF(R313&lt;F313,O313+P313-Q313,0),IF(X313&lt;F313,U313+V313-W313,0),IF(AD313&lt;F313,AA313+AB313-AC313,0)))))</x:f>
        <x:v>0</x:v>
      </x:c>
      <x:c r="H313" s="6" t="n">
        <x:f>ROUND(MAX(0,C313+D313-E313-G313),2)</x:f>
        <x:v>0</x:v>
      </x:c>
      <x:c r="I313" s="6" t="n">
        <x:f>N312</x:f>
        <x:v>0</x:v>
      </x:c>
      <x:c r="J313" s="6" t="n">
        <x:f>ROUND(I313*'Debt strategy'!$D$10/12,2)</x:f>
        <x:v>0</x:v>
      </x:c>
      <x:c r="K313" s="6" t="n">
        <x:f>MIN(I313+J313,'Debt strategy'!$E$10)</x:f>
        <x:v>0</x:v>
      </x:c>
      <x:c r="L313" s="27" t="n">
        <x:f>IF(I313+J313-K313&lt;=0,99,1+SUM(IF(AND(C313+D313-E313&gt;0,OR('Debt strategy'!$D$9&gt;'Debt strategy'!$D$10,AND('Debt strategy'!$D$9='Debt strategy'!$D$10,0&lt;1))),1,0),IF(AND(O313+P313-Q313&gt;0,OR('Debt strategy'!$D$11&gt;'Debt strategy'!$D$10,AND('Debt strategy'!$D$11='Debt strategy'!$D$10,2&lt;1))),1,0),IF(AND(U313+V313-W313&gt;0,OR('Debt strategy'!$D$12&gt;'Debt strategy'!$D$10,AND('Debt strategy'!$D$12='Debt strategy'!$D$10,3&lt;1))),1,0),IF(AND(AA313+AB313-AC313&gt;0,OR('Debt strategy'!$D$13&gt;'Debt strategy'!$D$10,AND('Debt strategy'!$D$13='Debt strategy'!$D$10,4&lt;1))),1,0)))</x:f>
        <x:v>99</x:v>
      </x:c>
      <x:c r="M313" s="6" t="n">
        <x:f>IF('Debt strategy'!$C$16&gt;0,0,MIN(I313+J313-K313,MAX(0,'Debt strategy'!$C$5-SUM(E313,K313,Q313,W313,AC313)-SUM(IF(F313&lt;L313,C313+D313-E313,0),IF(R313&lt;L313,O313+P313-Q313,0),IF(X313&lt;L313,U313+V313-W313,0),IF(AD313&lt;L313,AA313+AB313-AC313,0)))))</x:f>
        <x:v>0</x:v>
      </x:c>
      <x:c r="N313" s="6" t="n">
        <x:f>ROUND(MAX(0,I313+J313-K313-M313),2)</x:f>
        <x:v>0</x:v>
      </x:c>
      <x:c r="O313" s="6" t="n">
        <x:f>T312</x:f>
        <x:v>0</x:v>
      </x:c>
      <x:c r="P313" s="6" t="n">
        <x:f>ROUND(O313*'Debt strategy'!$D$11/12,2)</x:f>
        <x:v>0</x:v>
      </x:c>
      <x:c r="Q313" s="6" t="n">
        <x:f>MIN(O313+P313,'Debt strategy'!$E$11)</x:f>
        <x:v>0</x:v>
      </x:c>
      <x:c r="R313" s="27" t="n">
        <x:f>IF(O313+P313-Q313&lt;=0,99,1+SUM(IF(AND(C313+D313-E313&gt;0,OR('Debt strategy'!$D$9&gt;'Debt strategy'!$D$11,AND('Debt strategy'!$D$9='Debt strategy'!$D$11,0&lt;2))),1,0),IF(AND(I313+J313-K313&gt;0,OR('Debt strategy'!$D$10&gt;'Debt strategy'!$D$11,AND('Debt strategy'!$D$10='Debt strategy'!$D$11,1&lt;2))),1,0),IF(AND(U313+V313-W313&gt;0,OR('Debt strategy'!$D$12&gt;'Debt strategy'!$D$11,AND('Debt strategy'!$D$12='Debt strategy'!$D$11,3&lt;2))),1,0),IF(AND(AA313+AB313-AC313&gt;0,OR('Debt strategy'!$D$13&gt;'Debt strategy'!$D$11,AND('Debt strategy'!$D$13='Debt strategy'!$D$11,4&lt;2))),1,0)))</x:f>
        <x:v>99</x:v>
      </x:c>
      <x:c r="S313" s="6" t="n">
        <x:f>IF('Debt strategy'!$C$16&gt;0,0,MIN(O313+P313-Q313,MAX(0,'Debt strategy'!$C$5-SUM(E313,K313,Q313,W313,AC313)-SUM(IF(F313&lt;R313,C313+D313-E313,0),IF(L313&lt;R313,I313+J313-K313,0),IF(X313&lt;R313,U313+V313-W313,0),IF(AD313&lt;R313,AA313+AB313-AC313,0)))))</x:f>
        <x:v>0</x:v>
      </x:c>
      <x:c r="T313" s="6" t="n">
        <x:f>ROUND(MAX(0,O313+P313-Q313-S313),2)</x:f>
        <x:v>0</x:v>
      </x:c>
      <x:c r="U313" s="6" t="n">
        <x:f>Z312</x:f>
        <x:v>0</x:v>
      </x:c>
      <x:c r="V313" s="6" t="n">
        <x:f>ROUND(U313*'Debt strategy'!$D$12/12,2)</x:f>
        <x:v>0</x:v>
      </x:c>
      <x:c r="W313" s="6" t="n">
        <x:f>MIN(U313+V313,'Debt strategy'!$E$12)</x:f>
        <x:v>0</x:v>
      </x:c>
      <x:c r="X313" s="27" t="n">
        <x:f>IF(U313+V313-W313&lt;=0,99,1+SUM(IF(AND(C313+D313-E313&gt;0,OR('Debt strategy'!$D$9&gt;'Debt strategy'!$D$12,AND('Debt strategy'!$D$9='Debt strategy'!$D$12,0&lt;3))),1,0),IF(AND(I313+J313-K313&gt;0,OR('Debt strategy'!$D$10&gt;'Debt strategy'!$D$12,AND('Debt strategy'!$D$10='Debt strategy'!$D$12,1&lt;3))),1,0),IF(AND(O313+P313-Q313&gt;0,OR('Debt strategy'!$D$11&gt;'Debt strategy'!$D$12,AND('Debt strategy'!$D$11='Debt strategy'!$D$12,2&lt;3))),1,0),IF(AND(AA313+AB313-AC313&gt;0,OR('Debt strategy'!$D$13&gt;'Debt strategy'!$D$12,AND('Debt strategy'!$D$13='Debt strategy'!$D$12,4&lt;3))),1,0)))</x:f>
        <x:v>99</x:v>
      </x:c>
      <x:c r="Y313" s="6" t="n">
        <x:f>IF('Debt strategy'!$C$16&gt;0,0,MIN(U313+V313-W313,MAX(0,'Debt strategy'!$C$5-SUM(E313,K313,Q313,W313,AC313)-SUM(IF(F313&lt;X313,C313+D313-E313,0),IF(L313&lt;X313,I313+J313-K313,0),IF(R313&lt;X313,O313+P313-Q313,0),IF(AD313&lt;X313,AA313+AB313-AC313,0)))))</x:f>
        <x:v>0</x:v>
      </x:c>
      <x:c r="Z313" s="6" t="n">
        <x:f>ROUND(MAX(0,U313+V313-W313-Y313),2)</x:f>
        <x:v>0</x:v>
      </x:c>
      <x:c r="AA313" s="6" t="n">
        <x:f>AF312</x:f>
        <x:v>0</x:v>
      </x:c>
      <x:c r="AB313" s="6" t="n">
        <x:f>ROUND(AA313*'Debt strategy'!$D$13/12,2)</x:f>
        <x:v>0</x:v>
      </x:c>
      <x:c r="AC313" s="6" t="n">
        <x:f>MIN(AA313+AB313,'Debt strategy'!$E$13)</x:f>
        <x:v>0</x:v>
      </x:c>
      <x:c r="AD313" s="27" t="n">
        <x:f>IF(AA313+AB313-AC313&lt;=0,99,1+SUM(IF(AND(C313+D313-E313&gt;0,OR('Debt strategy'!$D$9&gt;'Debt strategy'!$D$13,AND('Debt strategy'!$D$9='Debt strategy'!$D$13,0&lt;4))),1,0),IF(AND(I313+J313-K313&gt;0,OR('Debt strategy'!$D$10&gt;'Debt strategy'!$D$13,AND('Debt strategy'!$D$10='Debt strategy'!$D$13,1&lt;4))),1,0),IF(AND(O313+P313-Q313&gt;0,OR('Debt strategy'!$D$11&gt;'Debt strategy'!$D$13,AND('Debt strategy'!$D$11='Debt strategy'!$D$13,2&lt;4))),1,0),IF(AND(U313+V313-W313&gt;0,OR('Debt strategy'!$D$12&gt;'Debt strategy'!$D$13,AND('Debt strategy'!$D$12='Debt strategy'!$D$13,3&lt;4))),1,0)))</x:f>
        <x:v>99</x:v>
      </x:c>
      <x:c r="AE313" s="6" t="n">
        <x:f>IF('Debt strategy'!$C$16&gt;0,0,MIN(AA313+AB313-AC313,MAX(0,'Debt strategy'!$C$5-SUM(E313,K313,Q313,W313,AC313)-SUM(IF(F313&lt;AD313,C313+D313-E313,0),IF(L313&lt;AD313,I313+J313-K313,0),IF(R313&lt;AD313,O313+P313-Q313,0),IF(X313&lt;AD313,U313+V313-W313,0)))))</x:f>
        <x:v>0</x:v>
      </x:c>
      <x:c r="AF313" s="6" t="n">
        <x:f>ROUND(MAX(0,AA313+AB313-AC313-AE313),2)</x:f>
        <x:v>0</x:v>
      </x:c>
      <x:c r="AG313" s="6" t="n">
        <x:f>SUM(H313,N313,T313,Z313,AF313)</x:f>
        <x:v>0</x:v>
      </x:c>
      <x:c r="AH313" s="6" t="n">
        <x:f>SUM(D313,J313,P313,V313,AB313)+AH312</x:f>
        <x:v>1220.8400000000001</x:v>
      </x:c>
      <x:c r="AI313" s="2"/>
    </x:row>
    <x:row r="314" ht="23" customHeight="1">
      <x:c r="B314" s="2" t="n">
        <x:f>306</x:f>
        <x:v>306</x:v>
      </x:c>
      <x:c r="C314" s="6" t="n">
        <x:f>H313</x:f>
        <x:v>0</x:v>
      </x:c>
      <x:c r="D314" s="6" t="n">
        <x:f>ROUND(C314*'Debt strategy'!$D$9/12,2)</x:f>
        <x:v>0</x:v>
      </x:c>
      <x:c r="E314" s="6" t="n">
        <x:f>MIN(C314+D314,'Debt strategy'!$E$9)</x:f>
        <x:v>0</x:v>
      </x:c>
      <x:c r="F314" s="27" t="n">
        <x:f>IF(C314+D314-E314&lt;=0,99,1+SUM(IF(AND(I314+J314-K314&gt;0,OR('Debt strategy'!$D$10&gt;'Debt strategy'!$D$9,AND('Debt strategy'!$D$10='Debt strategy'!$D$9,1&lt;0))),1,0),IF(AND(O314+P314-Q314&gt;0,OR('Debt strategy'!$D$11&gt;'Debt strategy'!$D$9,AND('Debt strategy'!$D$11='Debt strategy'!$D$9,2&lt;0))),1,0),IF(AND(U314+V314-W314&gt;0,OR('Debt strategy'!$D$12&gt;'Debt strategy'!$D$9,AND('Debt strategy'!$D$12='Debt strategy'!$D$9,3&lt;0))),1,0),IF(AND(AA314+AB314-AC314&gt;0,OR('Debt strategy'!$D$13&gt;'Debt strategy'!$D$9,AND('Debt strategy'!$D$13='Debt strategy'!$D$9,4&lt;0))),1,0)))</x:f>
        <x:v>99</x:v>
      </x:c>
      <x:c r="G314" s="6" t="n">
        <x:f>IF('Debt strategy'!$C$16&gt;0,0,MIN(C314+D314-E314,MAX(0,'Debt strategy'!$C$5-SUM(E314,K314,Q314,W314,AC314)-SUM(IF(L314&lt;F314,I314+J314-K314,0),IF(R314&lt;F314,O314+P314-Q314,0),IF(X314&lt;F314,U314+V314-W314,0),IF(AD314&lt;F314,AA314+AB314-AC314,0)))))</x:f>
        <x:v>0</x:v>
      </x:c>
      <x:c r="H314" s="6" t="n">
        <x:f>ROUND(MAX(0,C314+D314-E314-G314),2)</x:f>
        <x:v>0</x:v>
      </x:c>
      <x:c r="I314" s="6" t="n">
        <x:f>N313</x:f>
        <x:v>0</x:v>
      </x:c>
      <x:c r="J314" s="6" t="n">
        <x:f>ROUND(I314*'Debt strategy'!$D$10/12,2)</x:f>
        <x:v>0</x:v>
      </x:c>
      <x:c r="K314" s="6" t="n">
        <x:f>MIN(I314+J314,'Debt strategy'!$E$10)</x:f>
        <x:v>0</x:v>
      </x:c>
      <x:c r="L314" s="27" t="n">
        <x:f>IF(I314+J314-K314&lt;=0,99,1+SUM(IF(AND(C314+D314-E314&gt;0,OR('Debt strategy'!$D$9&gt;'Debt strategy'!$D$10,AND('Debt strategy'!$D$9='Debt strategy'!$D$10,0&lt;1))),1,0),IF(AND(O314+P314-Q314&gt;0,OR('Debt strategy'!$D$11&gt;'Debt strategy'!$D$10,AND('Debt strategy'!$D$11='Debt strategy'!$D$10,2&lt;1))),1,0),IF(AND(U314+V314-W314&gt;0,OR('Debt strategy'!$D$12&gt;'Debt strategy'!$D$10,AND('Debt strategy'!$D$12='Debt strategy'!$D$10,3&lt;1))),1,0),IF(AND(AA314+AB314-AC314&gt;0,OR('Debt strategy'!$D$13&gt;'Debt strategy'!$D$10,AND('Debt strategy'!$D$13='Debt strategy'!$D$10,4&lt;1))),1,0)))</x:f>
        <x:v>99</x:v>
      </x:c>
      <x:c r="M314" s="6" t="n">
        <x:f>IF('Debt strategy'!$C$16&gt;0,0,MIN(I314+J314-K314,MAX(0,'Debt strategy'!$C$5-SUM(E314,K314,Q314,W314,AC314)-SUM(IF(F314&lt;L314,C314+D314-E314,0),IF(R314&lt;L314,O314+P314-Q314,0),IF(X314&lt;L314,U314+V314-W314,0),IF(AD314&lt;L314,AA314+AB314-AC314,0)))))</x:f>
        <x:v>0</x:v>
      </x:c>
      <x:c r="N314" s="6" t="n">
        <x:f>ROUND(MAX(0,I314+J314-K314-M314),2)</x:f>
        <x:v>0</x:v>
      </x:c>
      <x:c r="O314" s="6" t="n">
        <x:f>T313</x:f>
        <x:v>0</x:v>
      </x:c>
      <x:c r="P314" s="6" t="n">
        <x:f>ROUND(O314*'Debt strategy'!$D$11/12,2)</x:f>
        <x:v>0</x:v>
      </x:c>
      <x:c r="Q314" s="6" t="n">
        <x:f>MIN(O314+P314,'Debt strategy'!$E$11)</x:f>
        <x:v>0</x:v>
      </x:c>
      <x:c r="R314" s="27" t="n">
        <x:f>IF(O314+P314-Q314&lt;=0,99,1+SUM(IF(AND(C314+D314-E314&gt;0,OR('Debt strategy'!$D$9&gt;'Debt strategy'!$D$11,AND('Debt strategy'!$D$9='Debt strategy'!$D$11,0&lt;2))),1,0),IF(AND(I314+J314-K314&gt;0,OR('Debt strategy'!$D$10&gt;'Debt strategy'!$D$11,AND('Debt strategy'!$D$10='Debt strategy'!$D$11,1&lt;2))),1,0),IF(AND(U314+V314-W314&gt;0,OR('Debt strategy'!$D$12&gt;'Debt strategy'!$D$11,AND('Debt strategy'!$D$12='Debt strategy'!$D$11,3&lt;2))),1,0),IF(AND(AA314+AB314-AC314&gt;0,OR('Debt strategy'!$D$13&gt;'Debt strategy'!$D$11,AND('Debt strategy'!$D$13='Debt strategy'!$D$11,4&lt;2))),1,0)))</x:f>
        <x:v>99</x:v>
      </x:c>
      <x:c r="S314" s="6" t="n">
        <x:f>IF('Debt strategy'!$C$16&gt;0,0,MIN(O314+P314-Q314,MAX(0,'Debt strategy'!$C$5-SUM(E314,K314,Q314,W314,AC314)-SUM(IF(F314&lt;R314,C314+D314-E314,0),IF(L314&lt;R314,I314+J314-K314,0),IF(X314&lt;R314,U314+V314-W314,0),IF(AD314&lt;R314,AA314+AB314-AC314,0)))))</x:f>
        <x:v>0</x:v>
      </x:c>
      <x:c r="T314" s="6" t="n">
        <x:f>ROUND(MAX(0,O314+P314-Q314-S314),2)</x:f>
        <x:v>0</x:v>
      </x:c>
      <x:c r="U314" s="6" t="n">
        <x:f>Z313</x:f>
        <x:v>0</x:v>
      </x:c>
      <x:c r="V314" s="6" t="n">
        <x:f>ROUND(U314*'Debt strategy'!$D$12/12,2)</x:f>
        <x:v>0</x:v>
      </x:c>
      <x:c r="W314" s="6" t="n">
        <x:f>MIN(U314+V314,'Debt strategy'!$E$12)</x:f>
        <x:v>0</x:v>
      </x:c>
      <x:c r="X314" s="27" t="n">
        <x:f>IF(U314+V314-W314&lt;=0,99,1+SUM(IF(AND(C314+D314-E314&gt;0,OR('Debt strategy'!$D$9&gt;'Debt strategy'!$D$12,AND('Debt strategy'!$D$9='Debt strategy'!$D$12,0&lt;3))),1,0),IF(AND(I314+J314-K314&gt;0,OR('Debt strategy'!$D$10&gt;'Debt strategy'!$D$12,AND('Debt strategy'!$D$10='Debt strategy'!$D$12,1&lt;3))),1,0),IF(AND(O314+P314-Q314&gt;0,OR('Debt strategy'!$D$11&gt;'Debt strategy'!$D$12,AND('Debt strategy'!$D$11='Debt strategy'!$D$12,2&lt;3))),1,0),IF(AND(AA314+AB314-AC314&gt;0,OR('Debt strategy'!$D$13&gt;'Debt strategy'!$D$12,AND('Debt strategy'!$D$13='Debt strategy'!$D$12,4&lt;3))),1,0)))</x:f>
        <x:v>99</x:v>
      </x:c>
      <x:c r="Y314" s="6" t="n">
        <x:f>IF('Debt strategy'!$C$16&gt;0,0,MIN(U314+V314-W314,MAX(0,'Debt strategy'!$C$5-SUM(E314,K314,Q314,W314,AC314)-SUM(IF(F314&lt;X314,C314+D314-E314,0),IF(L314&lt;X314,I314+J314-K314,0),IF(R314&lt;X314,O314+P314-Q314,0),IF(AD314&lt;X314,AA314+AB314-AC314,0)))))</x:f>
        <x:v>0</x:v>
      </x:c>
      <x:c r="Z314" s="6" t="n">
        <x:f>ROUND(MAX(0,U314+V314-W314-Y314),2)</x:f>
        <x:v>0</x:v>
      </x:c>
      <x:c r="AA314" s="6" t="n">
        <x:f>AF313</x:f>
        <x:v>0</x:v>
      </x:c>
      <x:c r="AB314" s="6" t="n">
        <x:f>ROUND(AA314*'Debt strategy'!$D$13/12,2)</x:f>
        <x:v>0</x:v>
      </x:c>
      <x:c r="AC314" s="6" t="n">
        <x:f>MIN(AA314+AB314,'Debt strategy'!$E$13)</x:f>
        <x:v>0</x:v>
      </x:c>
      <x:c r="AD314" s="27" t="n">
        <x:f>IF(AA314+AB314-AC314&lt;=0,99,1+SUM(IF(AND(C314+D314-E314&gt;0,OR('Debt strategy'!$D$9&gt;'Debt strategy'!$D$13,AND('Debt strategy'!$D$9='Debt strategy'!$D$13,0&lt;4))),1,0),IF(AND(I314+J314-K314&gt;0,OR('Debt strategy'!$D$10&gt;'Debt strategy'!$D$13,AND('Debt strategy'!$D$10='Debt strategy'!$D$13,1&lt;4))),1,0),IF(AND(O314+P314-Q314&gt;0,OR('Debt strategy'!$D$11&gt;'Debt strategy'!$D$13,AND('Debt strategy'!$D$11='Debt strategy'!$D$13,2&lt;4))),1,0),IF(AND(U314+V314-W314&gt;0,OR('Debt strategy'!$D$12&gt;'Debt strategy'!$D$13,AND('Debt strategy'!$D$12='Debt strategy'!$D$13,3&lt;4))),1,0)))</x:f>
        <x:v>99</x:v>
      </x:c>
      <x:c r="AE314" s="6" t="n">
        <x:f>IF('Debt strategy'!$C$16&gt;0,0,MIN(AA314+AB314-AC314,MAX(0,'Debt strategy'!$C$5-SUM(E314,K314,Q314,W314,AC314)-SUM(IF(F314&lt;AD314,C314+D314-E314,0),IF(L314&lt;AD314,I314+J314-K314,0),IF(R314&lt;AD314,O314+P314-Q314,0),IF(X314&lt;AD314,U314+V314-W314,0)))))</x:f>
        <x:v>0</x:v>
      </x:c>
      <x:c r="AF314" s="6" t="n">
        <x:f>ROUND(MAX(0,AA314+AB314-AC314-AE314),2)</x:f>
        <x:v>0</x:v>
      </x:c>
      <x:c r="AG314" s="6" t="n">
        <x:f>SUM(H314,N314,T314,Z314,AF314)</x:f>
        <x:v>0</x:v>
      </x:c>
      <x:c r="AH314" s="6" t="n">
        <x:f>SUM(D314,J314,P314,V314,AB314)+AH313</x:f>
        <x:v>1220.8400000000001</x:v>
      </x:c>
      <x:c r="AI314" s="2"/>
    </x:row>
    <x:row r="315" ht="23" customHeight="1">
      <x:c r="B315" s="2" t="n">
        <x:f>307</x:f>
        <x:v>307</x:v>
      </x:c>
      <x:c r="C315" s="6" t="n">
        <x:f>H314</x:f>
        <x:v>0</x:v>
      </x:c>
      <x:c r="D315" s="6" t="n">
        <x:f>ROUND(C315*'Debt strategy'!$D$9/12,2)</x:f>
        <x:v>0</x:v>
      </x:c>
      <x:c r="E315" s="6" t="n">
        <x:f>MIN(C315+D315,'Debt strategy'!$E$9)</x:f>
        <x:v>0</x:v>
      </x:c>
      <x:c r="F315" s="27" t="n">
        <x:f>IF(C315+D315-E315&lt;=0,99,1+SUM(IF(AND(I315+J315-K315&gt;0,OR('Debt strategy'!$D$10&gt;'Debt strategy'!$D$9,AND('Debt strategy'!$D$10='Debt strategy'!$D$9,1&lt;0))),1,0),IF(AND(O315+P315-Q315&gt;0,OR('Debt strategy'!$D$11&gt;'Debt strategy'!$D$9,AND('Debt strategy'!$D$11='Debt strategy'!$D$9,2&lt;0))),1,0),IF(AND(U315+V315-W315&gt;0,OR('Debt strategy'!$D$12&gt;'Debt strategy'!$D$9,AND('Debt strategy'!$D$12='Debt strategy'!$D$9,3&lt;0))),1,0),IF(AND(AA315+AB315-AC315&gt;0,OR('Debt strategy'!$D$13&gt;'Debt strategy'!$D$9,AND('Debt strategy'!$D$13='Debt strategy'!$D$9,4&lt;0))),1,0)))</x:f>
        <x:v>99</x:v>
      </x:c>
      <x:c r="G315" s="6" t="n">
        <x:f>IF('Debt strategy'!$C$16&gt;0,0,MIN(C315+D315-E315,MAX(0,'Debt strategy'!$C$5-SUM(E315,K315,Q315,W315,AC315)-SUM(IF(L315&lt;F315,I315+J315-K315,0),IF(R315&lt;F315,O315+P315-Q315,0),IF(X315&lt;F315,U315+V315-W315,0),IF(AD315&lt;F315,AA315+AB315-AC315,0)))))</x:f>
        <x:v>0</x:v>
      </x:c>
      <x:c r="H315" s="6" t="n">
        <x:f>ROUND(MAX(0,C315+D315-E315-G315),2)</x:f>
        <x:v>0</x:v>
      </x:c>
      <x:c r="I315" s="6" t="n">
        <x:f>N314</x:f>
        <x:v>0</x:v>
      </x:c>
      <x:c r="J315" s="6" t="n">
        <x:f>ROUND(I315*'Debt strategy'!$D$10/12,2)</x:f>
        <x:v>0</x:v>
      </x:c>
      <x:c r="K315" s="6" t="n">
        <x:f>MIN(I315+J315,'Debt strategy'!$E$10)</x:f>
        <x:v>0</x:v>
      </x:c>
      <x:c r="L315" s="27" t="n">
        <x:f>IF(I315+J315-K315&lt;=0,99,1+SUM(IF(AND(C315+D315-E315&gt;0,OR('Debt strategy'!$D$9&gt;'Debt strategy'!$D$10,AND('Debt strategy'!$D$9='Debt strategy'!$D$10,0&lt;1))),1,0),IF(AND(O315+P315-Q315&gt;0,OR('Debt strategy'!$D$11&gt;'Debt strategy'!$D$10,AND('Debt strategy'!$D$11='Debt strategy'!$D$10,2&lt;1))),1,0),IF(AND(U315+V315-W315&gt;0,OR('Debt strategy'!$D$12&gt;'Debt strategy'!$D$10,AND('Debt strategy'!$D$12='Debt strategy'!$D$10,3&lt;1))),1,0),IF(AND(AA315+AB315-AC315&gt;0,OR('Debt strategy'!$D$13&gt;'Debt strategy'!$D$10,AND('Debt strategy'!$D$13='Debt strategy'!$D$10,4&lt;1))),1,0)))</x:f>
        <x:v>99</x:v>
      </x:c>
      <x:c r="M315" s="6" t="n">
        <x:f>IF('Debt strategy'!$C$16&gt;0,0,MIN(I315+J315-K315,MAX(0,'Debt strategy'!$C$5-SUM(E315,K315,Q315,W315,AC315)-SUM(IF(F315&lt;L315,C315+D315-E315,0),IF(R315&lt;L315,O315+P315-Q315,0),IF(X315&lt;L315,U315+V315-W315,0),IF(AD315&lt;L315,AA315+AB315-AC315,0)))))</x:f>
        <x:v>0</x:v>
      </x:c>
      <x:c r="N315" s="6" t="n">
        <x:f>ROUND(MAX(0,I315+J315-K315-M315),2)</x:f>
        <x:v>0</x:v>
      </x:c>
      <x:c r="O315" s="6" t="n">
        <x:f>T314</x:f>
        <x:v>0</x:v>
      </x:c>
      <x:c r="P315" s="6" t="n">
        <x:f>ROUND(O315*'Debt strategy'!$D$11/12,2)</x:f>
        <x:v>0</x:v>
      </x:c>
      <x:c r="Q315" s="6" t="n">
        <x:f>MIN(O315+P315,'Debt strategy'!$E$11)</x:f>
        <x:v>0</x:v>
      </x:c>
      <x:c r="R315" s="27" t="n">
        <x:f>IF(O315+P315-Q315&lt;=0,99,1+SUM(IF(AND(C315+D315-E315&gt;0,OR('Debt strategy'!$D$9&gt;'Debt strategy'!$D$11,AND('Debt strategy'!$D$9='Debt strategy'!$D$11,0&lt;2))),1,0),IF(AND(I315+J315-K315&gt;0,OR('Debt strategy'!$D$10&gt;'Debt strategy'!$D$11,AND('Debt strategy'!$D$10='Debt strategy'!$D$11,1&lt;2))),1,0),IF(AND(U315+V315-W315&gt;0,OR('Debt strategy'!$D$12&gt;'Debt strategy'!$D$11,AND('Debt strategy'!$D$12='Debt strategy'!$D$11,3&lt;2))),1,0),IF(AND(AA315+AB315-AC315&gt;0,OR('Debt strategy'!$D$13&gt;'Debt strategy'!$D$11,AND('Debt strategy'!$D$13='Debt strategy'!$D$11,4&lt;2))),1,0)))</x:f>
        <x:v>99</x:v>
      </x:c>
      <x:c r="S315" s="6" t="n">
        <x:f>IF('Debt strategy'!$C$16&gt;0,0,MIN(O315+P315-Q315,MAX(0,'Debt strategy'!$C$5-SUM(E315,K315,Q315,W315,AC315)-SUM(IF(F315&lt;R315,C315+D315-E315,0),IF(L315&lt;R315,I315+J315-K315,0),IF(X315&lt;R315,U315+V315-W315,0),IF(AD315&lt;R315,AA315+AB315-AC315,0)))))</x:f>
        <x:v>0</x:v>
      </x:c>
      <x:c r="T315" s="6" t="n">
        <x:f>ROUND(MAX(0,O315+P315-Q315-S315),2)</x:f>
        <x:v>0</x:v>
      </x:c>
      <x:c r="U315" s="6" t="n">
        <x:f>Z314</x:f>
        <x:v>0</x:v>
      </x:c>
      <x:c r="V315" s="6" t="n">
        <x:f>ROUND(U315*'Debt strategy'!$D$12/12,2)</x:f>
        <x:v>0</x:v>
      </x:c>
      <x:c r="W315" s="6" t="n">
        <x:f>MIN(U315+V315,'Debt strategy'!$E$12)</x:f>
        <x:v>0</x:v>
      </x:c>
      <x:c r="X315" s="27" t="n">
        <x:f>IF(U315+V315-W315&lt;=0,99,1+SUM(IF(AND(C315+D315-E315&gt;0,OR('Debt strategy'!$D$9&gt;'Debt strategy'!$D$12,AND('Debt strategy'!$D$9='Debt strategy'!$D$12,0&lt;3))),1,0),IF(AND(I315+J315-K315&gt;0,OR('Debt strategy'!$D$10&gt;'Debt strategy'!$D$12,AND('Debt strategy'!$D$10='Debt strategy'!$D$12,1&lt;3))),1,0),IF(AND(O315+P315-Q315&gt;0,OR('Debt strategy'!$D$11&gt;'Debt strategy'!$D$12,AND('Debt strategy'!$D$11='Debt strategy'!$D$12,2&lt;3))),1,0),IF(AND(AA315+AB315-AC315&gt;0,OR('Debt strategy'!$D$13&gt;'Debt strategy'!$D$12,AND('Debt strategy'!$D$13='Debt strategy'!$D$12,4&lt;3))),1,0)))</x:f>
        <x:v>99</x:v>
      </x:c>
      <x:c r="Y315" s="6" t="n">
        <x:f>IF('Debt strategy'!$C$16&gt;0,0,MIN(U315+V315-W315,MAX(0,'Debt strategy'!$C$5-SUM(E315,K315,Q315,W315,AC315)-SUM(IF(F315&lt;X315,C315+D315-E315,0),IF(L315&lt;X315,I315+J315-K315,0),IF(R315&lt;X315,O315+P315-Q315,0),IF(AD315&lt;X315,AA315+AB315-AC315,0)))))</x:f>
        <x:v>0</x:v>
      </x:c>
      <x:c r="Z315" s="6" t="n">
        <x:f>ROUND(MAX(0,U315+V315-W315-Y315),2)</x:f>
        <x:v>0</x:v>
      </x:c>
      <x:c r="AA315" s="6" t="n">
        <x:f>AF314</x:f>
        <x:v>0</x:v>
      </x:c>
      <x:c r="AB315" s="6" t="n">
        <x:f>ROUND(AA315*'Debt strategy'!$D$13/12,2)</x:f>
        <x:v>0</x:v>
      </x:c>
      <x:c r="AC315" s="6" t="n">
        <x:f>MIN(AA315+AB315,'Debt strategy'!$E$13)</x:f>
        <x:v>0</x:v>
      </x:c>
      <x:c r="AD315" s="27" t="n">
        <x:f>IF(AA315+AB315-AC315&lt;=0,99,1+SUM(IF(AND(C315+D315-E315&gt;0,OR('Debt strategy'!$D$9&gt;'Debt strategy'!$D$13,AND('Debt strategy'!$D$9='Debt strategy'!$D$13,0&lt;4))),1,0),IF(AND(I315+J315-K315&gt;0,OR('Debt strategy'!$D$10&gt;'Debt strategy'!$D$13,AND('Debt strategy'!$D$10='Debt strategy'!$D$13,1&lt;4))),1,0),IF(AND(O315+P315-Q315&gt;0,OR('Debt strategy'!$D$11&gt;'Debt strategy'!$D$13,AND('Debt strategy'!$D$11='Debt strategy'!$D$13,2&lt;4))),1,0),IF(AND(U315+V315-W315&gt;0,OR('Debt strategy'!$D$12&gt;'Debt strategy'!$D$13,AND('Debt strategy'!$D$12='Debt strategy'!$D$13,3&lt;4))),1,0)))</x:f>
        <x:v>99</x:v>
      </x:c>
      <x:c r="AE315" s="6" t="n">
        <x:f>IF('Debt strategy'!$C$16&gt;0,0,MIN(AA315+AB315-AC315,MAX(0,'Debt strategy'!$C$5-SUM(E315,K315,Q315,W315,AC315)-SUM(IF(F315&lt;AD315,C315+D315-E315,0),IF(L315&lt;AD315,I315+J315-K315,0),IF(R315&lt;AD315,O315+P315-Q315,0),IF(X315&lt;AD315,U315+V315-W315,0)))))</x:f>
        <x:v>0</x:v>
      </x:c>
      <x:c r="AF315" s="6" t="n">
        <x:f>ROUND(MAX(0,AA315+AB315-AC315-AE315),2)</x:f>
        <x:v>0</x:v>
      </x:c>
      <x:c r="AG315" s="6" t="n">
        <x:f>SUM(H315,N315,T315,Z315,AF315)</x:f>
        <x:v>0</x:v>
      </x:c>
      <x:c r="AH315" s="6" t="n">
        <x:f>SUM(D315,J315,P315,V315,AB315)+AH314</x:f>
        <x:v>1220.8400000000001</x:v>
      </x:c>
      <x:c r="AI315" s="2"/>
    </x:row>
    <x:row r="316" ht="23" customHeight="1">
      <x:c r="B316" s="2" t="n">
        <x:f>308</x:f>
        <x:v>308</x:v>
      </x:c>
      <x:c r="C316" s="6" t="n">
        <x:f>H315</x:f>
        <x:v>0</x:v>
      </x:c>
      <x:c r="D316" s="6" t="n">
        <x:f>ROUND(C316*'Debt strategy'!$D$9/12,2)</x:f>
        <x:v>0</x:v>
      </x:c>
      <x:c r="E316" s="6" t="n">
        <x:f>MIN(C316+D316,'Debt strategy'!$E$9)</x:f>
        <x:v>0</x:v>
      </x:c>
      <x:c r="F316" s="27" t="n">
        <x:f>IF(C316+D316-E316&lt;=0,99,1+SUM(IF(AND(I316+J316-K316&gt;0,OR('Debt strategy'!$D$10&gt;'Debt strategy'!$D$9,AND('Debt strategy'!$D$10='Debt strategy'!$D$9,1&lt;0))),1,0),IF(AND(O316+P316-Q316&gt;0,OR('Debt strategy'!$D$11&gt;'Debt strategy'!$D$9,AND('Debt strategy'!$D$11='Debt strategy'!$D$9,2&lt;0))),1,0),IF(AND(U316+V316-W316&gt;0,OR('Debt strategy'!$D$12&gt;'Debt strategy'!$D$9,AND('Debt strategy'!$D$12='Debt strategy'!$D$9,3&lt;0))),1,0),IF(AND(AA316+AB316-AC316&gt;0,OR('Debt strategy'!$D$13&gt;'Debt strategy'!$D$9,AND('Debt strategy'!$D$13='Debt strategy'!$D$9,4&lt;0))),1,0)))</x:f>
        <x:v>99</x:v>
      </x:c>
      <x:c r="G316" s="6" t="n">
        <x:f>IF('Debt strategy'!$C$16&gt;0,0,MIN(C316+D316-E316,MAX(0,'Debt strategy'!$C$5-SUM(E316,K316,Q316,W316,AC316)-SUM(IF(L316&lt;F316,I316+J316-K316,0),IF(R316&lt;F316,O316+P316-Q316,0),IF(X316&lt;F316,U316+V316-W316,0),IF(AD316&lt;F316,AA316+AB316-AC316,0)))))</x:f>
        <x:v>0</x:v>
      </x:c>
      <x:c r="H316" s="6" t="n">
        <x:f>ROUND(MAX(0,C316+D316-E316-G316),2)</x:f>
        <x:v>0</x:v>
      </x:c>
      <x:c r="I316" s="6" t="n">
        <x:f>N315</x:f>
        <x:v>0</x:v>
      </x:c>
      <x:c r="J316" s="6" t="n">
        <x:f>ROUND(I316*'Debt strategy'!$D$10/12,2)</x:f>
        <x:v>0</x:v>
      </x:c>
      <x:c r="K316" s="6" t="n">
        <x:f>MIN(I316+J316,'Debt strategy'!$E$10)</x:f>
        <x:v>0</x:v>
      </x:c>
      <x:c r="L316" s="27" t="n">
        <x:f>IF(I316+J316-K316&lt;=0,99,1+SUM(IF(AND(C316+D316-E316&gt;0,OR('Debt strategy'!$D$9&gt;'Debt strategy'!$D$10,AND('Debt strategy'!$D$9='Debt strategy'!$D$10,0&lt;1))),1,0),IF(AND(O316+P316-Q316&gt;0,OR('Debt strategy'!$D$11&gt;'Debt strategy'!$D$10,AND('Debt strategy'!$D$11='Debt strategy'!$D$10,2&lt;1))),1,0),IF(AND(U316+V316-W316&gt;0,OR('Debt strategy'!$D$12&gt;'Debt strategy'!$D$10,AND('Debt strategy'!$D$12='Debt strategy'!$D$10,3&lt;1))),1,0),IF(AND(AA316+AB316-AC316&gt;0,OR('Debt strategy'!$D$13&gt;'Debt strategy'!$D$10,AND('Debt strategy'!$D$13='Debt strategy'!$D$10,4&lt;1))),1,0)))</x:f>
        <x:v>99</x:v>
      </x:c>
      <x:c r="M316" s="6" t="n">
        <x:f>IF('Debt strategy'!$C$16&gt;0,0,MIN(I316+J316-K316,MAX(0,'Debt strategy'!$C$5-SUM(E316,K316,Q316,W316,AC316)-SUM(IF(F316&lt;L316,C316+D316-E316,0),IF(R316&lt;L316,O316+P316-Q316,0),IF(X316&lt;L316,U316+V316-W316,0),IF(AD316&lt;L316,AA316+AB316-AC316,0)))))</x:f>
        <x:v>0</x:v>
      </x:c>
      <x:c r="N316" s="6" t="n">
        <x:f>ROUND(MAX(0,I316+J316-K316-M316),2)</x:f>
        <x:v>0</x:v>
      </x:c>
      <x:c r="O316" s="6" t="n">
        <x:f>T315</x:f>
        <x:v>0</x:v>
      </x:c>
      <x:c r="P316" s="6" t="n">
        <x:f>ROUND(O316*'Debt strategy'!$D$11/12,2)</x:f>
        <x:v>0</x:v>
      </x:c>
      <x:c r="Q316" s="6" t="n">
        <x:f>MIN(O316+P316,'Debt strategy'!$E$11)</x:f>
        <x:v>0</x:v>
      </x:c>
      <x:c r="R316" s="27" t="n">
        <x:f>IF(O316+P316-Q316&lt;=0,99,1+SUM(IF(AND(C316+D316-E316&gt;0,OR('Debt strategy'!$D$9&gt;'Debt strategy'!$D$11,AND('Debt strategy'!$D$9='Debt strategy'!$D$11,0&lt;2))),1,0),IF(AND(I316+J316-K316&gt;0,OR('Debt strategy'!$D$10&gt;'Debt strategy'!$D$11,AND('Debt strategy'!$D$10='Debt strategy'!$D$11,1&lt;2))),1,0),IF(AND(U316+V316-W316&gt;0,OR('Debt strategy'!$D$12&gt;'Debt strategy'!$D$11,AND('Debt strategy'!$D$12='Debt strategy'!$D$11,3&lt;2))),1,0),IF(AND(AA316+AB316-AC316&gt;0,OR('Debt strategy'!$D$13&gt;'Debt strategy'!$D$11,AND('Debt strategy'!$D$13='Debt strategy'!$D$11,4&lt;2))),1,0)))</x:f>
        <x:v>99</x:v>
      </x:c>
      <x:c r="S316" s="6" t="n">
        <x:f>IF('Debt strategy'!$C$16&gt;0,0,MIN(O316+P316-Q316,MAX(0,'Debt strategy'!$C$5-SUM(E316,K316,Q316,W316,AC316)-SUM(IF(F316&lt;R316,C316+D316-E316,0),IF(L316&lt;R316,I316+J316-K316,0),IF(X316&lt;R316,U316+V316-W316,0),IF(AD316&lt;R316,AA316+AB316-AC316,0)))))</x:f>
        <x:v>0</x:v>
      </x:c>
      <x:c r="T316" s="6" t="n">
        <x:f>ROUND(MAX(0,O316+P316-Q316-S316),2)</x:f>
        <x:v>0</x:v>
      </x:c>
      <x:c r="U316" s="6" t="n">
        <x:f>Z315</x:f>
        <x:v>0</x:v>
      </x:c>
      <x:c r="V316" s="6" t="n">
        <x:f>ROUND(U316*'Debt strategy'!$D$12/12,2)</x:f>
        <x:v>0</x:v>
      </x:c>
      <x:c r="W316" s="6" t="n">
        <x:f>MIN(U316+V316,'Debt strategy'!$E$12)</x:f>
        <x:v>0</x:v>
      </x:c>
      <x:c r="X316" s="27" t="n">
        <x:f>IF(U316+V316-W316&lt;=0,99,1+SUM(IF(AND(C316+D316-E316&gt;0,OR('Debt strategy'!$D$9&gt;'Debt strategy'!$D$12,AND('Debt strategy'!$D$9='Debt strategy'!$D$12,0&lt;3))),1,0),IF(AND(I316+J316-K316&gt;0,OR('Debt strategy'!$D$10&gt;'Debt strategy'!$D$12,AND('Debt strategy'!$D$10='Debt strategy'!$D$12,1&lt;3))),1,0),IF(AND(O316+P316-Q316&gt;0,OR('Debt strategy'!$D$11&gt;'Debt strategy'!$D$12,AND('Debt strategy'!$D$11='Debt strategy'!$D$12,2&lt;3))),1,0),IF(AND(AA316+AB316-AC316&gt;0,OR('Debt strategy'!$D$13&gt;'Debt strategy'!$D$12,AND('Debt strategy'!$D$13='Debt strategy'!$D$12,4&lt;3))),1,0)))</x:f>
        <x:v>99</x:v>
      </x:c>
      <x:c r="Y316" s="6" t="n">
        <x:f>IF('Debt strategy'!$C$16&gt;0,0,MIN(U316+V316-W316,MAX(0,'Debt strategy'!$C$5-SUM(E316,K316,Q316,W316,AC316)-SUM(IF(F316&lt;X316,C316+D316-E316,0),IF(L316&lt;X316,I316+J316-K316,0),IF(R316&lt;X316,O316+P316-Q316,0),IF(AD316&lt;X316,AA316+AB316-AC316,0)))))</x:f>
        <x:v>0</x:v>
      </x:c>
      <x:c r="Z316" s="6" t="n">
        <x:f>ROUND(MAX(0,U316+V316-W316-Y316),2)</x:f>
        <x:v>0</x:v>
      </x:c>
      <x:c r="AA316" s="6" t="n">
        <x:f>AF315</x:f>
        <x:v>0</x:v>
      </x:c>
      <x:c r="AB316" s="6" t="n">
        <x:f>ROUND(AA316*'Debt strategy'!$D$13/12,2)</x:f>
        <x:v>0</x:v>
      </x:c>
      <x:c r="AC316" s="6" t="n">
        <x:f>MIN(AA316+AB316,'Debt strategy'!$E$13)</x:f>
        <x:v>0</x:v>
      </x:c>
      <x:c r="AD316" s="27" t="n">
        <x:f>IF(AA316+AB316-AC316&lt;=0,99,1+SUM(IF(AND(C316+D316-E316&gt;0,OR('Debt strategy'!$D$9&gt;'Debt strategy'!$D$13,AND('Debt strategy'!$D$9='Debt strategy'!$D$13,0&lt;4))),1,0),IF(AND(I316+J316-K316&gt;0,OR('Debt strategy'!$D$10&gt;'Debt strategy'!$D$13,AND('Debt strategy'!$D$10='Debt strategy'!$D$13,1&lt;4))),1,0),IF(AND(O316+P316-Q316&gt;0,OR('Debt strategy'!$D$11&gt;'Debt strategy'!$D$13,AND('Debt strategy'!$D$11='Debt strategy'!$D$13,2&lt;4))),1,0),IF(AND(U316+V316-W316&gt;0,OR('Debt strategy'!$D$12&gt;'Debt strategy'!$D$13,AND('Debt strategy'!$D$12='Debt strategy'!$D$13,3&lt;4))),1,0)))</x:f>
        <x:v>99</x:v>
      </x:c>
      <x:c r="AE316" s="6" t="n">
        <x:f>IF('Debt strategy'!$C$16&gt;0,0,MIN(AA316+AB316-AC316,MAX(0,'Debt strategy'!$C$5-SUM(E316,K316,Q316,W316,AC316)-SUM(IF(F316&lt;AD316,C316+D316-E316,0),IF(L316&lt;AD316,I316+J316-K316,0),IF(R316&lt;AD316,O316+P316-Q316,0),IF(X316&lt;AD316,U316+V316-W316,0)))))</x:f>
        <x:v>0</x:v>
      </x:c>
      <x:c r="AF316" s="6" t="n">
        <x:f>ROUND(MAX(0,AA316+AB316-AC316-AE316),2)</x:f>
        <x:v>0</x:v>
      </x:c>
      <x:c r="AG316" s="6" t="n">
        <x:f>SUM(H316,N316,T316,Z316,AF316)</x:f>
        <x:v>0</x:v>
      </x:c>
      <x:c r="AH316" s="6" t="n">
        <x:f>SUM(D316,J316,P316,V316,AB316)+AH315</x:f>
        <x:v>1220.8400000000001</x:v>
      </x:c>
      <x:c r="AI316" s="2"/>
    </x:row>
    <x:row r="317" ht="23" customHeight="1">
      <x:c r="B317" s="2" t="n">
        <x:f>309</x:f>
        <x:v>309</x:v>
      </x:c>
      <x:c r="C317" s="6" t="n">
        <x:f>H316</x:f>
        <x:v>0</x:v>
      </x:c>
      <x:c r="D317" s="6" t="n">
        <x:f>ROUND(C317*'Debt strategy'!$D$9/12,2)</x:f>
        <x:v>0</x:v>
      </x:c>
      <x:c r="E317" s="6" t="n">
        <x:f>MIN(C317+D317,'Debt strategy'!$E$9)</x:f>
        <x:v>0</x:v>
      </x:c>
      <x:c r="F317" s="27" t="n">
        <x:f>IF(C317+D317-E317&lt;=0,99,1+SUM(IF(AND(I317+J317-K317&gt;0,OR('Debt strategy'!$D$10&gt;'Debt strategy'!$D$9,AND('Debt strategy'!$D$10='Debt strategy'!$D$9,1&lt;0))),1,0),IF(AND(O317+P317-Q317&gt;0,OR('Debt strategy'!$D$11&gt;'Debt strategy'!$D$9,AND('Debt strategy'!$D$11='Debt strategy'!$D$9,2&lt;0))),1,0),IF(AND(U317+V317-W317&gt;0,OR('Debt strategy'!$D$12&gt;'Debt strategy'!$D$9,AND('Debt strategy'!$D$12='Debt strategy'!$D$9,3&lt;0))),1,0),IF(AND(AA317+AB317-AC317&gt;0,OR('Debt strategy'!$D$13&gt;'Debt strategy'!$D$9,AND('Debt strategy'!$D$13='Debt strategy'!$D$9,4&lt;0))),1,0)))</x:f>
        <x:v>99</x:v>
      </x:c>
      <x:c r="G317" s="6" t="n">
        <x:f>IF('Debt strategy'!$C$16&gt;0,0,MIN(C317+D317-E317,MAX(0,'Debt strategy'!$C$5-SUM(E317,K317,Q317,W317,AC317)-SUM(IF(L317&lt;F317,I317+J317-K317,0),IF(R317&lt;F317,O317+P317-Q317,0),IF(X317&lt;F317,U317+V317-W317,0),IF(AD317&lt;F317,AA317+AB317-AC317,0)))))</x:f>
        <x:v>0</x:v>
      </x:c>
      <x:c r="H317" s="6" t="n">
        <x:f>ROUND(MAX(0,C317+D317-E317-G317),2)</x:f>
        <x:v>0</x:v>
      </x:c>
      <x:c r="I317" s="6" t="n">
        <x:f>N316</x:f>
        <x:v>0</x:v>
      </x:c>
      <x:c r="J317" s="6" t="n">
        <x:f>ROUND(I317*'Debt strategy'!$D$10/12,2)</x:f>
        <x:v>0</x:v>
      </x:c>
      <x:c r="K317" s="6" t="n">
        <x:f>MIN(I317+J317,'Debt strategy'!$E$10)</x:f>
        <x:v>0</x:v>
      </x:c>
      <x:c r="L317" s="27" t="n">
        <x:f>IF(I317+J317-K317&lt;=0,99,1+SUM(IF(AND(C317+D317-E317&gt;0,OR('Debt strategy'!$D$9&gt;'Debt strategy'!$D$10,AND('Debt strategy'!$D$9='Debt strategy'!$D$10,0&lt;1))),1,0),IF(AND(O317+P317-Q317&gt;0,OR('Debt strategy'!$D$11&gt;'Debt strategy'!$D$10,AND('Debt strategy'!$D$11='Debt strategy'!$D$10,2&lt;1))),1,0),IF(AND(U317+V317-W317&gt;0,OR('Debt strategy'!$D$12&gt;'Debt strategy'!$D$10,AND('Debt strategy'!$D$12='Debt strategy'!$D$10,3&lt;1))),1,0),IF(AND(AA317+AB317-AC317&gt;0,OR('Debt strategy'!$D$13&gt;'Debt strategy'!$D$10,AND('Debt strategy'!$D$13='Debt strategy'!$D$10,4&lt;1))),1,0)))</x:f>
        <x:v>99</x:v>
      </x:c>
      <x:c r="M317" s="6" t="n">
        <x:f>IF('Debt strategy'!$C$16&gt;0,0,MIN(I317+J317-K317,MAX(0,'Debt strategy'!$C$5-SUM(E317,K317,Q317,W317,AC317)-SUM(IF(F317&lt;L317,C317+D317-E317,0),IF(R317&lt;L317,O317+P317-Q317,0),IF(X317&lt;L317,U317+V317-W317,0),IF(AD317&lt;L317,AA317+AB317-AC317,0)))))</x:f>
        <x:v>0</x:v>
      </x:c>
      <x:c r="N317" s="6" t="n">
        <x:f>ROUND(MAX(0,I317+J317-K317-M317),2)</x:f>
        <x:v>0</x:v>
      </x:c>
      <x:c r="O317" s="6" t="n">
        <x:f>T316</x:f>
        <x:v>0</x:v>
      </x:c>
      <x:c r="P317" s="6" t="n">
        <x:f>ROUND(O317*'Debt strategy'!$D$11/12,2)</x:f>
        <x:v>0</x:v>
      </x:c>
      <x:c r="Q317" s="6" t="n">
        <x:f>MIN(O317+P317,'Debt strategy'!$E$11)</x:f>
        <x:v>0</x:v>
      </x:c>
      <x:c r="R317" s="27" t="n">
        <x:f>IF(O317+P317-Q317&lt;=0,99,1+SUM(IF(AND(C317+D317-E317&gt;0,OR('Debt strategy'!$D$9&gt;'Debt strategy'!$D$11,AND('Debt strategy'!$D$9='Debt strategy'!$D$11,0&lt;2))),1,0),IF(AND(I317+J317-K317&gt;0,OR('Debt strategy'!$D$10&gt;'Debt strategy'!$D$11,AND('Debt strategy'!$D$10='Debt strategy'!$D$11,1&lt;2))),1,0),IF(AND(U317+V317-W317&gt;0,OR('Debt strategy'!$D$12&gt;'Debt strategy'!$D$11,AND('Debt strategy'!$D$12='Debt strategy'!$D$11,3&lt;2))),1,0),IF(AND(AA317+AB317-AC317&gt;0,OR('Debt strategy'!$D$13&gt;'Debt strategy'!$D$11,AND('Debt strategy'!$D$13='Debt strategy'!$D$11,4&lt;2))),1,0)))</x:f>
        <x:v>99</x:v>
      </x:c>
      <x:c r="S317" s="6" t="n">
        <x:f>IF('Debt strategy'!$C$16&gt;0,0,MIN(O317+P317-Q317,MAX(0,'Debt strategy'!$C$5-SUM(E317,K317,Q317,W317,AC317)-SUM(IF(F317&lt;R317,C317+D317-E317,0),IF(L317&lt;R317,I317+J317-K317,0),IF(X317&lt;R317,U317+V317-W317,0),IF(AD317&lt;R317,AA317+AB317-AC317,0)))))</x:f>
        <x:v>0</x:v>
      </x:c>
      <x:c r="T317" s="6" t="n">
        <x:f>ROUND(MAX(0,O317+P317-Q317-S317),2)</x:f>
        <x:v>0</x:v>
      </x:c>
      <x:c r="U317" s="6" t="n">
        <x:f>Z316</x:f>
        <x:v>0</x:v>
      </x:c>
      <x:c r="V317" s="6" t="n">
        <x:f>ROUND(U317*'Debt strategy'!$D$12/12,2)</x:f>
        <x:v>0</x:v>
      </x:c>
      <x:c r="W317" s="6" t="n">
        <x:f>MIN(U317+V317,'Debt strategy'!$E$12)</x:f>
        <x:v>0</x:v>
      </x:c>
      <x:c r="X317" s="27" t="n">
        <x:f>IF(U317+V317-W317&lt;=0,99,1+SUM(IF(AND(C317+D317-E317&gt;0,OR('Debt strategy'!$D$9&gt;'Debt strategy'!$D$12,AND('Debt strategy'!$D$9='Debt strategy'!$D$12,0&lt;3))),1,0),IF(AND(I317+J317-K317&gt;0,OR('Debt strategy'!$D$10&gt;'Debt strategy'!$D$12,AND('Debt strategy'!$D$10='Debt strategy'!$D$12,1&lt;3))),1,0),IF(AND(O317+P317-Q317&gt;0,OR('Debt strategy'!$D$11&gt;'Debt strategy'!$D$12,AND('Debt strategy'!$D$11='Debt strategy'!$D$12,2&lt;3))),1,0),IF(AND(AA317+AB317-AC317&gt;0,OR('Debt strategy'!$D$13&gt;'Debt strategy'!$D$12,AND('Debt strategy'!$D$13='Debt strategy'!$D$12,4&lt;3))),1,0)))</x:f>
        <x:v>99</x:v>
      </x:c>
      <x:c r="Y317" s="6" t="n">
        <x:f>IF('Debt strategy'!$C$16&gt;0,0,MIN(U317+V317-W317,MAX(0,'Debt strategy'!$C$5-SUM(E317,K317,Q317,W317,AC317)-SUM(IF(F317&lt;X317,C317+D317-E317,0),IF(L317&lt;X317,I317+J317-K317,0),IF(R317&lt;X317,O317+P317-Q317,0),IF(AD317&lt;X317,AA317+AB317-AC317,0)))))</x:f>
        <x:v>0</x:v>
      </x:c>
      <x:c r="Z317" s="6" t="n">
        <x:f>ROUND(MAX(0,U317+V317-W317-Y317),2)</x:f>
        <x:v>0</x:v>
      </x:c>
      <x:c r="AA317" s="6" t="n">
        <x:f>AF316</x:f>
        <x:v>0</x:v>
      </x:c>
      <x:c r="AB317" s="6" t="n">
        <x:f>ROUND(AA317*'Debt strategy'!$D$13/12,2)</x:f>
        <x:v>0</x:v>
      </x:c>
      <x:c r="AC317" s="6" t="n">
        <x:f>MIN(AA317+AB317,'Debt strategy'!$E$13)</x:f>
        <x:v>0</x:v>
      </x:c>
      <x:c r="AD317" s="27" t="n">
        <x:f>IF(AA317+AB317-AC317&lt;=0,99,1+SUM(IF(AND(C317+D317-E317&gt;0,OR('Debt strategy'!$D$9&gt;'Debt strategy'!$D$13,AND('Debt strategy'!$D$9='Debt strategy'!$D$13,0&lt;4))),1,0),IF(AND(I317+J317-K317&gt;0,OR('Debt strategy'!$D$10&gt;'Debt strategy'!$D$13,AND('Debt strategy'!$D$10='Debt strategy'!$D$13,1&lt;4))),1,0),IF(AND(O317+P317-Q317&gt;0,OR('Debt strategy'!$D$11&gt;'Debt strategy'!$D$13,AND('Debt strategy'!$D$11='Debt strategy'!$D$13,2&lt;4))),1,0),IF(AND(U317+V317-W317&gt;0,OR('Debt strategy'!$D$12&gt;'Debt strategy'!$D$13,AND('Debt strategy'!$D$12='Debt strategy'!$D$13,3&lt;4))),1,0)))</x:f>
        <x:v>99</x:v>
      </x:c>
      <x:c r="AE317" s="6" t="n">
        <x:f>IF('Debt strategy'!$C$16&gt;0,0,MIN(AA317+AB317-AC317,MAX(0,'Debt strategy'!$C$5-SUM(E317,K317,Q317,W317,AC317)-SUM(IF(F317&lt;AD317,C317+D317-E317,0),IF(L317&lt;AD317,I317+J317-K317,0),IF(R317&lt;AD317,O317+P317-Q317,0),IF(X317&lt;AD317,U317+V317-W317,0)))))</x:f>
        <x:v>0</x:v>
      </x:c>
      <x:c r="AF317" s="6" t="n">
        <x:f>ROUND(MAX(0,AA317+AB317-AC317-AE317),2)</x:f>
        <x:v>0</x:v>
      </x:c>
      <x:c r="AG317" s="6" t="n">
        <x:f>SUM(H317,N317,T317,Z317,AF317)</x:f>
        <x:v>0</x:v>
      </x:c>
      <x:c r="AH317" s="6" t="n">
        <x:f>SUM(D317,J317,P317,V317,AB317)+AH316</x:f>
        <x:v>1220.8400000000001</x:v>
      </x:c>
      <x:c r="AI317" s="2"/>
    </x:row>
    <x:row r="318" ht="23" customHeight="1">
      <x:c r="B318" s="2" t="n">
        <x:f>310</x:f>
        <x:v>310</x:v>
      </x:c>
      <x:c r="C318" s="6" t="n">
        <x:f>H317</x:f>
        <x:v>0</x:v>
      </x:c>
      <x:c r="D318" s="6" t="n">
        <x:f>ROUND(C318*'Debt strategy'!$D$9/12,2)</x:f>
        <x:v>0</x:v>
      </x:c>
      <x:c r="E318" s="6" t="n">
        <x:f>MIN(C318+D318,'Debt strategy'!$E$9)</x:f>
        <x:v>0</x:v>
      </x:c>
      <x:c r="F318" s="27" t="n">
        <x:f>IF(C318+D318-E318&lt;=0,99,1+SUM(IF(AND(I318+J318-K318&gt;0,OR('Debt strategy'!$D$10&gt;'Debt strategy'!$D$9,AND('Debt strategy'!$D$10='Debt strategy'!$D$9,1&lt;0))),1,0),IF(AND(O318+P318-Q318&gt;0,OR('Debt strategy'!$D$11&gt;'Debt strategy'!$D$9,AND('Debt strategy'!$D$11='Debt strategy'!$D$9,2&lt;0))),1,0),IF(AND(U318+V318-W318&gt;0,OR('Debt strategy'!$D$12&gt;'Debt strategy'!$D$9,AND('Debt strategy'!$D$12='Debt strategy'!$D$9,3&lt;0))),1,0),IF(AND(AA318+AB318-AC318&gt;0,OR('Debt strategy'!$D$13&gt;'Debt strategy'!$D$9,AND('Debt strategy'!$D$13='Debt strategy'!$D$9,4&lt;0))),1,0)))</x:f>
        <x:v>99</x:v>
      </x:c>
      <x:c r="G318" s="6" t="n">
        <x:f>IF('Debt strategy'!$C$16&gt;0,0,MIN(C318+D318-E318,MAX(0,'Debt strategy'!$C$5-SUM(E318,K318,Q318,W318,AC318)-SUM(IF(L318&lt;F318,I318+J318-K318,0),IF(R318&lt;F318,O318+P318-Q318,0),IF(X318&lt;F318,U318+V318-W318,0),IF(AD318&lt;F318,AA318+AB318-AC318,0)))))</x:f>
        <x:v>0</x:v>
      </x:c>
      <x:c r="H318" s="6" t="n">
        <x:f>ROUND(MAX(0,C318+D318-E318-G318),2)</x:f>
        <x:v>0</x:v>
      </x:c>
      <x:c r="I318" s="6" t="n">
        <x:f>N317</x:f>
        <x:v>0</x:v>
      </x:c>
      <x:c r="J318" s="6" t="n">
        <x:f>ROUND(I318*'Debt strategy'!$D$10/12,2)</x:f>
        <x:v>0</x:v>
      </x:c>
      <x:c r="K318" s="6" t="n">
        <x:f>MIN(I318+J318,'Debt strategy'!$E$10)</x:f>
        <x:v>0</x:v>
      </x:c>
      <x:c r="L318" s="27" t="n">
        <x:f>IF(I318+J318-K318&lt;=0,99,1+SUM(IF(AND(C318+D318-E318&gt;0,OR('Debt strategy'!$D$9&gt;'Debt strategy'!$D$10,AND('Debt strategy'!$D$9='Debt strategy'!$D$10,0&lt;1))),1,0),IF(AND(O318+P318-Q318&gt;0,OR('Debt strategy'!$D$11&gt;'Debt strategy'!$D$10,AND('Debt strategy'!$D$11='Debt strategy'!$D$10,2&lt;1))),1,0),IF(AND(U318+V318-W318&gt;0,OR('Debt strategy'!$D$12&gt;'Debt strategy'!$D$10,AND('Debt strategy'!$D$12='Debt strategy'!$D$10,3&lt;1))),1,0),IF(AND(AA318+AB318-AC318&gt;0,OR('Debt strategy'!$D$13&gt;'Debt strategy'!$D$10,AND('Debt strategy'!$D$13='Debt strategy'!$D$10,4&lt;1))),1,0)))</x:f>
        <x:v>99</x:v>
      </x:c>
      <x:c r="M318" s="6" t="n">
        <x:f>IF('Debt strategy'!$C$16&gt;0,0,MIN(I318+J318-K318,MAX(0,'Debt strategy'!$C$5-SUM(E318,K318,Q318,W318,AC318)-SUM(IF(F318&lt;L318,C318+D318-E318,0),IF(R318&lt;L318,O318+P318-Q318,0),IF(X318&lt;L318,U318+V318-W318,0),IF(AD318&lt;L318,AA318+AB318-AC318,0)))))</x:f>
        <x:v>0</x:v>
      </x:c>
      <x:c r="N318" s="6" t="n">
        <x:f>ROUND(MAX(0,I318+J318-K318-M318),2)</x:f>
        <x:v>0</x:v>
      </x:c>
      <x:c r="O318" s="6" t="n">
        <x:f>T317</x:f>
        <x:v>0</x:v>
      </x:c>
      <x:c r="P318" s="6" t="n">
        <x:f>ROUND(O318*'Debt strategy'!$D$11/12,2)</x:f>
        <x:v>0</x:v>
      </x:c>
      <x:c r="Q318" s="6" t="n">
        <x:f>MIN(O318+P318,'Debt strategy'!$E$11)</x:f>
        <x:v>0</x:v>
      </x:c>
      <x:c r="R318" s="27" t="n">
        <x:f>IF(O318+P318-Q318&lt;=0,99,1+SUM(IF(AND(C318+D318-E318&gt;0,OR('Debt strategy'!$D$9&gt;'Debt strategy'!$D$11,AND('Debt strategy'!$D$9='Debt strategy'!$D$11,0&lt;2))),1,0),IF(AND(I318+J318-K318&gt;0,OR('Debt strategy'!$D$10&gt;'Debt strategy'!$D$11,AND('Debt strategy'!$D$10='Debt strategy'!$D$11,1&lt;2))),1,0),IF(AND(U318+V318-W318&gt;0,OR('Debt strategy'!$D$12&gt;'Debt strategy'!$D$11,AND('Debt strategy'!$D$12='Debt strategy'!$D$11,3&lt;2))),1,0),IF(AND(AA318+AB318-AC318&gt;0,OR('Debt strategy'!$D$13&gt;'Debt strategy'!$D$11,AND('Debt strategy'!$D$13='Debt strategy'!$D$11,4&lt;2))),1,0)))</x:f>
        <x:v>99</x:v>
      </x:c>
      <x:c r="S318" s="6" t="n">
        <x:f>IF('Debt strategy'!$C$16&gt;0,0,MIN(O318+P318-Q318,MAX(0,'Debt strategy'!$C$5-SUM(E318,K318,Q318,W318,AC318)-SUM(IF(F318&lt;R318,C318+D318-E318,0),IF(L318&lt;R318,I318+J318-K318,0),IF(X318&lt;R318,U318+V318-W318,0),IF(AD318&lt;R318,AA318+AB318-AC318,0)))))</x:f>
        <x:v>0</x:v>
      </x:c>
      <x:c r="T318" s="6" t="n">
        <x:f>ROUND(MAX(0,O318+P318-Q318-S318),2)</x:f>
        <x:v>0</x:v>
      </x:c>
      <x:c r="U318" s="6" t="n">
        <x:f>Z317</x:f>
        <x:v>0</x:v>
      </x:c>
      <x:c r="V318" s="6" t="n">
        <x:f>ROUND(U318*'Debt strategy'!$D$12/12,2)</x:f>
        <x:v>0</x:v>
      </x:c>
      <x:c r="W318" s="6" t="n">
        <x:f>MIN(U318+V318,'Debt strategy'!$E$12)</x:f>
        <x:v>0</x:v>
      </x:c>
      <x:c r="X318" s="27" t="n">
        <x:f>IF(U318+V318-W318&lt;=0,99,1+SUM(IF(AND(C318+D318-E318&gt;0,OR('Debt strategy'!$D$9&gt;'Debt strategy'!$D$12,AND('Debt strategy'!$D$9='Debt strategy'!$D$12,0&lt;3))),1,0),IF(AND(I318+J318-K318&gt;0,OR('Debt strategy'!$D$10&gt;'Debt strategy'!$D$12,AND('Debt strategy'!$D$10='Debt strategy'!$D$12,1&lt;3))),1,0),IF(AND(O318+P318-Q318&gt;0,OR('Debt strategy'!$D$11&gt;'Debt strategy'!$D$12,AND('Debt strategy'!$D$11='Debt strategy'!$D$12,2&lt;3))),1,0),IF(AND(AA318+AB318-AC318&gt;0,OR('Debt strategy'!$D$13&gt;'Debt strategy'!$D$12,AND('Debt strategy'!$D$13='Debt strategy'!$D$12,4&lt;3))),1,0)))</x:f>
        <x:v>99</x:v>
      </x:c>
      <x:c r="Y318" s="6" t="n">
        <x:f>IF('Debt strategy'!$C$16&gt;0,0,MIN(U318+V318-W318,MAX(0,'Debt strategy'!$C$5-SUM(E318,K318,Q318,W318,AC318)-SUM(IF(F318&lt;X318,C318+D318-E318,0),IF(L318&lt;X318,I318+J318-K318,0),IF(R318&lt;X318,O318+P318-Q318,0),IF(AD318&lt;X318,AA318+AB318-AC318,0)))))</x:f>
        <x:v>0</x:v>
      </x:c>
      <x:c r="Z318" s="6" t="n">
        <x:f>ROUND(MAX(0,U318+V318-W318-Y318),2)</x:f>
        <x:v>0</x:v>
      </x:c>
      <x:c r="AA318" s="6" t="n">
        <x:f>AF317</x:f>
        <x:v>0</x:v>
      </x:c>
      <x:c r="AB318" s="6" t="n">
        <x:f>ROUND(AA318*'Debt strategy'!$D$13/12,2)</x:f>
        <x:v>0</x:v>
      </x:c>
      <x:c r="AC318" s="6" t="n">
        <x:f>MIN(AA318+AB318,'Debt strategy'!$E$13)</x:f>
        <x:v>0</x:v>
      </x:c>
      <x:c r="AD318" s="27" t="n">
        <x:f>IF(AA318+AB318-AC318&lt;=0,99,1+SUM(IF(AND(C318+D318-E318&gt;0,OR('Debt strategy'!$D$9&gt;'Debt strategy'!$D$13,AND('Debt strategy'!$D$9='Debt strategy'!$D$13,0&lt;4))),1,0),IF(AND(I318+J318-K318&gt;0,OR('Debt strategy'!$D$10&gt;'Debt strategy'!$D$13,AND('Debt strategy'!$D$10='Debt strategy'!$D$13,1&lt;4))),1,0),IF(AND(O318+P318-Q318&gt;0,OR('Debt strategy'!$D$11&gt;'Debt strategy'!$D$13,AND('Debt strategy'!$D$11='Debt strategy'!$D$13,2&lt;4))),1,0),IF(AND(U318+V318-W318&gt;0,OR('Debt strategy'!$D$12&gt;'Debt strategy'!$D$13,AND('Debt strategy'!$D$12='Debt strategy'!$D$13,3&lt;4))),1,0)))</x:f>
        <x:v>99</x:v>
      </x:c>
      <x:c r="AE318" s="6" t="n">
        <x:f>IF('Debt strategy'!$C$16&gt;0,0,MIN(AA318+AB318-AC318,MAX(0,'Debt strategy'!$C$5-SUM(E318,K318,Q318,W318,AC318)-SUM(IF(F318&lt;AD318,C318+D318-E318,0),IF(L318&lt;AD318,I318+J318-K318,0),IF(R318&lt;AD318,O318+P318-Q318,0),IF(X318&lt;AD318,U318+V318-W318,0)))))</x:f>
        <x:v>0</x:v>
      </x:c>
      <x:c r="AF318" s="6" t="n">
        <x:f>ROUND(MAX(0,AA318+AB318-AC318-AE318),2)</x:f>
        <x:v>0</x:v>
      </x:c>
      <x:c r="AG318" s="6" t="n">
        <x:f>SUM(H318,N318,T318,Z318,AF318)</x:f>
        <x:v>0</x:v>
      </x:c>
      <x:c r="AH318" s="6" t="n">
        <x:f>SUM(D318,J318,P318,V318,AB318)+AH317</x:f>
        <x:v>1220.8400000000001</x:v>
      </x:c>
      <x:c r="AI318" s="2"/>
    </x:row>
    <x:row r="319" ht="23" customHeight="1">
      <x:c r="B319" s="2" t="n">
        <x:f>311</x:f>
        <x:v>311</x:v>
      </x:c>
      <x:c r="C319" s="6" t="n">
        <x:f>H318</x:f>
        <x:v>0</x:v>
      </x:c>
      <x:c r="D319" s="6" t="n">
        <x:f>ROUND(C319*'Debt strategy'!$D$9/12,2)</x:f>
        <x:v>0</x:v>
      </x:c>
      <x:c r="E319" s="6" t="n">
        <x:f>MIN(C319+D319,'Debt strategy'!$E$9)</x:f>
        <x:v>0</x:v>
      </x:c>
      <x:c r="F319" s="27" t="n">
        <x:f>IF(C319+D319-E319&lt;=0,99,1+SUM(IF(AND(I319+J319-K319&gt;0,OR('Debt strategy'!$D$10&gt;'Debt strategy'!$D$9,AND('Debt strategy'!$D$10='Debt strategy'!$D$9,1&lt;0))),1,0),IF(AND(O319+P319-Q319&gt;0,OR('Debt strategy'!$D$11&gt;'Debt strategy'!$D$9,AND('Debt strategy'!$D$11='Debt strategy'!$D$9,2&lt;0))),1,0),IF(AND(U319+V319-W319&gt;0,OR('Debt strategy'!$D$12&gt;'Debt strategy'!$D$9,AND('Debt strategy'!$D$12='Debt strategy'!$D$9,3&lt;0))),1,0),IF(AND(AA319+AB319-AC319&gt;0,OR('Debt strategy'!$D$13&gt;'Debt strategy'!$D$9,AND('Debt strategy'!$D$13='Debt strategy'!$D$9,4&lt;0))),1,0)))</x:f>
        <x:v>99</x:v>
      </x:c>
      <x:c r="G319" s="6" t="n">
        <x:f>IF('Debt strategy'!$C$16&gt;0,0,MIN(C319+D319-E319,MAX(0,'Debt strategy'!$C$5-SUM(E319,K319,Q319,W319,AC319)-SUM(IF(L319&lt;F319,I319+J319-K319,0),IF(R319&lt;F319,O319+P319-Q319,0),IF(X319&lt;F319,U319+V319-W319,0),IF(AD319&lt;F319,AA319+AB319-AC319,0)))))</x:f>
        <x:v>0</x:v>
      </x:c>
      <x:c r="H319" s="6" t="n">
        <x:f>ROUND(MAX(0,C319+D319-E319-G319),2)</x:f>
        <x:v>0</x:v>
      </x:c>
      <x:c r="I319" s="6" t="n">
        <x:f>N318</x:f>
        <x:v>0</x:v>
      </x:c>
      <x:c r="J319" s="6" t="n">
        <x:f>ROUND(I319*'Debt strategy'!$D$10/12,2)</x:f>
        <x:v>0</x:v>
      </x:c>
      <x:c r="K319" s="6" t="n">
        <x:f>MIN(I319+J319,'Debt strategy'!$E$10)</x:f>
        <x:v>0</x:v>
      </x:c>
      <x:c r="L319" s="27" t="n">
        <x:f>IF(I319+J319-K319&lt;=0,99,1+SUM(IF(AND(C319+D319-E319&gt;0,OR('Debt strategy'!$D$9&gt;'Debt strategy'!$D$10,AND('Debt strategy'!$D$9='Debt strategy'!$D$10,0&lt;1))),1,0),IF(AND(O319+P319-Q319&gt;0,OR('Debt strategy'!$D$11&gt;'Debt strategy'!$D$10,AND('Debt strategy'!$D$11='Debt strategy'!$D$10,2&lt;1))),1,0),IF(AND(U319+V319-W319&gt;0,OR('Debt strategy'!$D$12&gt;'Debt strategy'!$D$10,AND('Debt strategy'!$D$12='Debt strategy'!$D$10,3&lt;1))),1,0),IF(AND(AA319+AB319-AC319&gt;0,OR('Debt strategy'!$D$13&gt;'Debt strategy'!$D$10,AND('Debt strategy'!$D$13='Debt strategy'!$D$10,4&lt;1))),1,0)))</x:f>
        <x:v>99</x:v>
      </x:c>
      <x:c r="M319" s="6" t="n">
        <x:f>IF('Debt strategy'!$C$16&gt;0,0,MIN(I319+J319-K319,MAX(0,'Debt strategy'!$C$5-SUM(E319,K319,Q319,W319,AC319)-SUM(IF(F319&lt;L319,C319+D319-E319,0),IF(R319&lt;L319,O319+P319-Q319,0),IF(X319&lt;L319,U319+V319-W319,0),IF(AD319&lt;L319,AA319+AB319-AC319,0)))))</x:f>
        <x:v>0</x:v>
      </x:c>
      <x:c r="N319" s="6" t="n">
        <x:f>ROUND(MAX(0,I319+J319-K319-M319),2)</x:f>
        <x:v>0</x:v>
      </x:c>
      <x:c r="O319" s="6" t="n">
        <x:f>T318</x:f>
        <x:v>0</x:v>
      </x:c>
      <x:c r="P319" s="6" t="n">
        <x:f>ROUND(O319*'Debt strategy'!$D$11/12,2)</x:f>
        <x:v>0</x:v>
      </x:c>
      <x:c r="Q319" s="6" t="n">
        <x:f>MIN(O319+P319,'Debt strategy'!$E$11)</x:f>
        <x:v>0</x:v>
      </x:c>
      <x:c r="R319" s="27" t="n">
        <x:f>IF(O319+P319-Q319&lt;=0,99,1+SUM(IF(AND(C319+D319-E319&gt;0,OR('Debt strategy'!$D$9&gt;'Debt strategy'!$D$11,AND('Debt strategy'!$D$9='Debt strategy'!$D$11,0&lt;2))),1,0),IF(AND(I319+J319-K319&gt;0,OR('Debt strategy'!$D$10&gt;'Debt strategy'!$D$11,AND('Debt strategy'!$D$10='Debt strategy'!$D$11,1&lt;2))),1,0),IF(AND(U319+V319-W319&gt;0,OR('Debt strategy'!$D$12&gt;'Debt strategy'!$D$11,AND('Debt strategy'!$D$12='Debt strategy'!$D$11,3&lt;2))),1,0),IF(AND(AA319+AB319-AC319&gt;0,OR('Debt strategy'!$D$13&gt;'Debt strategy'!$D$11,AND('Debt strategy'!$D$13='Debt strategy'!$D$11,4&lt;2))),1,0)))</x:f>
        <x:v>99</x:v>
      </x:c>
      <x:c r="S319" s="6" t="n">
        <x:f>IF('Debt strategy'!$C$16&gt;0,0,MIN(O319+P319-Q319,MAX(0,'Debt strategy'!$C$5-SUM(E319,K319,Q319,W319,AC319)-SUM(IF(F319&lt;R319,C319+D319-E319,0),IF(L319&lt;R319,I319+J319-K319,0),IF(X319&lt;R319,U319+V319-W319,0),IF(AD319&lt;R319,AA319+AB319-AC319,0)))))</x:f>
        <x:v>0</x:v>
      </x:c>
      <x:c r="T319" s="6" t="n">
        <x:f>ROUND(MAX(0,O319+P319-Q319-S319),2)</x:f>
        <x:v>0</x:v>
      </x:c>
      <x:c r="U319" s="6" t="n">
        <x:f>Z318</x:f>
        <x:v>0</x:v>
      </x:c>
      <x:c r="V319" s="6" t="n">
        <x:f>ROUND(U319*'Debt strategy'!$D$12/12,2)</x:f>
        <x:v>0</x:v>
      </x:c>
      <x:c r="W319" s="6" t="n">
        <x:f>MIN(U319+V319,'Debt strategy'!$E$12)</x:f>
        <x:v>0</x:v>
      </x:c>
      <x:c r="X319" s="27" t="n">
        <x:f>IF(U319+V319-W319&lt;=0,99,1+SUM(IF(AND(C319+D319-E319&gt;0,OR('Debt strategy'!$D$9&gt;'Debt strategy'!$D$12,AND('Debt strategy'!$D$9='Debt strategy'!$D$12,0&lt;3))),1,0),IF(AND(I319+J319-K319&gt;0,OR('Debt strategy'!$D$10&gt;'Debt strategy'!$D$12,AND('Debt strategy'!$D$10='Debt strategy'!$D$12,1&lt;3))),1,0),IF(AND(O319+P319-Q319&gt;0,OR('Debt strategy'!$D$11&gt;'Debt strategy'!$D$12,AND('Debt strategy'!$D$11='Debt strategy'!$D$12,2&lt;3))),1,0),IF(AND(AA319+AB319-AC319&gt;0,OR('Debt strategy'!$D$13&gt;'Debt strategy'!$D$12,AND('Debt strategy'!$D$13='Debt strategy'!$D$12,4&lt;3))),1,0)))</x:f>
        <x:v>99</x:v>
      </x:c>
      <x:c r="Y319" s="6" t="n">
        <x:f>IF('Debt strategy'!$C$16&gt;0,0,MIN(U319+V319-W319,MAX(0,'Debt strategy'!$C$5-SUM(E319,K319,Q319,W319,AC319)-SUM(IF(F319&lt;X319,C319+D319-E319,0),IF(L319&lt;X319,I319+J319-K319,0),IF(R319&lt;X319,O319+P319-Q319,0),IF(AD319&lt;X319,AA319+AB319-AC319,0)))))</x:f>
        <x:v>0</x:v>
      </x:c>
      <x:c r="Z319" s="6" t="n">
        <x:f>ROUND(MAX(0,U319+V319-W319-Y319),2)</x:f>
        <x:v>0</x:v>
      </x:c>
      <x:c r="AA319" s="6" t="n">
        <x:f>AF318</x:f>
        <x:v>0</x:v>
      </x:c>
      <x:c r="AB319" s="6" t="n">
        <x:f>ROUND(AA319*'Debt strategy'!$D$13/12,2)</x:f>
        <x:v>0</x:v>
      </x:c>
      <x:c r="AC319" s="6" t="n">
        <x:f>MIN(AA319+AB319,'Debt strategy'!$E$13)</x:f>
        <x:v>0</x:v>
      </x:c>
      <x:c r="AD319" s="27" t="n">
        <x:f>IF(AA319+AB319-AC319&lt;=0,99,1+SUM(IF(AND(C319+D319-E319&gt;0,OR('Debt strategy'!$D$9&gt;'Debt strategy'!$D$13,AND('Debt strategy'!$D$9='Debt strategy'!$D$13,0&lt;4))),1,0),IF(AND(I319+J319-K319&gt;0,OR('Debt strategy'!$D$10&gt;'Debt strategy'!$D$13,AND('Debt strategy'!$D$10='Debt strategy'!$D$13,1&lt;4))),1,0),IF(AND(O319+P319-Q319&gt;0,OR('Debt strategy'!$D$11&gt;'Debt strategy'!$D$13,AND('Debt strategy'!$D$11='Debt strategy'!$D$13,2&lt;4))),1,0),IF(AND(U319+V319-W319&gt;0,OR('Debt strategy'!$D$12&gt;'Debt strategy'!$D$13,AND('Debt strategy'!$D$12='Debt strategy'!$D$13,3&lt;4))),1,0)))</x:f>
        <x:v>99</x:v>
      </x:c>
      <x:c r="AE319" s="6" t="n">
        <x:f>IF('Debt strategy'!$C$16&gt;0,0,MIN(AA319+AB319-AC319,MAX(0,'Debt strategy'!$C$5-SUM(E319,K319,Q319,W319,AC319)-SUM(IF(F319&lt;AD319,C319+D319-E319,0),IF(L319&lt;AD319,I319+J319-K319,0),IF(R319&lt;AD319,O319+P319-Q319,0),IF(X319&lt;AD319,U319+V319-W319,0)))))</x:f>
        <x:v>0</x:v>
      </x:c>
      <x:c r="AF319" s="6" t="n">
        <x:f>ROUND(MAX(0,AA319+AB319-AC319-AE319),2)</x:f>
        <x:v>0</x:v>
      </x:c>
      <x:c r="AG319" s="6" t="n">
        <x:f>SUM(H319,N319,T319,Z319,AF319)</x:f>
        <x:v>0</x:v>
      </x:c>
      <x:c r="AH319" s="6" t="n">
        <x:f>SUM(D319,J319,P319,V319,AB319)+AH318</x:f>
        <x:v>1220.8400000000001</x:v>
      </x:c>
      <x:c r="AI319" s="2"/>
    </x:row>
    <x:row r="320" ht="23" customHeight="1">
      <x:c r="B320" s="2" t="n">
        <x:f>312</x:f>
        <x:v>312</x:v>
      </x:c>
      <x:c r="C320" s="6" t="n">
        <x:f>H319</x:f>
        <x:v>0</x:v>
      </x:c>
      <x:c r="D320" s="6" t="n">
        <x:f>ROUND(C320*'Debt strategy'!$D$9/12,2)</x:f>
        <x:v>0</x:v>
      </x:c>
      <x:c r="E320" s="6" t="n">
        <x:f>MIN(C320+D320,'Debt strategy'!$E$9)</x:f>
        <x:v>0</x:v>
      </x:c>
      <x:c r="F320" s="27" t="n">
        <x:f>IF(C320+D320-E320&lt;=0,99,1+SUM(IF(AND(I320+J320-K320&gt;0,OR('Debt strategy'!$D$10&gt;'Debt strategy'!$D$9,AND('Debt strategy'!$D$10='Debt strategy'!$D$9,1&lt;0))),1,0),IF(AND(O320+P320-Q320&gt;0,OR('Debt strategy'!$D$11&gt;'Debt strategy'!$D$9,AND('Debt strategy'!$D$11='Debt strategy'!$D$9,2&lt;0))),1,0),IF(AND(U320+V320-W320&gt;0,OR('Debt strategy'!$D$12&gt;'Debt strategy'!$D$9,AND('Debt strategy'!$D$12='Debt strategy'!$D$9,3&lt;0))),1,0),IF(AND(AA320+AB320-AC320&gt;0,OR('Debt strategy'!$D$13&gt;'Debt strategy'!$D$9,AND('Debt strategy'!$D$13='Debt strategy'!$D$9,4&lt;0))),1,0)))</x:f>
        <x:v>99</x:v>
      </x:c>
      <x:c r="G320" s="6" t="n">
        <x:f>IF('Debt strategy'!$C$16&gt;0,0,MIN(C320+D320-E320,MAX(0,'Debt strategy'!$C$5-SUM(E320,K320,Q320,W320,AC320)-SUM(IF(L320&lt;F320,I320+J320-K320,0),IF(R320&lt;F320,O320+P320-Q320,0),IF(X320&lt;F320,U320+V320-W320,0),IF(AD320&lt;F320,AA320+AB320-AC320,0)))))</x:f>
        <x:v>0</x:v>
      </x:c>
      <x:c r="H320" s="6" t="n">
        <x:f>ROUND(MAX(0,C320+D320-E320-G320),2)</x:f>
        <x:v>0</x:v>
      </x:c>
      <x:c r="I320" s="6" t="n">
        <x:f>N319</x:f>
        <x:v>0</x:v>
      </x:c>
      <x:c r="J320" s="6" t="n">
        <x:f>ROUND(I320*'Debt strategy'!$D$10/12,2)</x:f>
        <x:v>0</x:v>
      </x:c>
      <x:c r="K320" s="6" t="n">
        <x:f>MIN(I320+J320,'Debt strategy'!$E$10)</x:f>
        <x:v>0</x:v>
      </x:c>
      <x:c r="L320" s="27" t="n">
        <x:f>IF(I320+J320-K320&lt;=0,99,1+SUM(IF(AND(C320+D320-E320&gt;0,OR('Debt strategy'!$D$9&gt;'Debt strategy'!$D$10,AND('Debt strategy'!$D$9='Debt strategy'!$D$10,0&lt;1))),1,0),IF(AND(O320+P320-Q320&gt;0,OR('Debt strategy'!$D$11&gt;'Debt strategy'!$D$10,AND('Debt strategy'!$D$11='Debt strategy'!$D$10,2&lt;1))),1,0),IF(AND(U320+V320-W320&gt;0,OR('Debt strategy'!$D$12&gt;'Debt strategy'!$D$10,AND('Debt strategy'!$D$12='Debt strategy'!$D$10,3&lt;1))),1,0),IF(AND(AA320+AB320-AC320&gt;0,OR('Debt strategy'!$D$13&gt;'Debt strategy'!$D$10,AND('Debt strategy'!$D$13='Debt strategy'!$D$10,4&lt;1))),1,0)))</x:f>
        <x:v>99</x:v>
      </x:c>
      <x:c r="M320" s="6" t="n">
        <x:f>IF('Debt strategy'!$C$16&gt;0,0,MIN(I320+J320-K320,MAX(0,'Debt strategy'!$C$5-SUM(E320,K320,Q320,W320,AC320)-SUM(IF(F320&lt;L320,C320+D320-E320,0),IF(R320&lt;L320,O320+P320-Q320,0),IF(X320&lt;L320,U320+V320-W320,0),IF(AD320&lt;L320,AA320+AB320-AC320,0)))))</x:f>
        <x:v>0</x:v>
      </x:c>
      <x:c r="N320" s="6" t="n">
        <x:f>ROUND(MAX(0,I320+J320-K320-M320),2)</x:f>
        <x:v>0</x:v>
      </x:c>
      <x:c r="O320" s="6" t="n">
        <x:f>T319</x:f>
        <x:v>0</x:v>
      </x:c>
      <x:c r="P320" s="6" t="n">
        <x:f>ROUND(O320*'Debt strategy'!$D$11/12,2)</x:f>
        <x:v>0</x:v>
      </x:c>
      <x:c r="Q320" s="6" t="n">
        <x:f>MIN(O320+P320,'Debt strategy'!$E$11)</x:f>
        <x:v>0</x:v>
      </x:c>
      <x:c r="R320" s="27" t="n">
        <x:f>IF(O320+P320-Q320&lt;=0,99,1+SUM(IF(AND(C320+D320-E320&gt;0,OR('Debt strategy'!$D$9&gt;'Debt strategy'!$D$11,AND('Debt strategy'!$D$9='Debt strategy'!$D$11,0&lt;2))),1,0),IF(AND(I320+J320-K320&gt;0,OR('Debt strategy'!$D$10&gt;'Debt strategy'!$D$11,AND('Debt strategy'!$D$10='Debt strategy'!$D$11,1&lt;2))),1,0),IF(AND(U320+V320-W320&gt;0,OR('Debt strategy'!$D$12&gt;'Debt strategy'!$D$11,AND('Debt strategy'!$D$12='Debt strategy'!$D$11,3&lt;2))),1,0),IF(AND(AA320+AB320-AC320&gt;0,OR('Debt strategy'!$D$13&gt;'Debt strategy'!$D$11,AND('Debt strategy'!$D$13='Debt strategy'!$D$11,4&lt;2))),1,0)))</x:f>
        <x:v>99</x:v>
      </x:c>
      <x:c r="S320" s="6" t="n">
        <x:f>IF('Debt strategy'!$C$16&gt;0,0,MIN(O320+P320-Q320,MAX(0,'Debt strategy'!$C$5-SUM(E320,K320,Q320,W320,AC320)-SUM(IF(F320&lt;R320,C320+D320-E320,0),IF(L320&lt;R320,I320+J320-K320,0),IF(X320&lt;R320,U320+V320-W320,0),IF(AD320&lt;R320,AA320+AB320-AC320,0)))))</x:f>
        <x:v>0</x:v>
      </x:c>
      <x:c r="T320" s="6" t="n">
        <x:f>ROUND(MAX(0,O320+P320-Q320-S320),2)</x:f>
        <x:v>0</x:v>
      </x:c>
      <x:c r="U320" s="6" t="n">
        <x:f>Z319</x:f>
        <x:v>0</x:v>
      </x:c>
      <x:c r="V320" s="6" t="n">
        <x:f>ROUND(U320*'Debt strategy'!$D$12/12,2)</x:f>
        <x:v>0</x:v>
      </x:c>
      <x:c r="W320" s="6" t="n">
        <x:f>MIN(U320+V320,'Debt strategy'!$E$12)</x:f>
        <x:v>0</x:v>
      </x:c>
      <x:c r="X320" s="27" t="n">
        <x:f>IF(U320+V320-W320&lt;=0,99,1+SUM(IF(AND(C320+D320-E320&gt;0,OR('Debt strategy'!$D$9&gt;'Debt strategy'!$D$12,AND('Debt strategy'!$D$9='Debt strategy'!$D$12,0&lt;3))),1,0),IF(AND(I320+J320-K320&gt;0,OR('Debt strategy'!$D$10&gt;'Debt strategy'!$D$12,AND('Debt strategy'!$D$10='Debt strategy'!$D$12,1&lt;3))),1,0),IF(AND(O320+P320-Q320&gt;0,OR('Debt strategy'!$D$11&gt;'Debt strategy'!$D$12,AND('Debt strategy'!$D$11='Debt strategy'!$D$12,2&lt;3))),1,0),IF(AND(AA320+AB320-AC320&gt;0,OR('Debt strategy'!$D$13&gt;'Debt strategy'!$D$12,AND('Debt strategy'!$D$13='Debt strategy'!$D$12,4&lt;3))),1,0)))</x:f>
        <x:v>99</x:v>
      </x:c>
      <x:c r="Y320" s="6" t="n">
        <x:f>IF('Debt strategy'!$C$16&gt;0,0,MIN(U320+V320-W320,MAX(0,'Debt strategy'!$C$5-SUM(E320,K320,Q320,W320,AC320)-SUM(IF(F320&lt;X320,C320+D320-E320,0),IF(L320&lt;X320,I320+J320-K320,0),IF(R320&lt;X320,O320+P320-Q320,0),IF(AD320&lt;X320,AA320+AB320-AC320,0)))))</x:f>
        <x:v>0</x:v>
      </x:c>
      <x:c r="Z320" s="6" t="n">
        <x:f>ROUND(MAX(0,U320+V320-W320-Y320),2)</x:f>
        <x:v>0</x:v>
      </x:c>
      <x:c r="AA320" s="6" t="n">
        <x:f>AF319</x:f>
        <x:v>0</x:v>
      </x:c>
      <x:c r="AB320" s="6" t="n">
        <x:f>ROUND(AA320*'Debt strategy'!$D$13/12,2)</x:f>
        <x:v>0</x:v>
      </x:c>
      <x:c r="AC320" s="6" t="n">
        <x:f>MIN(AA320+AB320,'Debt strategy'!$E$13)</x:f>
        <x:v>0</x:v>
      </x:c>
      <x:c r="AD320" s="27" t="n">
        <x:f>IF(AA320+AB320-AC320&lt;=0,99,1+SUM(IF(AND(C320+D320-E320&gt;0,OR('Debt strategy'!$D$9&gt;'Debt strategy'!$D$13,AND('Debt strategy'!$D$9='Debt strategy'!$D$13,0&lt;4))),1,0),IF(AND(I320+J320-K320&gt;0,OR('Debt strategy'!$D$10&gt;'Debt strategy'!$D$13,AND('Debt strategy'!$D$10='Debt strategy'!$D$13,1&lt;4))),1,0),IF(AND(O320+P320-Q320&gt;0,OR('Debt strategy'!$D$11&gt;'Debt strategy'!$D$13,AND('Debt strategy'!$D$11='Debt strategy'!$D$13,2&lt;4))),1,0),IF(AND(U320+V320-W320&gt;0,OR('Debt strategy'!$D$12&gt;'Debt strategy'!$D$13,AND('Debt strategy'!$D$12='Debt strategy'!$D$13,3&lt;4))),1,0)))</x:f>
        <x:v>99</x:v>
      </x:c>
      <x:c r="AE320" s="6" t="n">
        <x:f>IF('Debt strategy'!$C$16&gt;0,0,MIN(AA320+AB320-AC320,MAX(0,'Debt strategy'!$C$5-SUM(E320,K320,Q320,W320,AC320)-SUM(IF(F320&lt;AD320,C320+D320-E320,0),IF(L320&lt;AD320,I320+J320-K320,0),IF(R320&lt;AD320,O320+P320-Q320,0),IF(X320&lt;AD320,U320+V320-W320,0)))))</x:f>
        <x:v>0</x:v>
      </x:c>
      <x:c r="AF320" s="6" t="n">
        <x:f>ROUND(MAX(0,AA320+AB320-AC320-AE320),2)</x:f>
        <x:v>0</x:v>
      </x:c>
      <x:c r="AG320" s="6" t="n">
        <x:f>SUM(H320,N320,T320,Z320,AF320)</x:f>
        <x:v>0</x:v>
      </x:c>
      <x:c r="AH320" s="6" t="n">
        <x:f>SUM(D320,J320,P320,V320,AB320)+AH319</x:f>
        <x:v>1220.8400000000001</x:v>
      </x:c>
      <x:c r="AI320" s="2"/>
    </x:row>
    <x:row r="321" ht="23" customHeight="1">
      <x:c r="B321" s="2" t="n">
        <x:f>313</x:f>
        <x:v>313</x:v>
      </x:c>
      <x:c r="C321" s="6" t="n">
        <x:f>H320</x:f>
        <x:v>0</x:v>
      </x:c>
      <x:c r="D321" s="6" t="n">
        <x:f>ROUND(C321*'Debt strategy'!$D$9/12,2)</x:f>
        <x:v>0</x:v>
      </x:c>
      <x:c r="E321" s="6" t="n">
        <x:f>MIN(C321+D321,'Debt strategy'!$E$9)</x:f>
        <x:v>0</x:v>
      </x:c>
      <x:c r="F321" s="27" t="n">
        <x:f>IF(C321+D321-E321&lt;=0,99,1+SUM(IF(AND(I321+J321-K321&gt;0,OR('Debt strategy'!$D$10&gt;'Debt strategy'!$D$9,AND('Debt strategy'!$D$10='Debt strategy'!$D$9,1&lt;0))),1,0),IF(AND(O321+P321-Q321&gt;0,OR('Debt strategy'!$D$11&gt;'Debt strategy'!$D$9,AND('Debt strategy'!$D$11='Debt strategy'!$D$9,2&lt;0))),1,0),IF(AND(U321+V321-W321&gt;0,OR('Debt strategy'!$D$12&gt;'Debt strategy'!$D$9,AND('Debt strategy'!$D$12='Debt strategy'!$D$9,3&lt;0))),1,0),IF(AND(AA321+AB321-AC321&gt;0,OR('Debt strategy'!$D$13&gt;'Debt strategy'!$D$9,AND('Debt strategy'!$D$13='Debt strategy'!$D$9,4&lt;0))),1,0)))</x:f>
        <x:v>99</x:v>
      </x:c>
      <x:c r="G321" s="6" t="n">
        <x:f>IF('Debt strategy'!$C$16&gt;0,0,MIN(C321+D321-E321,MAX(0,'Debt strategy'!$C$5-SUM(E321,K321,Q321,W321,AC321)-SUM(IF(L321&lt;F321,I321+J321-K321,0),IF(R321&lt;F321,O321+P321-Q321,0),IF(X321&lt;F321,U321+V321-W321,0),IF(AD321&lt;F321,AA321+AB321-AC321,0)))))</x:f>
        <x:v>0</x:v>
      </x:c>
      <x:c r="H321" s="6" t="n">
        <x:f>ROUND(MAX(0,C321+D321-E321-G321),2)</x:f>
        <x:v>0</x:v>
      </x:c>
      <x:c r="I321" s="6" t="n">
        <x:f>N320</x:f>
        <x:v>0</x:v>
      </x:c>
      <x:c r="J321" s="6" t="n">
        <x:f>ROUND(I321*'Debt strategy'!$D$10/12,2)</x:f>
        <x:v>0</x:v>
      </x:c>
      <x:c r="K321" s="6" t="n">
        <x:f>MIN(I321+J321,'Debt strategy'!$E$10)</x:f>
        <x:v>0</x:v>
      </x:c>
      <x:c r="L321" s="27" t="n">
        <x:f>IF(I321+J321-K321&lt;=0,99,1+SUM(IF(AND(C321+D321-E321&gt;0,OR('Debt strategy'!$D$9&gt;'Debt strategy'!$D$10,AND('Debt strategy'!$D$9='Debt strategy'!$D$10,0&lt;1))),1,0),IF(AND(O321+P321-Q321&gt;0,OR('Debt strategy'!$D$11&gt;'Debt strategy'!$D$10,AND('Debt strategy'!$D$11='Debt strategy'!$D$10,2&lt;1))),1,0),IF(AND(U321+V321-W321&gt;0,OR('Debt strategy'!$D$12&gt;'Debt strategy'!$D$10,AND('Debt strategy'!$D$12='Debt strategy'!$D$10,3&lt;1))),1,0),IF(AND(AA321+AB321-AC321&gt;0,OR('Debt strategy'!$D$13&gt;'Debt strategy'!$D$10,AND('Debt strategy'!$D$13='Debt strategy'!$D$10,4&lt;1))),1,0)))</x:f>
        <x:v>99</x:v>
      </x:c>
      <x:c r="M321" s="6" t="n">
        <x:f>IF('Debt strategy'!$C$16&gt;0,0,MIN(I321+J321-K321,MAX(0,'Debt strategy'!$C$5-SUM(E321,K321,Q321,W321,AC321)-SUM(IF(F321&lt;L321,C321+D321-E321,0),IF(R321&lt;L321,O321+P321-Q321,0),IF(X321&lt;L321,U321+V321-W321,0),IF(AD321&lt;L321,AA321+AB321-AC321,0)))))</x:f>
        <x:v>0</x:v>
      </x:c>
      <x:c r="N321" s="6" t="n">
        <x:f>ROUND(MAX(0,I321+J321-K321-M321),2)</x:f>
        <x:v>0</x:v>
      </x:c>
      <x:c r="O321" s="6" t="n">
        <x:f>T320</x:f>
        <x:v>0</x:v>
      </x:c>
      <x:c r="P321" s="6" t="n">
        <x:f>ROUND(O321*'Debt strategy'!$D$11/12,2)</x:f>
        <x:v>0</x:v>
      </x:c>
      <x:c r="Q321" s="6" t="n">
        <x:f>MIN(O321+P321,'Debt strategy'!$E$11)</x:f>
        <x:v>0</x:v>
      </x:c>
      <x:c r="R321" s="27" t="n">
        <x:f>IF(O321+P321-Q321&lt;=0,99,1+SUM(IF(AND(C321+D321-E321&gt;0,OR('Debt strategy'!$D$9&gt;'Debt strategy'!$D$11,AND('Debt strategy'!$D$9='Debt strategy'!$D$11,0&lt;2))),1,0),IF(AND(I321+J321-K321&gt;0,OR('Debt strategy'!$D$10&gt;'Debt strategy'!$D$11,AND('Debt strategy'!$D$10='Debt strategy'!$D$11,1&lt;2))),1,0),IF(AND(U321+V321-W321&gt;0,OR('Debt strategy'!$D$12&gt;'Debt strategy'!$D$11,AND('Debt strategy'!$D$12='Debt strategy'!$D$11,3&lt;2))),1,0),IF(AND(AA321+AB321-AC321&gt;0,OR('Debt strategy'!$D$13&gt;'Debt strategy'!$D$11,AND('Debt strategy'!$D$13='Debt strategy'!$D$11,4&lt;2))),1,0)))</x:f>
        <x:v>99</x:v>
      </x:c>
      <x:c r="S321" s="6" t="n">
        <x:f>IF('Debt strategy'!$C$16&gt;0,0,MIN(O321+P321-Q321,MAX(0,'Debt strategy'!$C$5-SUM(E321,K321,Q321,W321,AC321)-SUM(IF(F321&lt;R321,C321+D321-E321,0),IF(L321&lt;R321,I321+J321-K321,0),IF(X321&lt;R321,U321+V321-W321,0),IF(AD321&lt;R321,AA321+AB321-AC321,0)))))</x:f>
        <x:v>0</x:v>
      </x:c>
      <x:c r="T321" s="6" t="n">
        <x:f>ROUND(MAX(0,O321+P321-Q321-S321),2)</x:f>
        <x:v>0</x:v>
      </x:c>
      <x:c r="U321" s="6" t="n">
        <x:f>Z320</x:f>
        <x:v>0</x:v>
      </x:c>
      <x:c r="V321" s="6" t="n">
        <x:f>ROUND(U321*'Debt strategy'!$D$12/12,2)</x:f>
        <x:v>0</x:v>
      </x:c>
      <x:c r="W321" s="6" t="n">
        <x:f>MIN(U321+V321,'Debt strategy'!$E$12)</x:f>
        <x:v>0</x:v>
      </x:c>
      <x:c r="X321" s="27" t="n">
        <x:f>IF(U321+V321-W321&lt;=0,99,1+SUM(IF(AND(C321+D321-E321&gt;0,OR('Debt strategy'!$D$9&gt;'Debt strategy'!$D$12,AND('Debt strategy'!$D$9='Debt strategy'!$D$12,0&lt;3))),1,0),IF(AND(I321+J321-K321&gt;0,OR('Debt strategy'!$D$10&gt;'Debt strategy'!$D$12,AND('Debt strategy'!$D$10='Debt strategy'!$D$12,1&lt;3))),1,0),IF(AND(O321+P321-Q321&gt;0,OR('Debt strategy'!$D$11&gt;'Debt strategy'!$D$12,AND('Debt strategy'!$D$11='Debt strategy'!$D$12,2&lt;3))),1,0),IF(AND(AA321+AB321-AC321&gt;0,OR('Debt strategy'!$D$13&gt;'Debt strategy'!$D$12,AND('Debt strategy'!$D$13='Debt strategy'!$D$12,4&lt;3))),1,0)))</x:f>
        <x:v>99</x:v>
      </x:c>
      <x:c r="Y321" s="6" t="n">
        <x:f>IF('Debt strategy'!$C$16&gt;0,0,MIN(U321+V321-W321,MAX(0,'Debt strategy'!$C$5-SUM(E321,K321,Q321,W321,AC321)-SUM(IF(F321&lt;X321,C321+D321-E321,0),IF(L321&lt;X321,I321+J321-K321,0),IF(R321&lt;X321,O321+P321-Q321,0),IF(AD321&lt;X321,AA321+AB321-AC321,0)))))</x:f>
        <x:v>0</x:v>
      </x:c>
      <x:c r="Z321" s="6" t="n">
        <x:f>ROUND(MAX(0,U321+V321-W321-Y321),2)</x:f>
        <x:v>0</x:v>
      </x:c>
      <x:c r="AA321" s="6" t="n">
        <x:f>AF320</x:f>
        <x:v>0</x:v>
      </x:c>
      <x:c r="AB321" s="6" t="n">
        <x:f>ROUND(AA321*'Debt strategy'!$D$13/12,2)</x:f>
        <x:v>0</x:v>
      </x:c>
      <x:c r="AC321" s="6" t="n">
        <x:f>MIN(AA321+AB321,'Debt strategy'!$E$13)</x:f>
        <x:v>0</x:v>
      </x:c>
      <x:c r="AD321" s="27" t="n">
        <x:f>IF(AA321+AB321-AC321&lt;=0,99,1+SUM(IF(AND(C321+D321-E321&gt;0,OR('Debt strategy'!$D$9&gt;'Debt strategy'!$D$13,AND('Debt strategy'!$D$9='Debt strategy'!$D$13,0&lt;4))),1,0),IF(AND(I321+J321-K321&gt;0,OR('Debt strategy'!$D$10&gt;'Debt strategy'!$D$13,AND('Debt strategy'!$D$10='Debt strategy'!$D$13,1&lt;4))),1,0),IF(AND(O321+P321-Q321&gt;0,OR('Debt strategy'!$D$11&gt;'Debt strategy'!$D$13,AND('Debt strategy'!$D$11='Debt strategy'!$D$13,2&lt;4))),1,0),IF(AND(U321+V321-W321&gt;0,OR('Debt strategy'!$D$12&gt;'Debt strategy'!$D$13,AND('Debt strategy'!$D$12='Debt strategy'!$D$13,3&lt;4))),1,0)))</x:f>
        <x:v>99</x:v>
      </x:c>
      <x:c r="AE321" s="6" t="n">
        <x:f>IF('Debt strategy'!$C$16&gt;0,0,MIN(AA321+AB321-AC321,MAX(0,'Debt strategy'!$C$5-SUM(E321,K321,Q321,W321,AC321)-SUM(IF(F321&lt;AD321,C321+D321-E321,0),IF(L321&lt;AD321,I321+J321-K321,0),IF(R321&lt;AD321,O321+P321-Q321,0),IF(X321&lt;AD321,U321+V321-W321,0)))))</x:f>
        <x:v>0</x:v>
      </x:c>
      <x:c r="AF321" s="6" t="n">
        <x:f>ROUND(MAX(0,AA321+AB321-AC321-AE321),2)</x:f>
        <x:v>0</x:v>
      </x:c>
      <x:c r="AG321" s="6" t="n">
        <x:f>SUM(H321,N321,T321,Z321,AF321)</x:f>
        <x:v>0</x:v>
      </x:c>
      <x:c r="AH321" s="6" t="n">
        <x:f>SUM(D321,J321,P321,V321,AB321)+AH320</x:f>
        <x:v>1220.8400000000001</x:v>
      </x:c>
      <x:c r="AI321" s="2"/>
    </x:row>
    <x:row r="322" ht="23" customHeight="1">
      <x:c r="B322" s="2" t="n">
        <x:f>314</x:f>
        <x:v>314</x:v>
      </x:c>
      <x:c r="C322" s="6" t="n">
        <x:f>H321</x:f>
        <x:v>0</x:v>
      </x:c>
      <x:c r="D322" s="6" t="n">
        <x:f>ROUND(C322*'Debt strategy'!$D$9/12,2)</x:f>
        <x:v>0</x:v>
      </x:c>
      <x:c r="E322" s="6" t="n">
        <x:f>MIN(C322+D322,'Debt strategy'!$E$9)</x:f>
        <x:v>0</x:v>
      </x:c>
      <x:c r="F322" s="27" t="n">
        <x:f>IF(C322+D322-E322&lt;=0,99,1+SUM(IF(AND(I322+J322-K322&gt;0,OR('Debt strategy'!$D$10&gt;'Debt strategy'!$D$9,AND('Debt strategy'!$D$10='Debt strategy'!$D$9,1&lt;0))),1,0),IF(AND(O322+P322-Q322&gt;0,OR('Debt strategy'!$D$11&gt;'Debt strategy'!$D$9,AND('Debt strategy'!$D$11='Debt strategy'!$D$9,2&lt;0))),1,0),IF(AND(U322+V322-W322&gt;0,OR('Debt strategy'!$D$12&gt;'Debt strategy'!$D$9,AND('Debt strategy'!$D$12='Debt strategy'!$D$9,3&lt;0))),1,0),IF(AND(AA322+AB322-AC322&gt;0,OR('Debt strategy'!$D$13&gt;'Debt strategy'!$D$9,AND('Debt strategy'!$D$13='Debt strategy'!$D$9,4&lt;0))),1,0)))</x:f>
        <x:v>99</x:v>
      </x:c>
      <x:c r="G322" s="6" t="n">
        <x:f>IF('Debt strategy'!$C$16&gt;0,0,MIN(C322+D322-E322,MAX(0,'Debt strategy'!$C$5-SUM(E322,K322,Q322,W322,AC322)-SUM(IF(L322&lt;F322,I322+J322-K322,0),IF(R322&lt;F322,O322+P322-Q322,0),IF(X322&lt;F322,U322+V322-W322,0),IF(AD322&lt;F322,AA322+AB322-AC322,0)))))</x:f>
        <x:v>0</x:v>
      </x:c>
      <x:c r="H322" s="6" t="n">
        <x:f>ROUND(MAX(0,C322+D322-E322-G322),2)</x:f>
        <x:v>0</x:v>
      </x:c>
      <x:c r="I322" s="6" t="n">
        <x:f>N321</x:f>
        <x:v>0</x:v>
      </x:c>
      <x:c r="J322" s="6" t="n">
        <x:f>ROUND(I322*'Debt strategy'!$D$10/12,2)</x:f>
        <x:v>0</x:v>
      </x:c>
      <x:c r="K322" s="6" t="n">
        <x:f>MIN(I322+J322,'Debt strategy'!$E$10)</x:f>
        <x:v>0</x:v>
      </x:c>
      <x:c r="L322" s="27" t="n">
        <x:f>IF(I322+J322-K322&lt;=0,99,1+SUM(IF(AND(C322+D322-E322&gt;0,OR('Debt strategy'!$D$9&gt;'Debt strategy'!$D$10,AND('Debt strategy'!$D$9='Debt strategy'!$D$10,0&lt;1))),1,0),IF(AND(O322+P322-Q322&gt;0,OR('Debt strategy'!$D$11&gt;'Debt strategy'!$D$10,AND('Debt strategy'!$D$11='Debt strategy'!$D$10,2&lt;1))),1,0),IF(AND(U322+V322-W322&gt;0,OR('Debt strategy'!$D$12&gt;'Debt strategy'!$D$10,AND('Debt strategy'!$D$12='Debt strategy'!$D$10,3&lt;1))),1,0),IF(AND(AA322+AB322-AC322&gt;0,OR('Debt strategy'!$D$13&gt;'Debt strategy'!$D$10,AND('Debt strategy'!$D$13='Debt strategy'!$D$10,4&lt;1))),1,0)))</x:f>
        <x:v>99</x:v>
      </x:c>
      <x:c r="M322" s="6" t="n">
        <x:f>IF('Debt strategy'!$C$16&gt;0,0,MIN(I322+J322-K322,MAX(0,'Debt strategy'!$C$5-SUM(E322,K322,Q322,W322,AC322)-SUM(IF(F322&lt;L322,C322+D322-E322,0),IF(R322&lt;L322,O322+P322-Q322,0),IF(X322&lt;L322,U322+V322-W322,0),IF(AD322&lt;L322,AA322+AB322-AC322,0)))))</x:f>
        <x:v>0</x:v>
      </x:c>
      <x:c r="N322" s="6" t="n">
        <x:f>ROUND(MAX(0,I322+J322-K322-M322),2)</x:f>
        <x:v>0</x:v>
      </x:c>
      <x:c r="O322" s="6" t="n">
        <x:f>T321</x:f>
        <x:v>0</x:v>
      </x:c>
      <x:c r="P322" s="6" t="n">
        <x:f>ROUND(O322*'Debt strategy'!$D$11/12,2)</x:f>
        <x:v>0</x:v>
      </x:c>
      <x:c r="Q322" s="6" t="n">
        <x:f>MIN(O322+P322,'Debt strategy'!$E$11)</x:f>
        <x:v>0</x:v>
      </x:c>
      <x:c r="R322" s="27" t="n">
        <x:f>IF(O322+P322-Q322&lt;=0,99,1+SUM(IF(AND(C322+D322-E322&gt;0,OR('Debt strategy'!$D$9&gt;'Debt strategy'!$D$11,AND('Debt strategy'!$D$9='Debt strategy'!$D$11,0&lt;2))),1,0),IF(AND(I322+J322-K322&gt;0,OR('Debt strategy'!$D$10&gt;'Debt strategy'!$D$11,AND('Debt strategy'!$D$10='Debt strategy'!$D$11,1&lt;2))),1,0),IF(AND(U322+V322-W322&gt;0,OR('Debt strategy'!$D$12&gt;'Debt strategy'!$D$11,AND('Debt strategy'!$D$12='Debt strategy'!$D$11,3&lt;2))),1,0),IF(AND(AA322+AB322-AC322&gt;0,OR('Debt strategy'!$D$13&gt;'Debt strategy'!$D$11,AND('Debt strategy'!$D$13='Debt strategy'!$D$11,4&lt;2))),1,0)))</x:f>
        <x:v>99</x:v>
      </x:c>
      <x:c r="S322" s="6" t="n">
        <x:f>IF('Debt strategy'!$C$16&gt;0,0,MIN(O322+P322-Q322,MAX(0,'Debt strategy'!$C$5-SUM(E322,K322,Q322,W322,AC322)-SUM(IF(F322&lt;R322,C322+D322-E322,0),IF(L322&lt;R322,I322+J322-K322,0),IF(X322&lt;R322,U322+V322-W322,0),IF(AD322&lt;R322,AA322+AB322-AC322,0)))))</x:f>
        <x:v>0</x:v>
      </x:c>
      <x:c r="T322" s="6" t="n">
        <x:f>ROUND(MAX(0,O322+P322-Q322-S322),2)</x:f>
        <x:v>0</x:v>
      </x:c>
      <x:c r="U322" s="6" t="n">
        <x:f>Z321</x:f>
        <x:v>0</x:v>
      </x:c>
      <x:c r="V322" s="6" t="n">
        <x:f>ROUND(U322*'Debt strategy'!$D$12/12,2)</x:f>
        <x:v>0</x:v>
      </x:c>
      <x:c r="W322" s="6" t="n">
        <x:f>MIN(U322+V322,'Debt strategy'!$E$12)</x:f>
        <x:v>0</x:v>
      </x:c>
      <x:c r="X322" s="27" t="n">
        <x:f>IF(U322+V322-W322&lt;=0,99,1+SUM(IF(AND(C322+D322-E322&gt;0,OR('Debt strategy'!$D$9&gt;'Debt strategy'!$D$12,AND('Debt strategy'!$D$9='Debt strategy'!$D$12,0&lt;3))),1,0),IF(AND(I322+J322-K322&gt;0,OR('Debt strategy'!$D$10&gt;'Debt strategy'!$D$12,AND('Debt strategy'!$D$10='Debt strategy'!$D$12,1&lt;3))),1,0),IF(AND(O322+P322-Q322&gt;0,OR('Debt strategy'!$D$11&gt;'Debt strategy'!$D$12,AND('Debt strategy'!$D$11='Debt strategy'!$D$12,2&lt;3))),1,0),IF(AND(AA322+AB322-AC322&gt;0,OR('Debt strategy'!$D$13&gt;'Debt strategy'!$D$12,AND('Debt strategy'!$D$13='Debt strategy'!$D$12,4&lt;3))),1,0)))</x:f>
        <x:v>99</x:v>
      </x:c>
      <x:c r="Y322" s="6" t="n">
        <x:f>IF('Debt strategy'!$C$16&gt;0,0,MIN(U322+V322-W322,MAX(0,'Debt strategy'!$C$5-SUM(E322,K322,Q322,W322,AC322)-SUM(IF(F322&lt;X322,C322+D322-E322,0),IF(L322&lt;X322,I322+J322-K322,0),IF(R322&lt;X322,O322+P322-Q322,0),IF(AD322&lt;X322,AA322+AB322-AC322,0)))))</x:f>
        <x:v>0</x:v>
      </x:c>
      <x:c r="Z322" s="6" t="n">
        <x:f>ROUND(MAX(0,U322+V322-W322-Y322),2)</x:f>
        <x:v>0</x:v>
      </x:c>
      <x:c r="AA322" s="6" t="n">
        <x:f>AF321</x:f>
        <x:v>0</x:v>
      </x:c>
      <x:c r="AB322" s="6" t="n">
        <x:f>ROUND(AA322*'Debt strategy'!$D$13/12,2)</x:f>
        <x:v>0</x:v>
      </x:c>
      <x:c r="AC322" s="6" t="n">
        <x:f>MIN(AA322+AB322,'Debt strategy'!$E$13)</x:f>
        <x:v>0</x:v>
      </x:c>
      <x:c r="AD322" s="27" t="n">
        <x:f>IF(AA322+AB322-AC322&lt;=0,99,1+SUM(IF(AND(C322+D322-E322&gt;0,OR('Debt strategy'!$D$9&gt;'Debt strategy'!$D$13,AND('Debt strategy'!$D$9='Debt strategy'!$D$13,0&lt;4))),1,0),IF(AND(I322+J322-K322&gt;0,OR('Debt strategy'!$D$10&gt;'Debt strategy'!$D$13,AND('Debt strategy'!$D$10='Debt strategy'!$D$13,1&lt;4))),1,0),IF(AND(O322+P322-Q322&gt;0,OR('Debt strategy'!$D$11&gt;'Debt strategy'!$D$13,AND('Debt strategy'!$D$11='Debt strategy'!$D$13,2&lt;4))),1,0),IF(AND(U322+V322-W322&gt;0,OR('Debt strategy'!$D$12&gt;'Debt strategy'!$D$13,AND('Debt strategy'!$D$12='Debt strategy'!$D$13,3&lt;4))),1,0)))</x:f>
        <x:v>99</x:v>
      </x:c>
      <x:c r="AE322" s="6" t="n">
        <x:f>IF('Debt strategy'!$C$16&gt;0,0,MIN(AA322+AB322-AC322,MAX(0,'Debt strategy'!$C$5-SUM(E322,K322,Q322,W322,AC322)-SUM(IF(F322&lt;AD322,C322+D322-E322,0),IF(L322&lt;AD322,I322+J322-K322,0),IF(R322&lt;AD322,O322+P322-Q322,0),IF(X322&lt;AD322,U322+V322-W322,0)))))</x:f>
        <x:v>0</x:v>
      </x:c>
      <x:c r="AF322" s="6" t="n">
        <x:f>ROUND(MAX(0,AA322+AB322-AC322-AE322),2)</x:f>
        <x:v>0</x:v>
      </x:c>
      <x:c r="AG322" s="6" t="n">
        <x:f>SUM(H322,N322,T322,Z322,AF322)</x:f>
        <x:v>0</x:v>
      </x:c>
      <x:c r="AH322" s="6" t="n">
        <x:f>SUM(D322,J322,P322,V322,AB322)+AH321</x:f>
        <x:v>1220.8400000000001</x:v>
      </x:c>
      <x:c r="AI322" s="2"/>
    </x:row>
    <x:row r="323" ht="23" customHeight="1">
      <x:c r="B323" s="2" t="n">
        <x:f>315</x:f>
        <x:v>315</x:v>
      </x:c>
      <x:c r="C323" s="6" t="n">
        <x:f>H322</x:f>
        <x:v>0</x:v>
      </x:c>
      <x:c r="D323" s="6" t="n">
        <x:f>ROUND(C323*'Debt strategy'!$D$9/12,2)</x:f>
        <x:v>0</x:v>
      </x:c>
      <x:c r="E323" s="6" t="n">
        <x:f>MIN(C323+D323,'Debt strategy'!$E$9)</x:f>
        <x:v>0</x:v>
      </x:c>
      <x:c r="F323" s="27" t="n">
        <x:f>IF(C323+D323-E323&lt;=0,99,1+SUM(IF(AND(I323+J323-K323&gt;0,OR('Debt strategy'!$D$10&gt;'Debt strategy'!$D$9,AND('Debt strategy'!$D$10='Debt strategy'!$D$9,1&lt;0))),1,0),IF(AND(O323+P323-Q323&gt;0,OR('Debt strategy'!$D$11&gt;'Debt strategy'!$D$9,AND('Debt strategy'!$D$11='Debt strategy'!$D$9,2&lt;0))),1,0),IF(AND(U323+V323-W323&gt;0,OR('Debt strategy'!$D$12&gt;'Debt strategy'!$D$9,AND('Debt strategy'!$D$12='Debt strategy'!$D$9,3&lt;0))),1,0),IF(AND(AA323+AB323-AC323&gt;0,OR('Debt strategy'!$D$13&gt;'Debt strategy'!$D$9,AND('Debt strategy'!$D$13='Debt strategy'!$D$9,4&lt;0))),1,0)))</x:f>
        <x:v>99</x:v>
      </x:c>
      <x:c r="G323" s="6" t="n">
        <x:f>IF('Debt strategy'!$C$16&gt;0,0,MIN(C323+D323-E323,MAX(0,'Debt strategy'!$C$5-SUM(E323,K323,Q323,W323,AC323)-SUM(IF(L323&lt;F323,I323+J323-K323,0),IF(R323&lt;F323,O323+P323-Q323,0),IF(X323&lt;F323,U323+V323-W323,0),IF(AD323&lt;F323,AA323+AB323-AC323,0)))))</x:f>
        <x:v>0</x:v>
      </x:c>
      <x:c r="H323" s="6" t="n">
        <x:f>ROUND(MAX(0,C323+D323-E323-G323),2)</x:f>
        <x:v>0</x:v>
      </x:c>
      <x:c r="I323" s="6" t="n">
        <x:f>N322</x:f>
        <x:v>0</x:v>
      </x:c>
      <x:c r="J323" s="6" t="n">
        <x:f>ROUND(I323*'Debt strategy'!$D$10/12,2)</x:f>
        <x:v>0</x:v>
      </x:c>
      <x:c r="K323" s="6" t="n">
        <x:f>MIN(I323+J323,'Debt strategy'!$E$10)</x:f>
        <x:v>0</x:v>
      </x:c>
      <x:c r="L323" s="27" t="n">
        <x:f>IF(I323+J323-K323&lt;=0,99,1+SUM(IF(AND(C323+D323-E323&gt;0,OR('Debt strategy'!$D$9&gt;'Debt strategy'!$D$10,AND('Debt strategy'!$D$9='Debt strategy'!$D$10,0&lt;1))),1,0),IF(AND(O323+P323-Q323&gt;0,OR('Debt strategy'!$D$11&gt;'Debt strategy'!$D$10,AND('Debt strategy'!$D$11='Debt strategy'!$D$10,2&lt;1))),1,0),IF(AND(U323+V323-W323&gt;0,OR('Debt strategy'!$D$12&gt;'Debt strategy'!$D$10,AND('Debt strategy'!$D$12='Debt strategy'!$D$10,3&lt;1))),1,0),IF(AND(AA323+AB323-AC323&gt;0,OR('Debt strategy'!$D$13&gt;'Debt strategy'!$D$10,AND('Debt strategy'!$D$13='Debt strategy'!$D$10,4&lt;1))),1,0)))</x:f>
        <x:v>99</x:v>
      </x:c>
      <x:c r="M323" s="6" t="n">
        <x:f>IF('Debt strategy'!$C$16&gt;0,0,MIN(I323+J323-K323,MAX(0,'Debt strategy'!$C$5-SUM(E323,K323,Q323,W323,AC323)-SUM(IF(F323&lt;L323,C323+D323-E323,0),IF(R323&lt;L323,O323+P323-Q323,0),IF(X323&lt;L323,U323+V323-W323,0),IF(AD323&lt;L323,AA323+AB323-AC323,0)))))</x:f>
        <x:v>0</x:v>
      </x:c>
      <x:c r="N323" s="6" t="n">
        <x:f>ROUND(MAX(0,I323+J323-K323-M323),2)</x:f>
        <x:v>0</x:v>
      </x:c>
      <x:c r="O323" s="6" t="n">
        <x:f>T322</x:f>
        <x:v>0</x:v>
      </x:c>
      <x:c r="P323" s="6" t="n">
        <x:f>ROUND(O323*'Debt strategy'!$D$11/12,2)</x:f>
        <x:v>0</x:v>
      </x:c>
      <x:c r="Q323" s="6" t="n">
        <x:f>MIN(O323+P323,'Debt strategy'!$E$11)</x:f>
        <x:v>0</x:v>
      </x:c>
      <x:c r="R323" s="27" t="n">
        <x:f>IF(O323+P323-Q323&lt;=0,99,1+SUM(IF(AND(C323+D323-E323&gt;0,OR('Debt strategy'!$D$9&gt;'Debt strategy'!$D$11,AND('Debt strategy'!$D$9='Debt strategy'!$D$11,0&lt;2))),1,0),IF(AND(I323+J323-K323&gt;0,OR('Debt strategy'!$D$10&gt;'Debt strategy'!$D$11,AND('Debt strategy'!$D$10='Debt strategy'!$D$11,1&lt;2))),1,0),IF(AND(U323+V323-W323&gt;0,OR('Debt strategy'!$D$12&gt;'Debt strategy'!$D$11,AND('Debt strategy'!$D$12='Debt strategy'!$D$11,3&lt;2))),1,0),IF(AND(AA323+AB323-AC323&gt;0,OR('Debt strategy'!$D$13&gt;'Debt strategy'!$D$11,AND('Debt strategy'!$D$13='Debt strategy'!$D$11,4&lt;2))),1,0)))</x:f>
        <x:v>99</x:v>
      </x:c>
      <x:c r="S323" s="6" t="n">
        <x:f>IF('Debt strategy'!$C$16&gt;0,0,MIN(O323+P323-Q323,MAX(0,'Debt strategy'!$C$5-SUM(E323,K323,Q323,W323,AC323)-SUM(IF(F323&lt;R323,C323+D323-E323,0),IF(L323&lt;R323,I323+J323-K323,0),IF(X323&lt;R323,U323+V323-W323,0),IF(AD323&lt;R323,AA323+AB323-AC323,0)))))</x:f>
        <x:v>0</x:v>
      </x:c>
      <x:c r="T323" s="6" t="n">
        <x:f>ROUND(MAX(0,O323+P323-Q323-S323),2)</x:f>
        <x:v>0</x:v>
      </x:c>
      <x:c r="U323" s="6" t="n">
        <x:f>Z322</x:f>
        <x:v>0</x:v>
      </x:c>
      <x:c r="V323" s="6" t="n">
        <x:f>ROUND(U323*'Debt strategy'!$D$12/12,2)</x:f>
        <x:v>0</x:v>
      </x:c>
      <x:c r="W323" s="6" t="n">
        <x:f>MIN(U323+V323,'Debt strategy'!$E$12)</x:f>
        <x:v>0</x:v>
      </x:c>
      <x:c r="X323" s="27" t="n">
        <x:f>IF(U323+V323-W323&lt;=0,99,1+SUM(IF(AND(C323+D323-E323&gt;0,OR('Debt strategy'!$D$9&gt;'Debt strategy'!$D$12,AND('Debt strategy'!$D$9='Debt strategy'!$D$12,0&lt;3))),1,0),IF(AND(I323+J323-K323&gt;0,OR('Debt strategy'!$D$10&gt;'Debt strategy'!$D$12,AND('Debt strategy'!$D$10='Debt strategy'!$D$12,1&lt;3))),1,0),IF(AND(O323+P323-Q323&gt;0,OR('Debt strategy'!$D$11&gt;'Debt strategy'!$D$12,AND('Debt strategy'!$D$11='Debt strategy'!$D$12,2&lt;3))),1,0),IF(AND(AA323+AB323-AC323&gt;0,OR('Debt strategy'!$D$13&gt;'Debt strategy'!$D$12,AND('Debt strategy'!$D$13='Debt strategy'!$D$12,4&lt;3))),1,0)))</x:f>
        <x:v>99</x:v>
      </x:c>
      <x:c r="Y323" s="6" t="n">
        <x:f>IF('Debt strategy'!$C$16&gt;0,0,MIN(U323+V323-W323,MAX(0,'Debt strategy'!$C$5-SUM(E323,K323,Q323,W323,AC323)-SUM(IF(F323&lt;X323,C323+D323-E323,0),IF(L323&lt;X323,I323+J323-K323,0),IF(R323&lt;X323,O323+P323-Q323,0),IF(AD323&lt;X323,AA323+AB323-AC323,0)))))</x:f>
        <x:v>0</x:v>
      </x:c>
      <x:c r="Z323" s="6" t="n">
        <x:f>ROUND(MAX(0,U323+V323-W323-Y323),2)</x:f>
        <x:v>0</x:v>
      </x:c>
      <x:c r="AA323" s="6" t="n">
        <x:f>AF322</x:f>
        <x:v>0</x:v>
      </x:c>
      <x:c r="AB323" s="6" t="n">
        <x:f>ROUND(AA323*'Debt strategy'!$D$13/12,2)</x:f>
        <x:v>0</x:v>
      </x:c>
      <x:c r="AC323" s="6" t="n">
        <x:f>MIN(AA323+AB323,'Debt strategy'!$E$13)</x:f>
        <x:v>0</x:v>
      </x:c>
      <x:c r="AD323" s="27" t="n">
        <x:f>IF(AA323+AB323-AC323&lt;=0,99,1+SUM(IF(AND(C323+D323-E323&gt;0,OR('Debt strategy'!$D$9&gt;'Debt strategy'!$D$13,AND('Debt strategy'!$D$9='Debt strategy'!$D$13,0&lt;4))),1,0),IF(AND(I323+J323-K323&gt;0,OR('Debt strategy'!$D$10&gt;'Debt strategy'!$D$13,AND('Debt strategy'!$D$10='Debt strategy'!$D$13,1&lt;4))),1,0),IF(AND(O323+P323-Q323&gt;0,OR('Debt strategy'!$D$11&gt;'Debt strategy'!$D$13,AND('Debt strategy'!$D$11='Debt strategy'!$D$13,2&lt;4))),1,0),IF(AND(U323+V323-W323&gt;0,OR('Debt strategy'!$D$12&gt;'Debt strategy'!$D$13,AND('Debt strategy'!$D$12='Debt strategy'!$D$13,3&lt;4))),1,0)))</x:f>
        <x:v>99</x:v>
      </x:c>
      <x:c r="AE323" s="6" t="n">
        <x:f>IF('Debt strategy'!$C$16&gt;0,0,MIN(AA323+AB323-AC323,MAX(0,'Debt strategy'!$C$5-SUM(E323,K323,Q323,W323,AC323)-SUM(IF(F323&lt;AD323,C323+D323-E323,0),IF(L323&lt;AD323,I323+J323-K323,0),IF(R323&lt;AD323,O323+P323-Q323,0),IF(X323&lt;AD323,U323+V323-W323,0)))))</x:f>
        <x:v>0</x:v>
      </x:c>
      <x:c r="AF323" s="6" t="n">
        <x:f>ROUND(MAX(0,AA323+AB323-AC323-AE323),2)</x:f>
        <x:v>0</x:v>
      </x:c>
      <x:c r="AG323" s="6" t="n">
        <x:f>SUM(H323,N323,T323,Z323,AF323)</x:f>
        <x:v>0</x:v>
      </x:c>
      <x:c r="AH323" s="6" t="n">
        <x:f>SUM(D323,J323,P323,V323,AB323)+AH322</x:f>
        <x:v>1220.8400000000001</x:v>
      </x:c>
      <x:c r="AI323" s="2"/>
    </x:row>
    <x:row r="324" ht="23" customHeight="1">
      <x:c r="B324" s="2" t="n">
        <x:f>316</x:f>
        <x:v>316</x:v>
      </x:c>
      <x:c r="C324" s="6" t="n">
        <x:f>H323</x:f>
        <x:v>0</x:v>
      </x:c>
      <x:c r="D324" s="6" t="n">
        <x:f>ROUND(C324*'Debt strategy'!$D$9/12,2)</x:f>
        <x:v>0</x:v>
      </x:c>
      <x:c r="E324" s="6" t="n">
        <x:f>MIN(C324+D324,'Debt strategy'!$E$9)</x:f>
        <x:v>0</x:v>
      </x:c>
      <x:c r="F324" s="27" t="n">
        <x:f>IF(C324+D324-E324&lt;=0,99,1+SUM(IF(AND(I324+J324-K324&gt;0,OR('Debt strategy'!$D$10&gt;'Debt strategy'!$D$9,AND('Debt strategy'!$D$10='Debt strategy'!$D$9,1&lt;0))),1,0),IF(AND(O324+P324-Q324&gt;0,OR('Debt strategy'!$D$11&gt;'Debt strategy'!$D$9,AND('Debt strategy'!$D$11='Debt strategy'!$D$9,2&lt;0))),1,0),IF(AND(U324+V324-W324&gt;0,OR('Debt strategy'!$D$12&gt;'Debt strategy'!$D$9,AND('Debt strategy'!$D$12='Debt strategy'!$D$9,3&lt;0))),1,0),IF(AND(AA324+AB324-AC324&gt;0,OR('Debt strategy'!$D$13&gt;'Debt strategy'!$D$9,AND('Debt strategy'!$D$13='Debt strategy'!$D$9,4&lt;0))),1,0)))</x:f>
        <x:v>99</x:v>
      </x:c>
      <x:c r="G324" s="6" t="n">
        <x:f>IF('Debt strategy'!$C$16&gt;0,0,MIN(C324+D324-E324,MAX(0,'Debt strategy'!$C$5-SUM(E324,K324,Q324,W324,AC324)-SUM(IF(L324&lt;F324,I324+J324-K324,0),IF(R324&lt;F324,O324+P324-Q324,0),IF(X324&lt;F324,U324+V324-W324,0),IF(AD324&lt;F324,AA324+AB324-AC324,0)))))</x:f>
        <x:v>0</x:v>
      </x:c>
      <x:c r="H324" s="6" t="n">
        <x:f>ROUND(MAX(0,C324+D324-E324-G324),2)</x:f>
        <x:v>0</x:v>
      </x:c>
      <x:c r="I324" s="6" t="n">
        <x:f>N323</x:f>
        <x:v>0</x:v>
      </x:c>
      <x:c r="J324" s="6" t="n">
        <x:f>ROUND(I324*'Debt strategy'!$D$10/12,2)</x:f>
        <x:v>0</x:v>
      </x:c>
      <x:c r="K324" s="6" t="n">
        <x:f>MIN(I324+J324,'Debt strategy'!$E$10)</x:f>
        <x:v>0</x:v>
      </x:c>
      <x:c r="L324" s="27" t="n">
        <x:f>IF(I324+J324-K324&lt;=0,99,1+SUM(IF(AND(C324+D324-E324&gt;0,OR('Debt strategy'!$D$9&gt;'Debt strategy'!$D$10,AND('Debt strategy'!$D$9='Debt strategy'!$D$10,0&lt;1))),1,0),IF(AND(O324+P324-Q324&gt;0,OR('Debt strategy'!$D$11&gt;'Debt strategy'!$D$10,AND('Debt strategy'!$D$11='Debt strategy'!$D$10,2&lt;1))),1,0),IF(AND(U324+V324-W324&gt;0,OR('Debt strategy'!$D$12&gt;'Debt strategy'!$D$10,AND('Debt strategy'!$D$12='Debt strategy'!$D$10,3&lt;1))),1,0),IF(AND(AA324+AB324-AC324&gt;0,OR('Debt strategy'!$D$13&gt;'Debt strategy'!$D$10,AND('Debt strategy'!$D$13='Debt strategy'!$D$10,4&lt;1))),1,0)))</x:f>
        <x:v>99</x:v>
      </x:c>
      <x:c r="M324" s="6" t="n">
        <x:f>IF('Debt strategy'!$C$16&gt;0,0,MIN(I324+J324-K324,MAX(0,'Debt strategy'!$C$5-SUM(E324,K324,Q324,W324,AC324)-SUM(IF(F324&lt;L324,C324+D324-E324,0),IF(R324&lt;L324,O324+P324-Q324,0),IF(X324&lt;L324,U324+V324-W324,0),IF(AD324&lt;L324,AA324+AB324-AC324,0)))))</x:f>
        <x:v>0</x:v>
      </x:c>
      <x:c r="N324" s="6" t="n">
        <x:f>ROUND(MAX(0,I324+J324-K324-M324),2)</x:f>
        <x:v>0</x:v>
      </x:c>
      <x:c r="O324" s="6" t="n">
        <x:f>T323</x:f>
        <x:v>0</x:v>
      </x:c>
      <x:c r="P324" s="6" t="n">
        <x:f>ROUND(O324*'Debt strategy'!$D$11/12,2)</x:f>
        <x:v>0</x:v>
      </x:c>
      <x:c r="Q324" s="6" t="n">
        <x:f>MIN(O324+P324,'Debt strategy'!$E$11)</x:f>
        <x:v>0</x:v>
      </x:c>
      <x:c r="R324" s="27" t="n">
        <x:f>IF(O324+P324-Q324&lt;=0,99,1+SUM(IF(AND(C324+D324-E324&gt;0,OR('Debt strategy'!$D$9&gt;'Debt strategy'!$D$11,AND('Debt strategy'!$D$9='Debt strategy'!$D$11,0&lt;2))),1,0),IF(AND(I324+J324-K324&gt;0,OR('Debt strategy'!$D$10&gt;'Debt strategy'!$D$11,AND('Debt strategy'!$D$10='Debt strategy'!$D$11,1&lt;2))),1,0),IF(AND(U324+V324-W324&gt;0,OR('Debt strategy'!$D$12&gt;'Debt strategy'!$D$11,AND('Debt strategy'!$D$12='Debt strategy'!$D$11,3&lt;2))),1,0),IF(AND(AA324+AB324-AC324&gt;0,OR('Debt strategy'!$D$13&gt;'Debt strategy'!$D$11,AND('Debt strategy'!$D$13='Debt strategy'!$D$11,4&lt;2))),1,0)))</x:f>
        <x:v>99</x:v>
      </x:c>
      <x:c r="S324" s="6" t="n">
        <x:f>IF('Debt strategy'!$C$16&gt;0,0,MIN(O324+P324-Q324,MAX(0,'Debt strategy'!$C$5-SUM(E324,K324,Q324,W324,AC324)-SUM(IF(F324&lt;R324,C324+D324-E324,0),IF(L324&lt;R324,I324+J324-K324,0),IF(X324&lt;R324,U324+V324-W324,0),IF(AD324&lt;R324,AA324+AB324-AC324,0)))))</x:f>
        <x:v>0</x:v>
      </x:c>
      <x:c r="T324" s="6" t="n">
        <x:f>ROUND(MAX(0,O324+P324-Q324-S324),2)</x:f>
        <x:v>0</x:v>
      </x:c>
      <x:c r="U324" s="6" t="n">
        <x:f>Z323</x:f>
        <x:v>0</x:v>
      </x:c>
      <x:c r="V324" s="6" t="n">
        <x:f>ROUND(U324*'Debt strategy'!$D$12/12,2)</x:f>
        <x:v>0</x:v>
      </x:c>
      <x:c r="W324" s="6" t="n">
        <x:f>MIN(U324+V324,'Debt strategy'!$E$12)</x:f>
        <x:v>0</x:v>
      </x:c>
      <x:c r="X324" s="27" t="n">
        <x:f>IF(U324+V324-W324&lt;=0,99,1+SUM(IF(AND(C324+D324-E324&gt;0,OR('Debt strategy'!$D$9&gt;'Debt strategy'!$D$12,AND('Debt strategy'!$D$9='Debt strategy'!$D$12,0&lt;3))),1,0),IF(AND(I324+J324-K324&gt;0,OR('Debt strategy'!$D$10&gt;'Debt strategy'!$D$12,AND('Debt strategy'!$D$10='Debt strategy'!$D$12,1&lt;3))),1,0),IF(AND(O324+P324-Q324&gt;0,OR('Debt strategy'!$D$11&gt;'Debt strategy'!$D$12,AND('Debt strategy'!$D$11='Debt strategy'!$D$12,2&lt;3))),1,0),IF(AND(AA324+AB324-AC324&gt;0,OR('Debt strategy'!$D$13&gt;'Debt strategy'!$D$12,AND('Debt strategy'!$D$13='Debt strategy'!$D$12,4&lt;3))),1,0)))</x:f>
        <x:v>99</x:v>
      </x:c>
      <x:c r="Y324" s="6" t="n">
        <x:f>IF('Debt strategy'!$C$16&gt;0,0,MIN(U324+V324-W324,MAX(0,'Debt strategy'!$C$5-SUM(E324,K324,Q324,W324,AC324)-SUM(IF(F324&lt;X324,C324+D324-E324,0),IF(L324&lt;X324,I324+J324-K324,0),IF(R324&lt;X324,O324+P324-Q324,0),IF(AD324&lt;X324,AA324+AB324-AC324,0)))))</x:f>
        <x:v>0</x:v>
      </x:c>
      <x:c r="Z324" s="6" t="n">
        <x:f>ROUND(MAX(0,U324+V324-W324-Y324),2)</x:f>
        <x:v>0</x:v>
      </x:c>
      <x:c r="AA324" s="6" t="n">
        <x:f>AF323</x:f>
        <x:v>0</x:v>
      </x:c>
      <x:c r="AB324" s="6" t="n">
        <x:f>ROUND(AA324*'Debt strategy'!$D$13/12,2)</x:f>
        <x:v>0</x:v>
      </x:c>
      <x:c r="AC324" s="6" t="n">
        <x:f>MIN(AA324+AB324,'Debt strategy'!$E$13)</x:f>
        <x:v>0</x:v>
      </x:c>
      <x:c r="AD324" s="27" t="n">
        <x:f>IF(AA324+AB324-AC324&lt;=0,99,1+SUM(IF(AND(C324+D324-E324&gt;0,OR('Debt strategy'!$D$9&gt;'Debt strategy'!$D$13,AND('Debt strategy'!$D$9='Debt strategy'!$D$13,0&lt;4))),1,0),IF(AND(I324+J324-K324&gt;0,OR('Debt strategy'!$D$10&gt;'Debt strategy'!$D$13,AND('Debt strategy'!$D$10='Debt strategy'!$D$13,1&lt;4))),1,0),IF(AND(O324+P324-Q324&gt;0,OR('Debt strategy'!$D$11&gt;'Debt strategy'!$D$13,AND('Debt strategy'!$D$11='Debt strategy'!$D$13,2&lt;4))),1,0),IF(AND(U324+V324-W324&gt;0,OR('Debt strategy'!$D$12&gt;'Debt strategy'!$D$13,AND('Debt strategy'!$D$12='Debt strategy'!$D$13,3&lt;4))),1,0)))</x:f>
        <x:v>99</x:v>
      </x:c>
      <x:c r="AE324" s="6" t="n">
        <x:f>IF('Debt strategy'!$C$16&gt;0,0,MIN(AA324+AB324-AC324,MAX(0,'Debt strategy'!$C$5-SUM(E324,K324,Q324,W324,AC324)-SUM(IF(F324&lt;AD324,C324+D324-E324,0),IF(L324&lt;AD324,I324+J324-K324,0),IF(R324&lt;AD324,O324+P324-Q324,0),IF(X324&lt;AD324,U324+V324-W324,0)))))</x:f>
        <x:v>0</x:v>
      </x:c>
      <x:c r="AF324" s="6" t="n">
        <x:f>ROUND(MAX(0,AA324+AB324-AC324-AE324),2)</x:f>
        <x:v>0</x:v>
      </x:c>
      <x:c r="AG324" s="6" t="n">
        <x:f>SUM(H324,N324,T324,Z324,AF324)</x:f>
        <x:v>0</x:v>
      </x:c>
      <x:c r="AH324" s="6" t="n">
        <x:f>SUM(D324,J324,P324,V324,AB324)+AH323</x:f>
        <x:v>1220.8400000000001</x:v>
      </x:c>
      <x:c r="AI324" s="2"/>
    </x:row>
    <x:row r="325" ht="23" customHeight="1">
      <x:c r="B325" s="2" t="n">
        <x:f>317</x:f>
        <x:v>317</x:v>
      </x:c>
      <x:c r="C325" s="6" t="n">
        <x:f>H324</x:f>
        <x:v>0</x:v>
      </x:c>
      <x:c r="D325" s="6" t="n">
        <x:f>ROUND(C325*'Debt strategy'!$D$9/12,2)</x:f>
        <x:v>0</x:v>
      </x:c>
      <x:c r="E325" s="6" t="n">
        <x:f>MIN(C325+D325,'Debt strategy'!$E$9)</x:f>
        <x:v>0</x:v>
      </x:c>
      <x:c r="F325" s="27" t="n">
        <x:f>IF(C325+D325-E325&lt;=0,99,1+SUM(IF(AND(I325+J325-K325&gt;0,OR('Debt strategy'!$D$10&gt;'Debt strategy'!$D$9,AND('Debt strategy'!$D$10='Debt strategy'!$D$9,1&lt;0))),1,0),IF(AND(O325+P325-Q325&gt;0,OR('Debt strategy'!$D$11&gt;'Debt strategy'!$D$9,AND('Debt strategy'!$D$11='Debt strategy'!$D$9,2&lt;0))),1,0),IF(AND(U325+V325-W325&gt;0,OR('Debt strategy'!$D$12&gt;'Debt strategy'!$D$9,AND('Debt strategy'!$D$12='Debt strategy'!$D$9,3&lt;0))),1,0),IF(AND(AA325+AB325-AC325&gt;0,OR('Debt strategy'!$D$13&gt;'Debt strategy'!$D$9,AND('Debt strategy'!$D$13='Debt strategy'!$D$9,4&lt;0))),1,0)))</x:f>
        <x:v>99</x:v>
      </x:c>
      <x:c r="G325" s="6" t="n">
        <x:f>IF('Debt strategy'!$C$16&gt;0,0,MIN(C325+D325-E325,MAX(0,'Debt strategy'!$C$5-SUM(E325,K325,Q325,W325,AC325)-SUM(IF(L325&lt;F325,I325+J325-K325,0),IF(R325&lt;F325,O325+P325-Q325,0),IF(X325&lt;F325,U325+V325-W325,0),IF(AD325&lt;F325,AA325+AB325-AC325,0)))))</x:f>
        <x:v>0</x:v>
      </x:c>
      <x:c r="H325" s="6" t="n">
        <x:f>ROUND(MAX(0,C325+D325-E325-G325),2)</x:f>
        <x:v>0</x:v>
      </x:c>
      <x:c r="I325" s="6" t="n">
        <x:f>N324</x:f>
        <x:v>0</x:v>
      </x:c>
      <x:c r="J325" s="6" t="n">
        <x:f>ROUND(I325*'Debt strategy'!$D$10/12,2)</x:f>
        <x:v>0</x:v>
      </x:c>
      <x:c r="K325" s="6" t="n">
        <x:f>MIN(I325+J325,'Debt strategy'!$E$10)</x:f>
        <x:v>0</x:v>
      </x:c>
      <x:c r="L325" s="27" t="n">
        <x:f>IF(I325+J325-K325&lt;=0,99,1+SUM(IF(AND(C325+D325-E325&gt;0,OR('Debt strategy'!$D$9&gt;'Debt strategy'!$D$10,AND('Debt strategy'!$D$9='Debt strategy'!$D$10,0&lt;1))),1,0),IF(AND(O325+P325-Q325&gt;0,OR('Debt strategy'!$D$11&gt;'Debt strategy'!$D$10,AND('Debt strategy'!$D$11='Debt strategy'!$D$10,2&lt;1))),1,0),IF(AND(U325+V325-W325&gt;0,OR('Debt strategy'!$D$12&gt;'Debt strategy'!$D$10,AND('Debt strategy'!$D$12='Debt strategy'!$D$10,3&lt;1))),1,0),IF(AND(AA325+AB325-AC325&gt;0,OR('Debt strategy'!$D$13&gt;'Debt strategy'!$D$10,AND('Debt strategy'!$D$13='Debt strategy'!$D$10,4&lt;1))),1,0)))</x:f>
        <x:v>99</x:v>
      </x:c>
      <x:c r="M325" s="6" t="n">
        <x:f>IF('Debt strategy'!$C$16&gt;0,0,MIN(I325+J325-K325,MAX(0,'Debt strategy'!$C$5-SUM(E325,K325,Q325,W325,AC325)-SUM(IF(F325&lt;L325,C325+D325-E325,0),IF(R325&lt;L325,O325+P325-Q325,0),IF(X325&lt;L325,U325+V325-W325,0),IF(AD325&lt;L325,AA325+AB325-AC325,0)))))</x:f>
        <x:v>0</x:v>
      </x:c>
      <x:c r="N325" s="6" t="n">
        <x:f>ROUND(MAX(0,I325+J325-K325-M325),2)</x:f>
        <x:v>0</x:v>
      </x:c>
      <x:c r="O325" s="6" t="n">
        <x:f>T324</x:f>
        <x:v>0</x:v>
      </x:c>
      <x:c r="P325" s="6" t="n">
        <x:f>ROUND(O325*'Debt strategy'!$D$11/12,2)</x:f>
        <x:v>0</x:v>
      </x:c>
      <x:c r="Q325" s="6" t="n">
        <x:f>MIN(O325+P325,'Debt strategy'!$E$11)</x:f>
        <x:v>0</x:v>
      </x:c>
      <x:c r="R325" s="27" t="n">
        <x:f>IF(O325+P325-Q325&lt;=0,99,1+SUM(IF(AND(C325+D325-E325&gt;0,OR('Debt strategy'!$D$9&gt;'Debt strategy'!$D$11,AND('Debt strategy'!$D$9='Debt strategy'!$D$11,0&lt;2))),1,0),IF(AND(I325+J325-K325&gt;0,OR('Debt strategy'!$D$10&gt;'Debt strategy'!$D$11,AND('Debt strategy'!$D$10='Debt strategy'!$D$11,1&lt;2))),1,0),IF(AND(U325+V325-W325&gt;0,OR('Debt strategy'!$D$12&gt;'Debt strategy'!$D$11,AND('Debt strategy'!$D$12='Debt strategy'!$D$11,3&lt;2))),1,0),IF(AND(AA325+AB325-AC325&gt;0,OR('Debt strategy'!$D$13&gt;'Debt strategy'!$D$11,AND('Debt strategy'!$D$13='Debt strategy'!$D$11,4&lt;2))),1,0)))</x:f>
        <x:v>99</x:v>
      </x:c>
      <x:c r="S325" s="6" t="n">
        <x:f>IF('Debt strategy'!$C$16&gt;0,0,MIN(O325+P325-Q325,MAX(0,'Debt strategy'!$C$5-SUM(E325,K325,Q325,W325,AC325)-SUM(IF(F325&lt;R325,C325+D325-E325,0),IF(L325&lt;R325,I325+J325-K325,0),IF(X325&lt;R325,U325+V325-W325,0),IF(AD325&lt;R325,AA325+AB325-AC325,0)))))</x:f>
        <x:v>0</x:v>
      </x:c>
      <x:c r="T325" s="6" t="n">
        <x:f>ROUND(MAX(0,O325+P325-Q325-S325),2)</x:f>
        <x:v>0</x:v>
      </x:c>
      <x:c r="U325" s="6" t="n">
        <x:f>Z324</x:f>
        <x:v>0</x:v>
      </x:c>
      <x:c r="V325" s="6" t="n">
        <x:f>ROUND(U325*'Debt strategy'!$D$12/12,2)</x:f>
        <x:v>0</x:v>
      </x:c>
      <x:c r="W325" s="6" t="n">
        <x:f>MIN(U325+V325,'Debt strategy'!$E$12)</x:f>
        <x:v>0</x:v>
      </x:c>
      <x:c r="X325" s="27" t="n">
        <x:f>IF(U325+V325-W325&lt;=0,99,1+SUM(IF(AND(C325+D325-E325&gt;0,OR('Debt strategy'!$D$9&gt;'Debt strategy'!$D$12,AND('Debt strategy'!$D$9='Debt strategy'!$D$12,0&lt;3))),1,0),IF(AND(I325+J325-K325&gt;0,OR('Debt strategy'!$D$10&gt;'Debt strategy'!$D$12,AND('Debt strategy'!$D$10='Debt strategy'!$D$12,1&lt;3))),1,0),IF(AND(O325+P325-Q325&gt;0,OR('Debt strategy'!$D$11&gt;'Debt strategy'!$D$12,AND('Debt strategy'!$D$11='Debt strategy'!$D$12,2&lt;3))),1,0),IF(AND(AA325+AB325-AC325&gt;0,OR('Debt strategy'!$D$13&gt;'Debt strategy'!$D$12,AND('Debt strategy'!$D$13='Debt strategy'!$D$12,4&lt;3))),1,0)))</x:f>
        <x:v>99</x:v>
      </x:c>
      <x:c r="Y325" s="6" t="n">
        <x:f>IF('Debt strategy'!$C$16&gt;0,0,MIN(U325+V325-W325,MAX(0,'Debt strategy'!$C$5-SUM(E325,K325,Q325,W325,AC325)-SUM(IF(F325&lt;X325,C325+D325-E325,0),IF(L325&lt;X325,I325+J325-K325,0),IF(R325&lt;X325,O325+P325-Q325,0),IF(AD325&lt;X325,AA325+AB325-AC325,0)))))</x:f>
        <x:v>0</x:v>
      </x:c>
      <x:c r="Z325" s="6" t="n">
        <x:f>ROUND(MAX(0,U325+V325-W325-Y325),2)</x:f>
        <x:v>0</x:v>
      </x:c>
      <x:c r="AA325" s="6" t="n">
        <x:f>AF324</x:f>
        <x:v>0</x:v>
      </x:c>
      <x:c r="AB325" s="6" t="n">
        <x:f>ROUND(AA325*'Debt strategy'!$D$13/12,2)</x:f>
        <x:v>0</x:v>
      </x:c>
      <x:c r="AC325" s="6" t="n">
        <x:f>MIN(AA325+AB325,'Debt strategy'!$E$13)</x:f>
        <x:v>0</x:v>
      </x:c>
      <x:c r="AD325" s="27" t="n">
        <x:f>IF(AA325+AB325-AC325&lt;=0,99,1+SUM(IF(AND(C325+D325-E325&gt;0,OR('Debt strategy'!$D$9&gt;'Debt strategy'!$D$13,AND('Debt strategy'!$D$9='Debt strategy'!$D$13,0&lt;4))),1,0),IF(AND(I325+J325-K325&gt;0,OR('Debt strategy'!$D$10&gt;'Debt strategy'!$D$13,AND('Debt strategy'!$D$10='Debt strategy'!$D$13,1&lt;4))),1,0),IF(AND(O325+P325-Q325&gt;0,OR('Debt strategy'!$D$11&gt;'Debt strategy'!$D$13,AND('Debt strategy'!$D$11='Debt strategy'!$D$13,2&lt;4))),1,0),IF(AND(U325+V325-W325&gt;0,OR('Debt strategy'!$D$12&gt;'Debt strategy'!$D$13,AND('Debt strategy'!$D$12='Debt strategy'!$D$13,3&lt;4))),1,0)))</x:f>
        <x:v>99</x:v>
      </x:c>
      <x:c r="AE325" s="6" t="n">
        <x:f>IF('Debt strategy'!$C$16&gt;0,0,MIN(AA325+AB325-AC325,MAX(0,'Debt strategy'!$C$5-SUM(E325,K325,Q325,W325,AC325)-SUM(IF(F325&lt;AD325,C325+D325-E325,0),IF(L325&lt;AD325,I325+J325-K325,0),IF(R325&lt;AD325,O325+P325-Q325,0),IF(X325&lt;AD325,U325+V325-W325,0)))))</x:f>
        <x:v>0</x:v>
      </x:c>
      <x:c r="AF325" s="6" t="n">
        <x:f>ROUND(MAX(0,AA325+AB325-AC325-AE325),2)</x:f>
        <x:v>0</x:v>
      </x:c>
      <x:c r="AG325" s="6" t="n">
        <x:f>SUM(H325,N325,T325,Z325,AF325)</x:f>
        <x:v>0</x:v>
      </x:c>
      <x:c r="AH325" s="6" t="n">
        <x:f>SUM(D325,J325,P325,V325,AB325)+AH324</x:f>
        <x:v>1220.8400000000001</x:v>
      </x:c>
      <x:c r="AI325" s="2"/>
    </x:row>
    <x:row r="326" ht="23" customHeight="1">
      <x:c r="B326" s="2" t="n">
        <x:f>318</x:f>
        <x:v>318</x:v>
      </x:c>
      <x:c r="C326" s="6" t="n">
        <x:f>H325</x:f>
        <x:v>0</x:v>
      </x:c>
      <x:c r="D326" s="6" t="n">
        <x:f>ROUND(C326*'Debt strategy'!$D$9/12,2)</x:f>
        <x:v>0</x:v>
      </x:c>
      <x:c r="E326" s="6" t="n">
        <x:f>MIN(C326+D326,'Debt strategy'!$E$9)</x:f>
        <x:v>0</x:v>
      </x:c>
      <x:c r="F326" s="27" t="n">
        <x:f>IF(C326+D326-E326&lt;=0,99,1+SUM(IF(AND(I326+J326-K326&gt;0,OR('Debt strategy'!$D$10&gt;'Debt strategy'!$D$9,AND('Debt strategy'!$D$10='Debt strategy'!$D$9,1&lt;0))),1,0),IF(AND(O326+P326-Q326&gt;0,OR('Debt strategy'!$D$11&gt;'Debt strategy'!$D$9,AND('Debt strategy'!$D$11='Debt strategy'!$D$9,2&lt;0))),1,0),IF(AND(U326+V326-W326&gt;0,OR('Debt strategy'!$D$12&gt;'Debt strategy'!$D$9,AND('Debt strategy'!$D$12='Debt strategy'!$D$9,3&lt;0))),1,0),IF(AND(AA326+AB326-AC326&gt;0,OR('Debt strategy'!$D$13&gt;'Debt strategy'!$D$9,AND('Debt strategy'!$D$13='Debt strategy'!$D$9,4&lt;0))),1,0)))</x:f>
        <x:v>99</x:v>
      </x:c>
      <x:c r="G326" s="6" t="n">
        <x:f>IF('Debt strategy'!$C$16&gt;0,0,MIN(C326+D326-E326,MAX(0,'Debt strategy'!$C$5-SUM(E326,K326,Q326,W326,AC326)-SUM(IF(L326&lt;F326,I326+J326-K326,0),IF(R326&lt;F326,O326+P326-Q326,0),IF(X326&lt;F326,U326+V326-W326,0),IF(AD326&lt;F326,AA326+AB326-AC326,0)))))</x:f>
        <x:v>0</x:v>
      </x:c>
      <x:c r="H326" s="6" t="n">
        <x:f>ROUND(MAX(0,C326+D326-E326-G326),2)</x:f>
        <x:v>0</x:v>
      </x:c>
      <x:c r="I326" s="6" t="n">
        <x:f>N325</x:f>
        <x:v>0</x:v>
      </x:c>
      <x:c r="J326" s="6" t="n">
        <x:f>ROUND(I326*'Debt strategy'!$D$10/12,2)</x:f>
        <x:v>0</x:v>
      </x:c>
      <x:c r="K326" s="6" t="n">
        <x:f>MIN(I326+J326,'Debt strategy'!$E$10)</x:f>
        <x:v>0</x:v>
      </x:c>
      <x:c r="L326" s="27" t="n">
        <x:f>IF(I326+J326-K326&lt;=0,99,1+SUM(IF(AND(C326+D326-E326&gt;0,OR('Debt strategy'!$D$9&gt;'Debt strategy'!$D$10,AND('Debt strategy'!$D$9='Debt strategy'!$D$10,0&lt;1))),1,0),IF(AND(O326+P326-Q326&gt;0,OR('Debt strategy'!$D$11&gt;'Debt strategy'!$D$10,AND('Debt strategy'!$D$11='Debt strategy'!$D$10,2&lt;1))),1,0),IF(AND(U326+V326-W326&gt;0,OR('Debt strategy'!$D$12&gt;'Debt strategy'!$D$10,AND('Debt strategy'!$D$12='Debt strategy'!$D$10,3&lt;1))),1,0),IF(AND(AA326+AB326-AC326&gt;0,OR('Debt strategy'!$D$13&gt;'Debt strategy'!$D$10,AND('Debt strategy'!$D$13='Debt strategy'!$D$10,4&lt;1))),1,0)))</x:f>
        <x:v>99</x:v>
      </x:c>
      <x:c r="M326" s="6" t="n">
        <x:f>IF('Debt strategy'!$C$16&gt;0,0,MIN(I326+J326-K326,MAX(0,'Debt strategy'!$C$5-SUM(E326,K326,Q326,W326,AC326)-SUM(IF(F326&lt;L326,C326+D326-E326,0),IF(R326&lt;L326,O326+P326-Q326,0),IF(X326&lt;L326,U326+V326-W326,0),IF(AD326&lt;L326,AA326+AB326-AC326,0)))))</x:f>
        <x:v>0</x:v>
      </x:c>
      <x:c r="N326" s="6" t="n">
        <x:f>ROUND(MAX(0,I326+J326-K326-M326),2)</x:f>
        <x:v>0</x:v>
      </x:c>
      <x:c r="O326" s="6" t="n">
        <x:f>T325</x:f>
        <x:v>0</x:v>
      </x:c>
      <x:c r="P326" s="6" t="n">
        <x:f>ROUND(O326*'Debt strategy'!$D$11/12,2)</x:f>
        <x:v>0</x:v>
      </x:c>
      <x:c r="Q326" s="6" t="n">
        <x:f>MIN(O326+P326,'Debt strategy'!$E$11)</x:f>
        <x:v>0</x:v>
      </x:c>
      <x:c r="R326" s="27" t="n">
        <x:f>IF(O326+P326-Q326&lt;=0,99,1+SUM(IF(AND(C326+D326-E326&gt;0,OR('Debt strategy'!$D$9&gt;'Debt strategy'!$D$11,AND('Debt strategy'!$D$9='Debt strategy'!$D$11,0&lt;2))),1,0),IF(AND(I326+J326-K326&gt;0,OR('Debt strategy'!$D$10&gt;'Debt strategy'!$D$11,AND('Debt strategy'!$D$10='Debt strategy'!$D$11,1&lt;2))),1,0),IF(AND(U326+V326-W326&gt;0,OR('Debt strategy'!$D$12&gt;'Debt strategy'!$D$11,AND('Debt strategy'!$D$12='Debt strategy'!$D$11,3&lt;2))),1,0),IF(AND(AA326+AB326-AC326&gt;0,OR('Debt strategy'!$D$13&gt;'Debt strategy'!$D$11,AND('Debt strategy'!$D$13='Debt strategy'!$D$11,4&lt;2))),1,0)))</x:f>
        <x:v>99</x:v>
      </x:c>
      <x:c r="S326" s="6" t="n">
        <x:f>IF('Debt strategy'!$C$16&gt;0,0,MIN(O326+P326-Q326,MAX(0,'Debt strategy'!$C$5-SUM(E326,K326,Q326,W326,AC326)-SUM(IF(F326&lt;R326,C326+D326-E326,0),IF(L326&lt;R326,I326+J326-K326,0),IF(X326&lt;R326,U326+V326-W326,0),IF(AD326&lt;R326,AA326+AB326-AC326,0)))))</x:f>
        <x:v>0</x:v>
      </x:c>
      <x:c r="T326" s="6" t="n">
        <x:f>ROUND(MAX(0,O326+P326-Q326-S326),2)</x:f>
        <x:v>0</x:v>
      </x:c>
      <x:c r="U326" s="6" t="n">
        <x:f>Z325</x:f>
        <x:v>0</x:v>
      </x:c>
      <x:c r="V326" s="6" t="n">
        <x:f>ROUND(U326*'Debt strategy'!$D$12/12,2)</x:f>
        <x:v>0</x:v>
      </x:c>
      <x:c r="W326" s="6" t="n">
        <x:f>MIN(U326+V326,'Debt strategy'!$E$12)</x:f>
        <x:v>0</x:v>
      </x:c>
      <x:c r="X326" s="27" t="n">
        <x:f>IF(U326+V326-W326&lt;=0,99,1+SUM(IF(AND(C326+D326-E326&gt;0,OR('Debt strategy'!$D$9&gt;'Debt strategy'!$D$12,AND('Debt strategy'!$D$9='Debt strategy'!$D$12,0&lt;3))),1,0),IF(AND(I326+J326-K326&gt;0,OR('Debt strategy'!$D$10&gt;'Debt strategy'!$D$12,AND('Debt strategy'!$D$10='Debt strategy'!$D$12,1&lt;3))),1,0),IF(AND(O326+P326-Q326&gt;0,OR('Debt strategy'!$D$11&gt;'Debt strategy'!$D$12,AND('Debt strategy'!$D$11='Debt strategy'!$D$12,2&lt;3))),1,0),IF(AND(AA326+AB326-AC326&gt;0,OR('Debt strategy'!$D$13&gt;'Debt strategy'!$D$12,AND('Debt strategy'!$D$13='Debt strategy'!$D$12,4&lt;3))),1,0)))</x:f>
        <x:v>99</x:v>
      </x:c>
      <x:c r="Y326" s="6" t="n">
        <x:f>IF('Debt strategy'!$C$16&gt;0,0,MIN(U326+V326-W326,MAX(0,'Debt strategy'!$C$5-SUM(E326,K326,Q326,W326,AC326)-SUM(IF(F326&lt;X326,C326+D326-E326,0),IF(L326&lt;X326,I326+J326-K326,0),IF(R326&lt;X326,O326+P326-Q326,0),IF(AD326&lt;X326,AA326+AB326-AC326,0)))))</x:f>
        <x:v>0</x:v>
      </x:c>
      <x:c r="Z326" s="6" t="n">
        <x:f>ROUND(MAX(0,U326+V326-W326-Y326),2)</x:f>
        <x:v>0</x:v>
      </x:c>
      <x:c r="AA326" s="6" t="n">
        <x:f>AF325</x:f>
        <x:v>0</x:v>
      </x:c>
      <x:c r="AB326" s="6" t="n">
        <x:f>ROUND(AA326*'Debt strategy'!$D$13/12,2)</x:f>
        <x:v>0</x:v>
      </x:c>
      <x:c r="AC326" s="6" t="n">
        <x:f>MIN(AA326+AB326,'Debt strategy'!$E$13)</x:f>
        <x:v>0</x:v>
      </x:c>
      <x:c r="AD326" s="27" t="n">
        <x:f>IF(AA326+AB326-AC326&lt;=0,99,1+SUM(IF(AND(C326+D326-E326&gt;0,OR('Debt strategy'!$D$9&gt;'Debt strategy'!$D$13,AND('Debt strategy'!$D$9='Debt strategy'!$D$13,0&lt;4))),1,0),IF(AND(I326+J326-K326&gt;0,OR('Debt strategy'!$D$10&gt;'Debt strategy'!$D$13,AND('Debt strategy'!$D$10='Debt strategy'!$D$13,1&lt;4))),1,0),IF(AND(O326+P326-Q326&gt;0,OR('Debt strategy'!$D$11&gt;'Debt strategy'!$D$13,AND('Debt strategy'!$D$11='Debt strategy'!$D$13,2&lt;4))),1,0),IF(AND(U326+V326-W326&gt;0,OR('Debt strategy'!$D$12&gt;'Debt strategy'!$D$13,AND('Debt strategy'!$D$12='Debt strategy'!$D$13,3&lt;4))),1,0)))</x:f>
        <x:v>99</x:v>
      </x:c>
      <x:c r="AE326" s="6" t="n">
        <x:f>IF('Debt strategy'!$C$16&gt;0,0,MIN(AA326+AB326-AC326,MAX(0,'Debt strategy'!$C$5-SUM(E326,K326,Q326,W326,AC326)-SUM(IF(F326&lt;AD326,C326+D326-E326,0),IF(L326&lt;AD326,I326+J326-K326,0),IF(R326&lt;AD326,O326+P326-Q326,0),IF(X326&lt;AD326,U326+V326-W326,0)))))</x:f>
        <x:v>0</x:v>
      </x:c>
      <x:c r="AF326" s="6" t="n">
        <x:f>ROUND(MAX(0,AA326+AB326-AC326-AE326),2)</x:f>
        <x:v>0</x:v>
      </x:c>
      <x:c r="AG326" s="6" t="n">
        <x:f>SUM(H326,N326,T326,Z326,AF326)</x:f>
        <x:v>0</x:v>
      </x:c>
      <x:c r="AH326" s="6" t="n">
        <x:f>SUM(D326,J326,P326,V326,AB326)+AH325</x:f>
        <x:v>1220.8400000000001</x:v>
      </x:c>
      <x:c r="AI326" s="2"/>
    </x:row>
    <x:row r="327" ht="23" customHeight="1">
      <x:c r="B327" s="2" t="n">
        <x:f>319</x:f>
        <x:v>319</x:v>
      </x:c>
      <x:c r="C327" s="6" t="n">
        <x:f>H326</x:f>
        <x:v>0</x:v>
      </x:c>
      <x:c r="D327" s="6" t="n">
        <x:f>ROUND(C327*'Debt strategy'!$D$9/12,2)</x:f>
        <x:v>0</x:v>
      </x:c>
      <x:c r="E327" s="6" t="n">
        <x:f>MIN(C327+D327,'Debt strategy'!$E$9)</x:f>
        <x:v>0</x:v>
      </x:c>
      <x:c r="F327" s="27" t="n">
        <x:f>IF(C327+D327-E327&lt;=0,99,1+SUM(IF(AND(I327+J327-K327&gt;0,OR('Debt strategy'!$D$10&gt;'Debt strategy'!$D$9,AND('Debt strategy'!$D$10='Debt strategy'!$D$9,1&lt;0))),1,0),IF(AND(O327+P327-Q327&gt;0,OR('Debt strategy'!$D$11&gt;'Debt strategy'!$D$9,AND('Debt strategy'!$D$11='Debt strategy'!$D$9,2&lt;0))),1,0),IF(AND(U327+V327-W327&gt;0,OR('Debt strategy'!$D$12&gt;'Debt strategy'!$D$9,AND('Debt strategy'!$D$12='Debt strategy'!$D$9,3&lt;0))),1,0),IF(AND(AA327+AB327-AC327&gt;0,OR('Debt strategy'!$D$13&gt;'Debt strategy'!$D$9,AND('Debt strategy'!$D$13='Debt strategy'!$D$9,4&lt;0))),1,0)))</x:f>
        <x:v>99</x:v>
      </x:c>
      <x:c r="G327" s="6" t="n">
        <x:f>IF('Debt strategy'!$C$16&gt;0,0,MIN(C327+D327-E327,MAX(0,'Debt strategy'!$C$5-SUM(E327,K327,Q327,W327,AC327)-SUM(IF(L327&lt;F327,I327+J327-K327,0),IF(R327&lt;F327,O327+P327-Q327,0),IF(X327&lt;F327,U327+V327-W327,0),IF(AD327&lt;F327,AA327+AB327-AC327,0)))))</x:f>
        <x:v>0</x:v>
      </x:c>
      <x:c r="H327" s="6" t="n">
        <x:f>ROUND(MAX(0,C327+D327-E327-G327),2)</x:f>
        <x:v>0</x:v>
      </x:c>
      <x:c r="I327" s="6" t="n">
        <x:f>N326</x:f>
        <x:v>0</x:v>
      </x:c>
      <x:c r="J327" s="6" t="n">
        <x:f>ROUND(I327*'Debt strategy'!$D$10/12,2)</x:f>
        <x:v>0</x:v>
      </x:c>
      <x:c r="K327" s="6" t="n">
        <x:f>MIN(I327+J327,'Debt strategy'!$E$10)</x:f>
        <x:v>0</x:v>
      </x:c>
      <x:c r="L327" s="27" t="n">
        <x:f>IF(I327+J327-K327&lt;=0,99,1+SUM(IF(AND(C327+D327-E327&gt;0,OR('Debt strategy'!$D$9&gt;'Debt strategy'!$D$10,AND('Debt strategy'!$D$9='Debt strategy'!$D$10,0&lt;1))),1,0),IF(AND(O327+P327-Q327&gt;0,OR('Debt strategy'!$D$11&gt;'Debt strategy'!$D$10,AND('Debt strategy'!$D$11='Debt strategy'!$D$10,2&lt;1))),1,0),IF(AND(U327+V327-W327&gt;0,OR('Debt strategy'!$D$12&gt;'Debt strategy'!$D$10,AND('Debt strategy'!$D$12='Debt strategy'!$D$10,3&lt;1))),1,0),IF(AND(AA327+AB327-AC327&gt;0,OR('Debt strategy'!$D$13&gt;'Debt strategy'!$D$10,AND('Debt strategy'!$D$13='Debt strategy'!$D$10,4&lt;1))),1,0)))</x:f>
        <x:v>99</x:v>
      </x:c>
      <x:c r="M327" s="6" t="n">
        <x:f>IF('Debt strategy'!$C$16&gt;0,0,MIN(I327+J327-K327,MAX(0,'Debt strategy'!$C$5-SUM(E327,K327,Q327,W327,AC327)-SUM(IF(F327&lt;L327,C327+D327-E327,0),IF(R327&lt;L327,O327+P327-Q327,0),IF(X327&lt;L327,U327+V327-W327,0),IF(AD327&lt;L327,AA327+AB327-AC327,0)))))</x:f>
        <x:v>0</x:v>
      </x:c>
      <x:c r="N327" s="6" t="n">
        <x:f>ROUND(MAX(0,I327+J327-K327-M327),2)</x:f>
        <x:v>0</x:v>
      </x:c>
      <x:c r="O327" s="6" t="n">
        <x:f>T326</x:f>
        <x:v>0</x:v>
      </x:c>
      <x:c r="P327" s="6" t="n">
        <x:f>ROUND(O327*'Debt strategy'!$D$11/12,2)</x:f>
        <x:v>0</x:v>
      </x:c>
      <x:c r="Q327" s="6" t="n">
        <x:f>MIN(O327+P327,'Debt strategy'!$E$11)</x:f>
        <x:v>0</x:v>
      </x:c>
      <x:c r="R327" s="27" t="n">
        <x:f>IF(O327+P327-Q327&lt;=0,99,1+SUM(IF(AND(C327+D327-E327&gt;0,OR('Debt strategy'!$D$9&gt;'Debt strategy'!$D$11,AND('Debt strategy'!$D$9='Debt strategy'!$D$11,0&lt;2))),1,0),IF(AND(I327+J327-K327&gt;0,OR('Debt strategy'!$D$10&gt;'Debt strategy'!$D$11,AND('Debt strategy'!$D$10='Debt strategy'!$D$11,1&lt;2))),1,0),IF(AND(U327+V327-W327&gt;0,OR('Debt strategy'!$D$12&gt;'Debt strategy'!$D$11,AND('Debt strategy'!$D$12='Debt strategy'!$D$11,3&lt;2))),1,0),IF(AND(AA327+AB327-AC327&gt;0,OR('Debt strategy'!$D$13&gt;'Debt strategy'!$D$11,AND('Debt strategy'!$D$13='Debt strategy'!$D$11,4&lt;2))),1,0)))</x:f>
        <x:v>99</x:v>
      </x:c>
      <x:c r="S327" s="6" t="n">
        <x:f>IF('Debt strategy'!$C$16&gt;0,0,MIN(O327+P327-Q327,MAX(0,'Debt strategy'!$C$5-SUM(E327,K327,Q327,W327,AC327)-SUM(IF(F327&lt;R327,C327+D327-E327,0),IF(L327&lt;R327,I327+J327-K327,0),IF(X327&lt;R327,U327+V327-W327,0),IF(AD327&lt;R327,AA327+AB327-AC327,0)))))</x:f>
        <x:v>0</x:v>
      </x:c>
      <x:c r="T327" s="6" t="n">
        <x:f>ROUND(MAX(0,O327+P327-Q327-S327),2)</x:f>
        <x:v>0</x:v>
      </x:c>
      <x:c r="U327" s="6" t="n">
        <x:f>Z326</x:f>
        <x:v>0</x:v>
      </x:c>
      <x:c r="V327" s="6" t="n">
        <x:f>ROUND(U327*'Debt strategy'!$D$12/12,2)</x:f>
        <x:v>0</x:v>
      </x:c>
      <x:c r="W327" s="6" t="n">
        <x:f>MIN(U327+V327,'Debt strategy'!$E$12)</x:f>
        <x:v>0</x:v>
      </x:c>
      <x:c r="X327" s="27" t="n">
        <x:f>IF(U327+V327-W327&lt;=0,99,1+SUM(IF(AND(C327+D327-E327&gt;0,OR('Debt strategy'!$D$9&gt;'Debt strategy'!$D$12,AND('Debt strategy'!$D$9='Debt strategy'!$D$12,0&lt;3))),1,0),IF(AND(I327+J327-K327&gt;0,OR('Debt strategy'!$D$10&gt;'Debt strategy'!$D$12,AND('Debt strategy'!$D$10='Debt strategy'!$D$12,1&lt;3))),1,0),IF(AND(O327+P327-Q327&gt;0,OR('Debt strategy'!$D$11&gt;'Debt strategy'!$D$12,AND('Debt strategy'!$D$11='Debt strategy'!$D$12,2&lt;3))),1,0),IF(AND(AA327+AB327-AC327&gt;0,OR('Debt strategy'!$D$13&gt;'Debt strategy'!$D$12,AND('Debt strategy'!$D$13='Debt strategy'!$D$12,4&lt;3))),1,0)))</x:f>
        <x:v>99</x:v>
      </x:c>
      <x:c r="Y327" s="6" t="n">
        <x:f>IF('Debt strategy'!$C$16&gt;0,0,MIN(U327+V327-W327,MAX(0,'Debt strategy'!$C$5-SUM(E327,K327,Q327,W327,AC327)-SUM(IF(F327&lt;X327,C327+D327-E327,0),IF(L327&lt;X327,I327+J327-K327,0),IF(R327&lt;X327,O327+P327-Q327,0),IF(AD327&lt;X327,AA327+AB327-AC327,0)))))</x:f>
        <x:v>0</x:v>
      </x:c>
      <x:c r="Z327" s="6" t="n">
        <x:f>ROUND(MAX(0,U327+V327-W327-Y327),2)</x:f>
        <x:v>0</x:v>
      </x:c>
      <x:c r="AA327" s="6" t="n">
        <x:f>AF326</x:f>
        <x:v>0</x:v>
      </x:c>
      <x:c r="AB327" s="6" t="n">
        <x:f>ROUND(AA327*'Debt strategy'!$D$13/12,2)</x:f>
        <x:v>0</x:v>
      </x:c>
      <x:c r="AC327" s="6" t="n">
        <x:f>MIN(AA327+AB327,'Debt strategy'!$E$13)</x:f>
        <x:v>0</x:v>
      </x:c>
      <x:c r="AD327" s="27" t="n">
        <x:f>IF(AA327+AB327-AC327&lt;=0,99,1+SUM(IF(AND(C327+D327-E327&gt;0,OR('Debt strategy'!$D$9&gt;'Debt strategy'!$D$13,AND('Debt strategy'!$D$9='Debt strategy'!$D$13,0&lt;4))),1,0),IF(AND(I327+J327-K327&gt;0,OR('Debt strategy'!$D$10&gt;'Debt strategy'!$D$13,AND('Debt strategy'!$D$10='Debt strategy'!$D$13,1&lt;4))),1,0),IF(AND(O327+P327-Q327&gt;0,OR('Debt strategy'!$D$11&gt;'Debt strategy'!$D$13,AND('Debt strategy'!$D$11='Debt strategy'!$D$13,2&lt;4))),1,0),IF(AND(U327+V327-W327&gt;0,OR('Debt strategy'!$D$12&gt;'Debt strategy'!$D$13,AND('Debt strategy'!$D$12='Debt strategy'!$D$13,3&lt;4))),1,0)))</x:f>
        <x:v>99</x:v>
      </x:c>
      <x:c r="AE327" s="6" t="n">
        <x:f>IF('Debt strategy'!$C$16&gt;0,0,MIN(AA327+AB327-AC327,MAX(0,'Debt strategy'!$C$5-SUM(E327,K327,Q327,W327,AC327)-SUM(IF(F327&lt;AD327,C327+D327-E327,0),IF(L327&lt;AD327,I327+J327-K327,0),IF(R327&lt;AD327,O327+P327-Q327,0),IF(X327&lt;AD327,U327+V327-W327,0)))))</x:f>
        <x:v>0</x:v>
      </x:c>
      <x:c r="AF327" s="6" t="n">
        <x:f>ROUND(MAX(0,AA327+AB327-AC327-AE327),2)</x:f>
        <x:v>0</x:v>
      </x:c>
      <x:c r="AG327" s="6" t="n">
        <x:f>SUM(H327,N327,T327,Z327,AF327)</x:f>
        <x:v>0</x:v>
      </x:c>
      <x:c r="AH327" s="6" t="n">
        <x:f>SUM(D327,J327,P327,V327,AB327)+AH326</x:f>
        <x:v>1220.8400000000001</x:v>
      </x:c>
      <x:c r="AI327" s="2"/>
    </x:row>
    <x:row r="328" ht="23" customHeight="1">
      <x:c r="B328" s="2" t="n">
        <x:f>320</x:f>
        <x:v>320</x:v>
      </x:c>
      <x:c r="C328" s="6" t="n">
        <x:f>H327</x:f>
        <x:v>0</x:v>
      </x:c>
      <x:c r="D328" s="6" t="n">
        <x:f>ROUND(C328*'Debt strategy'!$D$9/12,2)</x:f>
        <x:v>0</x:v>
      </x:c>
      <x:c r="E328" s="6" t="n">
        <x:f>MIN(C328+D328,'Debt strategy'!$E$9)</x:f>
        <x:v>0</x:v>
      </x:c>
      <x:c r="F328" s="27" t="n">
        <x:f>IF(C328+D328-E328&lt;=0,99,1+SUM(IF(AND(I328+J328-K328&gt;0,OR('Debt strategy'!$D$10&gt;'Debt strategy'!$D$9,AND('Debt strategy'!$D$10='Debt strategy'!$D$9,1&lt;0))),1,0),IF(AND(O328+P328-Q328&gt;0,OR('Debt strategy'!$D$11&gt;'Debt strategy'!$D$9,AND('Debt strategy'!$D$11='Debt strategy'!$D$9,2&lt;0))),1,0),IF(AND(U328+V328-W328&gt;0,OR('Debt strategy'!$D$12&gt;'Debt strategy'!$D$9,AND('Debt strategy'!$D$12='Debt strategy'!$D$9,3&lt;0))),1,0),IF(AND(AA328+AB328-AC328&gt;0,OR('Debt strategy'!$D$13&gt;'Debt strategy'!$D$9,AND('Debt strategy'!$D$13='Debt strategy'!$D$9,4&lt;0))),1,0)))</x:f>
        <x:v>99</x:v>
      </x:c>
      <x:c r="G328" s="6" t="n">
        <x:f>IF('Debt strategy'!$C$16&gt;0,0,MIN(C328+D328-E328,MAX(0,'Debt strategy'!$C$5-SUM(E328,K328,Q328,W328,AC328)-SUM(IF(L328&lt;F328,I328+J328-K328,0),IF(R328&lt;F328,O328+P328-Q328,0),IF(X328&lt;F328,U328+V328-W328,0),IF(AD328&lt;F328,AA328+AB328-AC328,0)))))</x:f>
        <x:v>0</x:v>
      </x:c>
      <x:c r="H328" s="6" t="n">
        <x:f>ROUND(MAX(0,C328+D328-E328-G328),2)</x:f>
        <x:v>0</x:v>
      </x:c>
      <x:c r="I328" s="6" t="n">
        <x:f>N327</x:f>
        <x:v>0</x:v>
      </x:c>
      <x:c r="J328" s="6" t="n">
        <x:f>ROUND(I328*'Debt strategy'!$D$10/12,2)</x:f>
        <x:v>0</x:v>
      </x:c>
      <x:c r="K328" s="6" t="n">
        <x:f>MIN(I328+J328,'Debt strategy'!$E$10)</x:f>
        <x:v>0</x:v>
      </x:c>
      <x:c r="L328" s="27" t="n">
        <x:f>IF(I328+J328-K328&lt;=0,99,1+SUM(IF(AND(C328+D328-E328&gt;0,OR('Debt strategy'!$D$9&gt;'Debt strategy'!$D$10,AND('Debt strategy'!$D$9='Debt strategy'!$D$10,0&lt;1))),1,0),IF(AND(O328+P328-Q328&gt;0,OR('Debt strategy'!$D$11&gt;'Debt strategy'!$D$10,AND('Debt strategy'!$D$11='Debt strategy'!$D$10,2&lt;1))),1,0),IF(AND(U328+V328-W328&gt;0,OR('Debt strategy'!$D$12&gt;'Debt strategy'!$D$10,AND('Debt strategy'!$D$12='Debt strategy'!$D$10,3&lt;1))),1,0),IF(AND(AA328+AB328-AC328&gt;0,OR('Debt strategy'!$D$13&gt;'Debt strategy'!$D$10,AND('Debt strategy'!$D$13='Debt strategy'!$D$10,4&lt;1))),1,0)))</x:f>
        <x:v>99</x:v>
      </x:c>
      <x:c r="M328" s="6" t="n">
        <x:f>IF('Debt strategy'!$C$16&gt;0,0,MIN(I328+J328-K328,MAX(0,'Debt strategy'!$C$5-SUM(E328,K328,Q328,W328,AC328)-SUM(IF(F328&lt;L328,C328+D328-E328,0),IF(R328&lt;L328,O328+P328-Q328,0),IF(X328&lt;L328,U328+V328-W328,0),IF(AD328&lt;L328,AA328+AB328-AC328,0)))))</x:f>
        <x:v>0</x:v>
      </x:c>
      <x:c r="N328" s="6" t="n">
        <x:f>ROUND(MAX(0,I328+J328-K328-M328),2)</x:f>
        <x:v>0</x:v>
      </x:c>
      <x:c r="O328" s="6" t="n">
        <x:f>T327</x:f>
        <x:v>0</x:v>
      </x:c>
      <x:c r="P328" s="6" t="n">
        <x:f>ROUND(O328*'Debt strategy'!$D$11/12,2)</x:f>
        <x:v>0</x:v>
      </x:c>
      <x:c r="Q328" s="6" t="n">
        <x:f>MIN(O328+P328,'Debt strategy'!$E$11)</x:f>
        <x:v>0</x:v>
      </x:c>
      <x:c r="R328" s="27" t="n">
        <x:f>IF(O328+P328-Q328&lt;=0,99,1+SUM(IF(AND(C328+D328-E328&gt;0,OR('Debt strategy'!$D$9&gt;'Debt strategy'!$D$11,AND('Debt strategy'!$D$9='Debt strategy'!$D$11,0&lt;2))),1,0),IF(AND(I328+J328-K328&gt;0,OR('Debt strategy'!$D$10&gt;'Debt strategy'!$D$11,AND('Debt strategy'!$D$10='Debt strategy'!$D$11,1&lt;2))),1,0),IF(AND(U328+V328-W328&gt;0,OR('Debt strategy'!$D$12&gt;'Debt strategy'!$D$11,AND('Debt strategy'!$D$12='Debt strategy'!$D$11,3&lt;2))),1,0),IF(AND(AA328+AB328-AC328&gt;0,OR('Debt strategy'!$D$13&gt;'Debt strategy'!$D$11,AND('Debt strategy'!$D$13='Debt strategy'!$D$11,4&lt;2))),1,0)))</x:f>
        <x:v>99</x:v>
      </x:c>
      <x:c r="S328" s="6" t="n">
        <x:f>IF('Debt strategy'!$C$16&gt;0,0,MIN(O328+P328-Q328,MAX(0,'Debt strategy'!$C$5-SUM(E328,K328,Q328,W328,AC328)-SUM(IF(F328&lt;R328,C328+D328-E328,0),IF(L328&lt;R328,I328+J328-K328,0),IF(X328&lt;R328,U328+V328-W328,0),IF(AD328&lt;R328,AA328+AB328-AC328,0)))))</x:f>
        <x:v>0</x:v>
      </x:c>
      <x:c r="T328" s="6" t="n">
        <x:f>ROUND(MAX(0,O328+P328-Q328-S328),2)</x:f>
        <x:v>0</x:v>
      </x:c>
      <x:c r="U328" s="6" t="n">
        <x:f>Z327</x:f>
        <x:v>0</x:v>
      </x:c>
      <x:c r="V328" s="6" t="n">
        <x:f>ROUND(U328*'Debt strategy'!$D$12/12,2)</x:f>
        <x:v>0</x:v>
      </x:c>
      <x:c r="W328" s="6" t="n">
        <x:f>MIN(U328+V328,'Debt strategy'!$E$12)</x:f>
        <x:v>0</x:v>
      </x:c>
      <x:c r="X328" s="27" t="n">
        <x:f>IF(U328+V328-W328&lt;=0,99,1+SUM(IF(AND(C328+D328-E328&gt;0,OR('Debt strategy'!$D$9&gt;'Debt strategy'!$D$12,AND('Debt strategy'!$D$9='Debt strategy'!$D$12,0&lt;3))),1,0),IF(AND(I328+J328-K328&gt;0,OR('Debt strategy'!$D$10&gt;'Debt strategy'!$D$12,AND('Debt strategy'!$D$10='Debt strategy'!$D$12,1&lt;3))),1,0),IF(AND(O328+P328-Q328&gt;0,OR('Debt strategy'!$D$11&gt;'Debt strategy'!$D$12,AND('Debt strategy'!$D$11='Debt strategy'!$D$12,2&lt;3))),1,0),IF(AND(AA328+AB328-AC328&gt;0,OR('Debt strategy'!$D$13&gt;'Debt strategy'!$D$12,AND('Debt strategy'!$D$13='Debt strategy'!$D$12,4&lt;3))),1,0)))</x:f>
        <x:v>99</x:v>
      </x:c>
      <x:c r="Y328" s="6" t="n">
        <x:f>IF('Debt strategy'!$C$16&gt;0,0,MIN(U328+V328-W328,MAX(0,'Debt strategy'!$C$5-SUM(E328,K328,Q328,W328,AC328)-SUM(IF(F328&lt;X328,C328+D328-E328,0),IF(L328&lt;X328,I328+J328-K328,0),IF(R328&lt;X328,O328+P328-Q328,0),IF(AD328&lt;X328,AA328+AB328-AC328,0)))))</x:f>
        <x:v>0</x:v>
      </x:c>
      <x:c r="Z328" s="6" t="n">
        <x:f>ROUND(MAX(0,U328+V328-W328-Y328),2)</x:f>
        <x:v>0</x:v>
      </x:c>
      <x:c r="AA328" s="6" t="n">
        <x:f>AF327</x:f>
        <x:v>0</x:v>
      </x:c>
      <x:c r="AB328" s="6" t="n">
        <x:f>ROUND(AA328*'Debt strategy'!$D$13/12,2)</x:f>
        <x:v>0</x:v>
      </x:c>
      <x:c r="AC328" s="6" t="n">
        <x:f>MIN(AA328+AB328,'Debt strategy'!$E$13)</x:f>
        <x:v>0</x:v>
      </x:c>
      <x:c r="AD328" s="27" t="n">
        <x:f>IF(AA328+AB328-AC328&lt;=0,99,1+SUM(IF(AND(C328+D328-E328&gt;0,OR('Debt strategy'!$D$9&gt;'Debt strategy'!$D$13,AND('Debt strategy'!$D$9='Debt strategy'!$D$13,0&lt;4))),1,0),IF(AND(I328+J328-K328&gt;0,OR('Debt strategy'!$D$10&gt;'Debt strategy'!$D$13,AND('Debt strategy'!$D$10='Debt strategy'!$D$13,1&lt;4))),1,0),IF(AND(O328+P328-Q328&gt;0,OR('Debt strategy'!$D$11&gt;'Debt strategy'!$D$13,AND('Debt strategy'!$D$11='Debt strategy'!$D$13,2&lt;4))),1,0),IF(AND(U328+V328-W328&gt;0,OR('Debt strategy'!$D$12&gt;'Debt strategy'!$D$13,AND('Debt strategy'!$D$12='Debt strategy'!$D$13,3&lt;4))),1,0)))</x:f>
        <x:v>99</x:v>
      </x:c>
      <x:c r="AE328" s="6" t="n">
        <x:f>IF('Debt strategy'!$C$16&gt;0,0,MIN(AA328+AB328-AC328,MAX(0,'Debt strategy'!$C$5-SUM(E328,K328,Q328,W328,AC328)-SUM(IF(F328&lt;AD328,C328+D328-E328,0),IF(L328&lt;AD328,I328+J328-K328,0),IF(R328&lt;AD328,O328+P328-Q328,0),IF(X328&lt;AD328,U328+V328-W328,0)))))</x:f>
        <x:v>0</x:v>
      </x:c>
      <x:c r="AF328" s="6" t="n">
        <x:f>ROUND(MAX(0,AA328+AB328-AC328-AE328),2)</x:f>
        <x:v>0</x:v>
      </x:c>
      <x:c r="AG328" s="6" t="n">
        <x:f>SUM(H328,N328,T328,Z328,AF328)</x:f>
        <x:v>0</x:v>
      </x:c>
      <x:c r="AH328" s="6" t="n">
        <x:f>SUM(D328,J328,P328,V328,AB328)+AH327</x:f>
        <x:v>1220.8400000000001</x:v>
      </x:c>
      <x:c r="AI328" s="2"/>
    </x:row>
    <x:row r="329" ht="23" customHeight="1">
      <x:c r="B329" s="2" t="n">
        <x:f>321</x:f>
        <x:v>321</x:v>
      </x:c>
      <x:c r="C329" s="6" t="n">
        <x:f>H328</x:f>
        <x:v>0</x:v>
      </x:c>
      <x:c r="D329" s="6" t="n">
        <x:f>ROUND(C329*'Debt strategy'!$D$9/12,2)</x:f>
        <x:v>0</x:v>
      </x:c>
      <x:c r="E329" s="6" t="n">
        <x:f>MIN(C329+D329,'Debt strategy'!$E$9)</x:f>
        <x:v>0</x:v>
      </x:c>
      <x:c r="F329" s="27" t="n">
        <x:f>IF(C329+D329-E329&lt;=0,99,1+SUM(IF(AND(I329+J329-K329&gt;0,OR('Debt strategy'!$D$10&gt;'Debt strategy'!$D$9,AND('Debt strategy'!$D$10='Debt strategy'!$D$9,1&lt;0))),1,0),IF(AND(O329+P329-Q329&gt;0,OR('Debt strategy'!$D$11&gt;'Debt strategy'!$D$9,AND('Debt strategy'!$D$11='Debt strategy'!$D$9,2&lt;0))),1,0),IF(AND(U329+V329-W329&gt;0,OR('Debt strategy'!$D$12&gt;'Debt strategy'!$D$9,AND('Debt strategy'!$D$12='Debt strategy'!$D$9,3&lt;0))),1,0),IF(AND(AA329+AB329-AC329&gt;0,OR('Debt strategy'!$D$13&gt;'Debt strategy'!$D$9,AND('Debt strategy'!$D$13='Debt strategy'!$D$9,4&lt;0))),1,0)))</x:f>
        <x:v>99</x:v>
      </x:c>
      <x:c r="G329" s="6" t="n">
        <x:f>IF('Debt strategy'!$C$16&gt;0,0,MIN(C329+D329-E329,MAX(0,'Debt strategy'!$C$5-SUM(E329,K329,Q329,W329,AC329)-SUM(IF(L329&lt;F329,I329+J329-K329,0),IF(R329&lt;F329,O329+P329-Q329,0),IF(X329&lt;F329,U329+V329-W329,0),IF(AD329&lt;F329,AA329+AB329-AC329,0)))))</x:f>
        <x:v>0</x:v>
      </x:c>
      <x:c r="H329" s="6" t="n">
        <x:f>ROUND(MAX(0,C329+D329-E329-G329),2)</x:f>
        <x:v>0</x:v>
      </x:c>
      <x:c r="I329" s="6" t="n">
        <x:f>N328</x:f>
        <x:v>0</x:v>
      </x:c>
      <x:c r="J329" s="6" t="n">
        <x:f>ROUND(I329*'Debt strategy'!$D$10/12,2)</x:f>
        <x:v>0</x:v>
      </x:c>
      <x:c r="K329" s="6" t="n">
        <x:f>MIN(I329+J329,'Debt strategy'!$E$10)</x:f>
        <x:v>0</x:v>
      </x:c>
      <x:c r="L329" s="27" t="n">
        <x:f>IF(I329+J329-K329&lt;=0,99,1+SUM(IF(AND(C329+D329-E329&gt;0,OR('Debt strategy'!$D$9&gt;'Debt strategy'!$D$10,AND('Debt strategy'!$D$9='Debt strategy'!$D$10,0&lt;1))),1,0),IF(AND(O329+P329-Q329&gt;0,OR('Debt strategy'!$D$11&gt;'Debt strategy'!$D$10,AND('Debt strategy'!$D$11='Debt strategy'!$D$10,2&lt;1))),1,0),IF(AND(U329+V329-W329&gt;0,OR('Debt strategy'!$D$12&gt;'Debt strategy'!$D$10,AND('Debt strategy'!$D$12='Debt strategy'!$D$10,3&lt;1))),1,0),IF(AND(AA329+AB329-AC329&gt;0,OR('Debt strategy'!$D$13&gt;'Debt strategy'!$D$10,AND('Debt strategy'!$D$13='Debt strategy'!$D$10,4&lt;1))),1,0)))</x:f>
        <x:v>99</x:v>
      </x:c>
      <x:c r="M329" s="6" t="n">
        <x:f>IF('Debt strategy'!$C$16&gt;0,0,MIN(I329+J329-K329,MAX(0,'Debt strategy'!$C$5-SUM(E329,K329,Q329,W329,AC329)-SUM(IF(F329&lt;L329,C329+D329-E329,0),IF(R329&lt;L329,O329+P329-Q329,0),IF(X329&lt;L329,U329+V329-W329,0),IF(AD329&lt;L329,AA329+AB329-AC329,0)))))</x:f>
        <x:v>0</x:v>
      </x:c>
      <x:c r="N329" s="6" t="n">
        <x:f>ROUND(MAX(0,I329+J329-K329-M329),2)</x:f>
        <x:v>0</x:v>
      </x:c>
      <x:c r="O329" s="6" t="n">
        <x:f>T328</x:f>
        <x:v>0</x:v>
      </x:c>
      <x:c r="P329" s="6" t="n">
        <x:f>ROUND(O329*'Debt strategy'!$D$11/12,2)</x:f>
        <x:v>0</x:v>
      </x:c>
      <x:c r="Q329" s="6" t="n">
        <x:f>MIN(O329+P329,'Debt strategy'!$E$11)</x:f>
        <x:v>0</x:v>
      </x:c>
      <x:c r="R329" s="27" t="n">
        <x:f>IF(O329+P329-Q329&lt;=0,99,1+SUM(IF(AND(C329+D329-E329&gt;0,OR('Debt strategy'!$D$9&gt;'Debt strategy'!$D$11,AND('Debt strategy'!$D$9='Debt strategy'!$D$11,0&lt;2))),1,0),IF(AND(I329+J329-K329&gt;0,OR('Debt strategy'!$D$10&gt;'Debt strategy'!$D$11,AND('Debt strategy'!$D$10='Debt strategy'!$D$11,1&lt;2))),1,0),IF(AND(U329+V329-W329&gt;0,OR('Debt strategy'!$D$12&gt;'Debt strategy'!$D$11,AND('Debt strategy'!$D$12='Debt strategy'!$D$11,3&lt;2))),1,0),IF(AND(AA329+AB329-AC329&gt;0,OR('Debt strategy'!$D$13&gt;'Debt strategy'!$D$11,AND('Debt strategy'!$D$13='Debt strategy'!$D$11,4&lt;2))),1,0)))</x:f>
        <x:v>99</x:v>
      </x:c>
      <x:c r="S329" s="6" t="n">
        <x:f>IF('Debt strategy'!$C$16&gt;0,0,MIN(O329+P329-Q329,MAX(0,'Debt strategy'!$C$5-SUM(E329,K329,Q329,W329,AC329)-SUM(IF(F329&lt;R329,C329+D329-E329,0),IF(L329&lt;R329,I329+J329-K329,0),IF(X329&lt;R329,U329+V329-W329,0),IF(AD329&lt;R329,AA329+AB329-AC329,0)))))</x:f>
        <x:v>0</x:v>
      </x:c>
      <x:c r="T329" s="6" t="n">
        <x:f>ROUND(MAX(0,O329+P329-Q329-S329),2)</x:f>
        <x:v>0</x:v>
      </x:c>
      <x:c r="U329" s="6" t="n">
        <x:f>Z328</x:f>
        <x:v>0</x:v>
      </x:c>
      <x:c r="V329" s="6" t="n">
        <x:f>ROUND(U329*'Debt strategy'!$D$12/12,2)</x:f>
        <x:v>0</x:v>
      </x:c>
      <x:c r="W329" s="6" t="n">
        <x:f>MIN(U329+V329,'Debt strategy'!$E$12)</x:f>
        <x:v>0</x:v>
      </x:c>
      <x:c r="X329" s="27" t="n">
        <x:f>IF(U329+V329-W329&lt;=0,99,1+SUM(IF(AND(C329+D329-E329&gt;0,OR('Debt strategy'!$D$9&gt;'Debt strategy'!$D$12,AND('Debt strategy'!$D$9='Debt strategy'!$D$12,0&lt;3))),1,0),IF(AND(I329+J329-K329&gt;0,OR('Debt strategy'!$D$10&gt;'Debt strategy'!$D$12,AND('Debt strategy'!$D$10='Debt strategy'!$D$12,1&lt;3))),1,0),IF(AND(O329+P329-Q329&gt;0,OR('Debt strategy'!$D$11&gt;'Debt strategy'!$D$12,AND('Debt strategy'!$D$11='Debt strategy'!$D$12,2&lt;3))),1,0),IF(AND(AA329+AB329-AC329&gt;0,OR('Debt strategy'!$D$13&gt;'Debt strategy'!$D$12,AND('Debt strategy'!$D$13='Debt strategy'!$D$12,4&lt;3))),1,0)))</x:f>
        <x:v>99</x:v>
      </x:c>
      <x:c r="Y329" s="6" t="n">
        <x:f>IF('Debt strategy'!$C$16&gt;0,0,MIN(U329+V329-W329,MAX(0,'Debt strategy'!$C$5-SUM(E329,K329,Q329,W329,AC329)-SUM(IF(F329&lt;X329,C329+D329-E329,0),IF(L329&lt;X329,I329+J329-K329,0),IF(R329&lt;X329,O329+P329-Q329,0),IF(AD329&lt;X329,AA329+AB329-AC329,0)))))</x:f>
        <x:v>0</x:v>
      </x:c>
      <x:c r="Z329" s="6" t="n">
        <x:f>ROUND(MAX(0,U329+V329-W329-Y329),2)</x:f>
        <x:v>0</x:v>
      </x:c>
      <x:c r="AA329" s="6" t="n">
        <x:f>AF328</x:f>
        <x:v>0</x:v>
      </x:c>
      <x:c r="AB329" s="6" t="n">
        <x:f>ROUND(AA329*'Debt strategy'!$D$13/12,2)</x:f>
        <x:v>0</x:v>
      </x:c>
      <x:c r="AC329" s="6" t="n">
        <x:f>MIN(AA329+AB329,'Debt strategy'!$E$13)</x:f>
        <x:v>0</x:v>
      </x:c>
      <x:c r="AD329" s="27" t="n">
        <x:f>IF(AA329+AB329-AC329&lt;=0,99,1+SUM(IF(AND(C329+D329-E329&gt;0,OR('Debt strategy'!$D$9&gt;'Debt strategy'!$D$13,AND('Debt strategy'!$D$9='Debt strategy'!$D$13,0&lt;4))),1,0),IF(AND(I329+J329-K329&gt;0,OR('Debt strategy'!$D$10&gt;'Debt strategy'!$D$13,AND('Debt strategy'!$D$10='Debt strategy'!$D$13,1&lt;4))),1,0),IF(AND(O329+P329-Q329&gt;0,OR('Debt strategy'!$D$11&gt;'Debt strategy'!$D$13,AND('Debt strategy'!$D$11='Debt strategy'!$D$13,2&lt;4))),1,0),IF(AND(U329+V329-W329&gt;0,OR('Debt strategy'!$D$12&gt;'Debt strategy'!$D$13,AND('Debt strategy'!$D$12='Debt strategy'!$D$13,3&lt;4))),1,0)))</x:f>
        <x:v>99</x:v>
      </x:c>
      <x:c r="AE329" s="6" t="n">
        <x:f>IF('Debt strategy'!$C$16&gt;0,0,MIN(AA329+AB329-AC329,MAX(0,'Debt strategy'!$C$5-SUM(E329,K329,Q329,W329,AC329)-SUM(IF(F329&lt;AD329,C329+D329-E329,0),IF(L329&lt;AD329,I329+J329-K329,0),IF(R329&lt;AD329,O329+P329-Q329,0),IF(X329&lt;AD329,U329+V329-W329,0)))))</x:f>
        <x:v>0</x:v>
      </x:c>
      <x:c r="AF329" s="6" t="n">
        <x:f>ROUND(MAX(0,AA329+AB329-AC329-AE329),2)</x:f>
        <x:v>0</x:v>
      </x:c>
      <x:c r="AG329" s="6" t="n">
        <x:f>SUM(H329,N329,T329,Z329,AF329)</x:f>
        <x:v>0</x:v>
      </x:c>
      <x:c r="AH329" s="6" t="n">
        <x:f>SUM(D329,J329,P329,V329,AB329)+AH328</x:f>
        <x:v>1220.8400000000001</x:v>
      </x:c>
      <x:c r="AI329" s="2"/>
    </x:row>
    <x:row r="330" ht="23" customHeight="1">
      <x:c r="B330" s="2" t="n">
        <x:f>322</x:f>
        <x:v>322</x:v>
      </x:c>
      <x:c r="C330" s="6" t="n">
        <x:f>H329</x:f>
        <x:v>0</x:v>
      </x:c>
      <x:c r="D330" s="6" t="n">
        <x:f>ROUND(C330*'Debt strategy'!$D$9/12,2)</x:f>
        <x:v>0</x:v>
      </x:c>
      <x:c r="E330" s="6" t="n">
        <x:f>MIN(C330+D330,'Debt strategy'!$E$9)</x:f>
        <x:v>0</x:v>
      </x:c>
      <x:c r="F330" s="27" t="n">
        <x:f>IF(C330+D330-E330&lt;=0,99,1+SUM(IF(AND(I330+J330-K330&gt;0,OR('Debt strategy'!$D$10&gt;'Debt strategy'!$D$9,AND('Debt strategy'!$D$10='Debt strategy'!$D$9,1&lt;0))),1,0),IF(AND(O330+P330-Q330&gt;0,OR('Debt strategy'!$D$11&gt;'Debt strategy'!$D$9,AND('Debt strategy'!$D$11='Debt strategy'!$D$9,2&lt;0))),1,0),IF(AND(U330+V330-W330&gt;0,OR('Debt strategy'!$D$12&gt;'Debt strategy'!$D$9,AND('Debt strategy'!$D$12='Debt strategy'!$D$9,3&lt;0))),1,0),IF(AND(AA330+AB330-AC330&gt;0,OR('Debt strategy'!$D$13&gt;'Debt strategy'!$D$9,AND('Debt strategy'!$D$13='Debt strategy'!$D$9,4&lt;0))),1,0)))</x:f>
        <x:v>99</x:v>
      </x:c>
      <x:c r="G330" s="6" t="n">
        <x:f>IF('Debt strategy'!$C$16&gt;0,0,MIN(C330+D330-E330,MAX(0,'Debt strategy'!$C$5-SUM(E330,K330,Q330,W330,AC330)-SUM(IF(L330&lt;F330,I330+J330-K330,0),IF(R330&lt;F330,O330+P330-Q330,0),IF(X330&lt;F330,U330+V330-W330,0),IF(AD330&lt;F330,AA330+AB330-AC330,0)))))</x:f>
        <x:v>0</x:v>
      </x:c>
      <x:c r="H330" s="6" t="n">
        <x:f>ROUND(MAX(0,C330+D330-E330-G330),2)</x:f>
        <x:v>0</x:v>
      </x:c>
      <x:c r="I330" s="6" t="n">
        <x:f>N329</x:f>
        <x:v>0</x:v>
      </x:c>
      <x:c r="J330" s="6" t="n">
        <x:f>ROUND(I330*'Debt strategy'!$D$10/12,2)</x:f>
        <x:v>0</x:v>
      </x:c>
      <x:c r="K330" s="6" t="n">
        <x:f>MIN(I330+J330,'Debt strategy'!$E$10)</x:f>
        <x:v>0</x:v>
      </x:c>
      <x:c r="L330" s="27" t="n">
        <x:f>IF(I330+J330-K330&lt;=0,99,1+SUM(IF(AND(C330+D330-E330&gt;0,OR('Debt strategy'!$D$9&gt;'Debt strategy'!$D$10,AND('Debt strategy'!$D$9='Debt strategy'!$D$10,0&lt;1))),1,0),IF(AND(O330+P330-Q330&gt;0,OR('Debt strategy'!$D$11&gt;'Debt strategy'!$D$10,AND('Debt strategy'!$D$11='Debt strategy'!$D$10,2&lt;1))),1,0),IF(AND(U330+V330-W330&gt;0,OR('Debt strategy'!$D$12&gt;'Debt strategy'!$D$10,AND('Debt strategy'!$D$12='Debt strategy'!$D$10,3&lt;1))),1,0),IF(AND(AA330+AB330-AC330&gt;0,OR('Debt strategy'!$D$13&gt;'Debt strategy'!$D$10,AND('Debt strategy'!$D$13='Debt strategy'!$D$10,4&lt;1))),1,0)))</x:f>
        <x:v>99</x:v>
      </x:c>
      <x:c r="M330" s="6" t="n">
        <x:f>IF('Debt strategy'!$C$16&gt;0,0,MIN(I330+J330-K330,MAX(0,'Debt strategy'!$C$5-SUM(E330,K330,Q330,W330,AC330)-SUM(IF(F330&lt;L330,C330+D330-E330,0),IF(R330&lt;L330,O330+P330-Q330,0),IF(X330&lt;L330,U330+V330-W330,0),IF(AD330&lt;L330,AA330+AB330-AC330,0)))))</x:f>
        <x:v>0</x:v>
      </x:c>
      <x:c r="N330" s="6" t="n">
        <x:f>ROUND(MAX(0,I330+J330-K330-M330),2)</x:f>
        <x:v>0</x:v>
      </x:c>
      <x:c r="O330" s="6" t="n">
        <x:f>T329</x:f>
        <x:v>0</x:v>
      </x:c>
      <x:c r="P330" s="6" t="n">
        <x:f>ROUND(O330*'Debt strategy'!$D$11/12,2)</x:f>
        <x:v>0</x:v>
      </x:c>
      <x:c r="Q330" s="6" t="n">
        <x:f>MIN(O330+P330,'Debt strategy'!$E$11)</x:f>
        <x:v>0</x:v>
      </x:c>
      <x:c r="R330" s="27" t="n">
        <x:f>IF(O330+P330-Q330&lt;=0,99,1+SUM(IF(AND(C330+D330-E330&gt;0,OR('Debt strategy'!$D$9&gt;'Debt strategy'!$D$11,AND('Debt strategy'!$D$9='Debt strategy'!$D$11,0&lt;2))),1,0),IF(AND(I330+J330-K330&gt;0,OR('Debt strategy'!$D$10&gt;'Debt strategy'!$D$11,AND('Debt strategy'!$D$10='Debt strategy'!$D$11,1&lt;2))),1,0),IF(AND(U330+V330-W330&gt;0,OR('Debt strategy'!$D$12&gt;'Debt strategy'!$D$11,AND('Debt strategy'!$D$12='Debt strategy'!$D$11,3&lt;2))),1,0),IF(AND(AA330+AB330-AC330&gt;0,OR('Debt strategy'!$D$13&gt;'Debt strategy'!$D$11,AND('Debt strategy'!$D$13='Debt strategy'!$D$11,4&lt;2))),1,0)))</x:f>
        <x:v>99</x:v>
      </x:c>
      <x:c r="S330" s="6" t="n">
        <x:f>IF('Debt strategy'!$C$16&gt;0,0,MIN(O330+P330-Q330,MAX(0,'Debt strategy'!$C$5-SUM(E330,K330,Q330,W330,AC330)-SUM(IF(F330&lt;R330,C330+D330-E330,0),IF(L330&lt;R330,I330+J330-K330,0),IF(X330&lt;R330,U330+V330-W330,0),IF(AD330&lt;R330,AA330+AB330-AC330,0)))))</x:f>
        <x:v>0</x:v>
      </x:c>
      <x:c r="T330" s="6" t="n">
        <x:f>ROUND(MAX(0,O330+P330-Q330-S330),2)</x:f>
        <x:v>0</x:v>
      </x:c>
      <x:c r="U330" s="6" t="n">
        <x:f>Z329</x:f>
        <x:v>0</x:v>
      </x:c>
      <x:c r="V330" s="6" t="n">
        <x:f>ROUND(U330*'Debt strategy'!$D$12/12,2)</x:f>
        <x:v>0</x:v>
      </x:c>
      <x:c r="W330" s="6" t="n">
        <x:f>MIN(U330+V330,'Debt strategy'!$E$12)</x:f>
        <x:v>0</x:v>
      </x:c>
      <x:c r="X330" s="27" t="n">
        <x:f>IF(U330+V330-W330&lt;=0,99,1+SUM(IF(AND(C330+D330-E330&gt;0,OR('Debt strategy'!$D$9&gt;'Debt strategy'!$D$12,AND('Debt strategy'!$D$9='Debt strategy'!$D$12,0&lt;3))),1,0),IF(AND(I330+J330-K330&gt;0,OR('Debt strategy'!$D$10&gt;'Debt strategy'!$D$12,AND('Debt strategy'!$D$10='Debt strategy'!$D$12,1&lt;3))),1,0),IF(AND(O330+P330-Q330&gt;0,OR('Debt strategy'!$D$11&gt;'Debt strategy'!$D$12,AND('Debt strategy'!$D$11='Debt strategy'!$D$12,2&lt;3))),1,0),IF(AND(AA330+AB330-AC330&gt;0,OR('Debt strategy'!$D$13&gt;'Debt strategy'!$D$12,AND('Debt strategy'!$D$13='Debt strategy'!$D$12,4&lt;3))),1,0)))</x:f>
        <x:v>99</x:v>
      </x:c>
      <x:c r="Y330" s="6" t="n">
        <x:f>IF('Debt strategy'!$C$16&gt;0,0,MIN(U330+V330-W330,MAX(0,'Debt strategy'!$C$5-SUM(E330,K330,Q330,W330,AC330)-SUM(IF(F330&lt;X330,C330+D330-E330,0),IF(L330&lt;X330,I330+J330-K330,0),IF(R330&lt;X330,O330+P330-Q330,0),IF(AD330&lt;X330,AA330+AB330-AC330,0)))))</x:f>
        <x:v>0</x:v>
      </x:c>
      <x:c r="Z330" s="6" t="n">
        <x:f>ROUND(MAX(0,U330+V330-W330-Y330),2)</x:f>
        <x:v>0</x:v>
      </x:c>
      <x:c r="AA330" s="6" t="n">
        <x:f>AF329</x:f>
        <x:v>0</x:v>
      </x:c>
      <x:c r="AB330" s="6" t="n">
        <x:f>ROUND(AA330*'Debt strategy'!$D$13/12,2)</x:f>
        <x:v>0</x:v>
      </x:c>
      <x:c r="AC330" s="6" t="n">
        <x:f>MIN(AA330+AB330,'Debt strategy'!$E$13)</x:f>
        <x:v>0</x:v>
      </x:c>
      <x:c r="AD330" s="27" t="n">
        <x:f>IF(AA330+AB330-AC330&lt;=0,99,1+SUM(IF(AND(C330+D330-E330&gt;0,OR('Debt strategy'!$D$9&gt;'Debt strategy'!$D$13,AND('Debt strategy'!$D$9='Debt strategy'!$D$13,0&lt;4))),1,0),IF(AND(I330+J330-K330&gt;0,OR('Debt strategy'!$D$10&gt;'Debt strategy'!$D$13,AND('Debt strategy'!$D$10='Debt strategy'!$D$13,1&lt;4))),1,0),IF(AND(O330+P330-Q330&gt;0,OR('Debt strategy'!$D$11&gt;'Debt strategy'!$D$13,AND('Debt strategy'!$D$11='Debt strategy'!$D$13,2&lt;4))),1,0),IF(AND(U330+V330-W330&gt;0,OR('Debt strategy'!$D$12&gt;'Debt strategy'!$D$13,AND('Debt strategy'!$D$12='Debt strategy'!$D$13,3&lt;4))),1,0)))</x:f>
        <x:v>99</x:v>
      </x:c>
      <x:c r="AE330" s="6" t="n">
        <x:f>IF('Debt strategy'!$C$16&gt;0,0,MIN(AA330+AB330-AC330,MAX(0,'Debt strategy'!$C$5-SUM(E330,K330,Q330,W330,AC330)-SUM(IF(F330&lt;AD330,C330+D330-E330,0),IF(L330&lt;AD330,I330+J330-K330,0),IF(R330&lt;AD330,O330+P330-Q330,0),IF(X330&lt;AD330,U330+V330-W330,0)))))</x:f>
        <x:v>0</x:v>
      </x:c>
      <x:c r="AF330" s="6" t="n">
        <x:f>ROUND(MAX(0,AA330+AB330-AC330-AE330),2)</x:f>
        <x:v>0</x:v>
      </x:c>
      <x:c r="AG330" s="6" t="n">
        <x:f>SUM(H330,N330,T330,Z330,AF330)</x:f>
        <x:v>0</x:v>
      </x:c>
      <x:c r="AH330" s="6" t="n">
        <x:f>SUM(D330,J330,P330,V330,AB330)+AH329</x:f>
        <x:v>1220.8400000000001</x:v>
      </x:c>
      <x:c r="AI330" s="2"/>
    </x:row>
    <x:row r="331" ht="23" customHeight="1">
      <x:c r="B331" s="2" t="n">
        <x:f>323</x:f>
        <x:v>323</x:v>
      </x:c>
      <x:c r="C331" s="6" t="n">
        <x:f>H330</x:f>
        <x:v>0</x:v>
      </x:c>
      <x:c r="D331" s="6" t="n">
        <x:f>ROUND(C331*'Debt strategy'!$D$9/12,2)</x:f>
        <x:v>0</x:v>
      </x:c>
      <x:c r="E331" s="6" t="n">
        <x:f>MIN(C331+D331,'Debt strategy'!$E$9)</x:f>
        <x:v>0</x:v>
      </x:c>
      <x:c r="F331" s="27" t="n">
        <x:f>IF(C331+D331-E331&lt;=0,99,1+SUM(IF(AND(I331+J331-K331&gt;0,OR('Debt strategy'!$D$10&gt;'Debt strategy'!$D$9,AND('Debt strategy'!$D$10='Debt strategy'!$D$9,1&lt;0))),1,0),IF(AND(O331+P331-Q331&gt;0,OR('Debt strategy'!$D$11&gt;'Debt strategy'!$D$9,AND('Debt strategy'!$D$11='Debt strategy'!$D$9,2&lt;0))),1,0),IF(AND(U331+V331-W331&gt;0,OR('Debt strategy'!$D$12&gt;'Debt strategy'!$D$9,AND('Debt strategy'!$D$12='Debt strategy'!$D$9,3&lt;0))),1,0),IF(AND(AA331+AB331-AC331&gt;0,OR('Debt strategy'!$D$13&gt;'Debt strategy'!$D$9,AND('Debt strategy'!$D$13='Debt strategy'!$D$9,4&lt;0))),1,0)))</x:f>
        <x:v>99</x:v>
      </x:c>
      <x:c r="G331" s="6" t="n">
        <x:f>IF('Debt strategy'!$C$16&gt;0,0,MIN(C331+D331-E331,MAX(0,'Debt strategy'!$C$5-SUM(E331,K331,Q331,W331,AC331)-SUM(IF(L331&lt;F331,I331+J331-K331,0),IF(R331&lt;F331,O331+P331-Q331,0),IF(X331&lt;F331,U331+V331-W331,0),IF(AD331&lt;F331,AA331+AB331-AC331,0)))))</x:f>
        <x:v>0</x:v>
      </x:c>
      <x:c r="H331" s="6" t="n">
        <x:f>ROUND(MAX(0,C331+D331-E331-G331),2)</x:f>
        <x:v>0</x:v>
      </x:c>
      <x:c r="I331" s="6" t="n">
        <x:f>N330</x:f>
        <x:v>0</x:v>
      </x:c>
      <x:c r="J331" s="6" t="n">
        <x:f>ROUND(I331*'Debt strategy'!$D$10/12,2)</x:f>
        <x:v>0</x:v>
      </x:c>
      <x:c r="K331" s="6" t="n">
        <x:f>MIN(I331+J331,'Debt strategy'!$E$10)</x:f>
        <x:v>0</x:v>
      </x:c>
      <x:c r="L331" s="27" t="n">
        <x:f>IF(I331+J331-K331&lt;=0,99,1+SUM(IF(AND(C331+D331-E331&gt;0,OR('Debt strategy'!$D$9&gt;'Debt strategy'!$D$10,AND('Debt strategy'!$D$9='Debt strategy'!$D$10,0&lt;1))),1,0),IF(AND(O331+P331-Q331&gt;0,OR('Debt strategy'!$D$11&gt;'Debt strategy'!$D$10,AND('Debt strategy'!$D$11='Debt strategy'!$D$10,2&lt;1))),1,0),IF(AND(U331+V331-W331&gt;0,OR('Debt strategy'!$D$12&gt;'Debt strategy'!$D$10,AND('Debt strategy'!$D$12='Debt strategy'!$D$10,3&lt;1))),1,0),IF(AND(AA331+AB331-AC331&gt;0,OR('Debt strategy'!$D$13&gt;'Debt strategy'!$D$10,AND('Debt strategy'!$D$13='Debt strategy'!$D$10,4&lt;1))),1,0)))</x:f>
        <x:v>99</x:v>
      </x:c>
      <x:c r="M331" s="6" t="n">
        <x:f>IF('Debt strategy'!$C$16&gt;0,0,MIN(I331+J331-K331,MAX(0,'Debt strategy'!$C$5-SUM(E331,K331,Q331,W331,AC331)-SUM(IF(F331&lt;L331,C331+D331-E331,0),IF(R331&lt;L331,O331+P331-Q331,0),IF(X331&lt;L331,U331+V331-W331,0),IF(AD331&lt;L331,AA331+AB331-AC331,0)))))</x:f>
        <x:v>0</x:v>
      </x:c>
      <x:c r="N331" s="6" t="n">
        <x:f>ROUND(MAX(0,I331+J331-K331-M331),2)</x:f>
        <x:v>0</x:v>
      </x:c>
      <x:c r="O331" s="6" t="n">
        <x:f>T330</x:f>
        <x:v>0</x:v>
      </x:c>
      <x:c r="P331" s="6" t="n">
        <x:f>ROUND(O331*'Debt strategy'!$D$11/12,2)</x:f>
        <x:v>0</x:v>
      </x:c>
      <x:c r="Q331" s="6" t="n">
        <x:f>MIN(O331+P331,'Debt strategy'!$E$11)</x:f>
        <x:v>0</x:v>
      </x:c>
      <x:c r="R331" s="27" t="n">
        <x:f>IF(O331+P331-Q331&lt;=0,99,1+SUM(IF(AND(C331+D331-E331&gt;0,OR('Debt strategy'!$D$9&gt;'Debt strategy'!$D$11,AND('Debt strategy'!$D$9='Debt strategy'!$D$11,0&lt;2))),1,0),IF(AND(I331+J331-K331&gt;0,OR('Debt strategy'!$D$10&gt;'Debt strategy'!$D$11,AND('Debt strategy'!$D$10='Debt strategy'!$D$11,1&lt;2))),1,0),IF(AND(U331+V331-W331&gt;0,OR('Debt strategy'!$D$12&gt;'Debt strategy'!$D$11,AND('Debt strategy'!$D$12='Debt strategy'!$D$11,3&lt;2))),1,0),IF(AND(AA331+AB331-AC331&gt;0,OR('Debt strategy'!$D$13&gt;'Debt strategy'!$D$11,AND('Debt strategy'!$D$13='Debt strategy'!$D$11,4&lt;2))),1,0)))</x:f>
        <x:v>99</x:v>
      </x:c>
      <x:c r="S331" s="6" t="n">
        <x:f>IF('Debt strategy'!$C$16&gt;0,0,MIN(O331+P331-Q331,MAX(0,'Debt strategy'!$C$5-SUM(E331,K331,Q331,W331,AC331)-SUM(IF(F331&lt;R331,C331+D331-E331,0),IF(L331&lt;R331,I331+J331-K331,0),IF(X331&lt;R331,U331+V331-W331,0),IF(AD331&lt;R331,AA331+AB331-AC331,0)))))</x:f>
        <x:v>0</x:v>
      </x:c>
      <x:c r="T331" s="6" t="n">
        <x:f>ROUND(MAX(0,O331+P331-Q331-S331),2)</x:f>
        <x:v>0</x:v>
      </x:c>
      <x:c r="U331" s="6" t="n">
        <x:f>Z330</x:f>
        <x:v>0</x:v>
      </x:c>
      <x:c r="V331" s="6" t="n">
        <x:f>ROUND(U331*'Debt strategy'!$D$12/12,2)</x:f>
        <x:v>0</x:v>
      </x:c>
      <x:c r="W331" s="6" t="n">
        <x:f>MIN(U331+V331,'Debt strategy'!$E$12)</x:f>
        <x:v>0</x:v>
      </x:c>
      <x:c r="X331" s="27" t="n">
        <x:f>IF(U331+V331-W331&lt;=0,99,1+SUM(IF(AND(C331+D331-E331&gt;0,OR('Debt strategy'!$D$9&gt;'Debt strategy'!$D$12,AND('Debt strategy'!$D$9='Debt strategy'!$D$12,0&lt;3))),1,0),IF(AND(I331+J331-K331&gt;0,OR('Debt strategy'!$D$10&gt;'Debt strategy'!$D$12,AND('Debt strategy'!$D$10='Debt strategy'!$D$12,1&lt;3))),1,0),IF(AND(O331+P331-Q331&gt;0,OR('Debt strategy'!$D$11&gt;'Debt strategy'!$D$12,AND('Debt strategy'!$D$11='Debt strategy'!$D$12,2&lt;3))),1,0),IF(AND(AA331+AB331-AC331&gt;0,OR('Debt strategy'!$D$13&gt;'Debt strategy'!$D$12,AND('Debt strategy'!$D$13='Debt strategy'!$D$12,4&lt;3))),1,0)))</x:f>
        <x:v>99</x:v>
      </x:c>
      <x:c r="Y331" s="6" t="n">
        <x:f>IF('Debt strategy'!$C$16&gt;0,0,MIN(U331+V331-W331,MAX(0,'Debt strategy'!$C$5-SUM(E331,K331,Q331,W331,AC331)-SUM(IF(F331&lt;X331,C331+D331-E331,0),IF(L331&lt;X331,I331+J331-K331,0),IF(R331&lt;X331,O331+P331-Q331,0),IF(AD331&lt;X331,AA331+AB331-AC331,0)))))</x:f>
        <x:v>0</x:v>
      </x:c>
      <x:c r="Z331" s="6" t="n">
        <x:f>ROUND(MAX(0,U331+V331-W331-Y331),2)</x:f>
        <x:v>0</x:v>
      </x:c>
      <x:c r="AA331" s="6" t="n">
        <x:f>AF330</x:f>
        <x:v>0</x:v>
      </x:c>
      <x:c r="AB331" s="6" t="n">
        <x:f>ROUND(AA331*'Debt strategy'!$D$13/12,2)</x:f>
        <x:v>0</x:v>
      </x:c>
      <x:c r="AC331" s="6" t="n">
        <x:f>MIN(AA331+AB331,'Debt strategy'!$E$13)</x:f>
        <x:v>0</x:v>
      </x:c>
      <x:c r="AD331" s="27" t="n">
        <x:f>IF(AA331+AB331-AC331&lt;=0,99,1+SUM(IF(AND(C331+D331-E331&gt;0,OR('Debt strategy'!$D$9&gt;'Debt strategy'!$D$13,AND('Debt strategy'!$D$9='Debt strategy'!$D$13,0&lt;4))),1,0),IF(AND(I331+J331-K331&gt;0,OR('Debt strategy'!$D$10&gt;'Debt strategy'!$D$13,AND('Debt strategy'!$D$10='Debt strategy'!$D$13,1&lt;4))),1,0),IF(AND(O331+P331-Q331&gt;0,OR('Debt strategy'!$D$11&gt;'Debt strategy'!$D$13,AND('Debt strategy'!$D$11='Debt strategy'!$D$13,2&lt;4))),1,0),IF(AND(U331+V331-W331&gt;0,OR('Debt strategy'!$D$12&gt;'Debt strategy'!$D$13,AND('Debt strategy'!$D$12='Debt strategy'!$D$13,3&lt;4))),1,0)))</x:f>
        <x:v>99</x:v>
      </x:c>
      <x:c r="AE331" s="6" t="n">
        <x:f>IF('Debt strategy'!$C$16&gt;0,0,MIN(AA331+AB331-AC331,MAX(0,'Debt strategy'!$C$5-SUM(E331,K331,Q331,W331,AC331)-SUM(IF(F331&lt;AD331,C331+D331-E331,0),IF(L331&lt;AD331,I331+J331-K331,0),IF(R331&lt;AD331,O331+P331-Q331,0),IF(X331&lt;AD331,U331+V331-W331,0)))))</x:f>
        <x:v>0</x:v>
      </x:c>
      <x:c r="AF331" s="6" t="n">
        <x:f>ROUND(MAX(0,AA331+AB331-AC331-AE331),2)</x:f>
        <x:v>0</x:v>
      </x:c>
      <x:c r="AG331" s="6" t="n">
        <x:f>SUM(H331,N331,T331,Z331,AF331)</x:f>
        <x:v>0</x:v>
      </x:c>
      <x:c r="AH331" s="6" t="n">
        <x:f>SUM(D331,J331,P331,V331,AB331)+AH330</x:f>
        <x:v>1220.8400000000001</x:v>
      </x:c>
      <x:c r="AI331" s="2"/>
    </x:row>
    <x:row r="332" ht="23" customHeight="1">
      <x:c r="B332" s="2" t="n">
        <x:f>324</x:f>
        <x:v>324</x:v>
      </x:c>
      <x:c r="C332" s="6" t="n">
        <x:f>H331</x:f>
        <x:v>0</x:v>
      </x:c>
      <x:c r="D332" s="6" t="n">
        <x:f>ROUND(C332*'Debt strategy'!$D$9/12,2)</x:f>
        <x:v>0</x:v>
      </x:c>
      <x:c r="E332" s="6" t="n">
        <x:f>MIN(C332+D332,'Debt strategy'!$E$9)</x:f>
        <x:v>0</x:v>
      </x:c>
      <x:c r="F332" s="27" t="n">
        <x:f>IF(C332+D332-E332&lt;=0,99,1+SUM(IF(AND(I332+J332-K332&gt;0,OR('Debt strategy'!$D$10&gt;'Debt strategy'!$D$9,AND('Debt strategy'!$D$10='Debt strategy'!$D$9,1&lt;0))),1,0),IF(AND(O332+P332-Q332&gt;0,OR('Debt strategy'!$D$11&gt;'Debt strategy'!$D$9,AND('Debt strategy'!$D$11='Debt strategy'!$D$9,2&lt;0))),1,0),IF(AND(U332+V332-W332&gt;0,OR('Debt strategy'!$D$12&gt;'Debt strategy'!$D$9,AND('Debt strategy'!$D$12='Debt strategy'!$D$9,3&lt;0))),1,0),IF(AND(AA332+AB332-AC332&gt;0,OR('Debt strategy'!$D$13&gt;'Debt strategy'!$D$9,AND('Debt strategy'!$D$13='Debt strategy'!$D$9,4&lt;0))),1,0)))</x:f>
        <x:v>99</x:v>
      </x:c>
      <x:c r="G332" s="6" t="n">
        <x:f>IF('Debt strategy'!$C$16&gt;0,0,MIN(C332+D332-E332,MAX(0,'Debt strategy'!$C$5-SUM(E332,K332,Q332,W332,AC332)-SUM(IF(L332&lt;F332,I332+J332-K332,0),IF(R332&lt;F332,O332+P332-Q332,0),IF(X332&lt;F332,U332+V332-W332,0),IF(AD332&lt;F332,AA332+AB332-AC332,0)))))</x:f>
        <x:v>0</x:v>
      </x:c>
      <x:c r="H332" s="6" t="n">
        <x:f>ROUND(MAX(0,C332+D332-E332-G332),2)</x:f>
        <x:v>0</x:v>
      </x:c>
      <x:c r="I332" s="6" t="n">
        <x:f>N331</x:f>
        <x:v>0</x:v>
      </x:c>
      <x:c r="J332" s="6" t="n">
        <x:f>ROUND(I332*'Debt strategy'!$D$10/12,2)</x:f>
        <x:v>0</x:v>
      </x:c>
      <x:c r="K332" s="6" t="n">
        <x:f>MIN(I332+J332,'Debt strategy'!$E$10)</x:f>
        <x:v>0</x:v>
      </x:c>
      <x:c r="L332" s="27" t="n">
        <x:f>IF(I332+J332-K332&lt;=0,99,1+SUM(IF(AND(C332+D332-E332&gt;0,OR('Debt strategy'!$D$9&gt;'Debt strategy'!$D$10,AND('Debt strategy'!$D$9='Debt strategy'!$D$10,0&lt;1))),1,0),IF(AND(O332+P332-Q332&gt;0,OR('Debt strategy'!$D$11&gt;'Debt strategy'!$D$10,AND('Debt strategy'!$D$11='Debt strategy'!$D$10,2&lt;1))),1,0),IF(AND(U332+V332-W332&gt;0,OR('Debt strategy'!$D$12&gt;'Debt strategy'!$D$10,AND('Debt strategy'!$D$12='Debt strategy'!$D$10,3&lt;1))),1,0),IF(AND(AA332+AB332-AC332&gt;0,OR('Debt strategy'!$D$13&gt;'Debt strategy'!$D$10,AND('Debt strategy'!$D$13='Debt strategy'!$D$10,4&lt;1))),1,0)))</x:f>
        <x:v>99</x:v>
      </x:c>
      <x:c r="M332" s="6" t="n">
        <x:f>IF('Debt strategy'!$C$16&gt;0,0,MIN(I332+J332-K332,MAX(0,'Debt strategy'!$C$5-SUM(E332,K332,Q332,W332,AC332)-SUM(IF(F332&lt;L332,C332+D332-E332,0),IF(R332&lt;L332,O332+P332-Q332,0),IF(X332&lt;L332,U332+V332-W332,0),IF(AD332&lt;L332,AA332+AB332-AC332,0)))))</x:f>
        <x:v>0</x:v>
      </x:c>
      <x:c r="N332" s="6" t="n">
        <x:f>ROUND(MAX(0,I332+J332-K332-M332),2)</x:f>
        <x:v>0</x:v>
      </x:c>
      <x:c r="O332" s="6" t="n">
        <x:f>T331</x:f>
        <x:v>0</x:v>
      </x:c>
      <x:c r="P332" s="6" t="n">
        <x:f>ROUND(O332*'Debt strategy'!$D$11/12,2)</x:f>
        <x:v>0</x:v>
      </x:c>
      <x:c r="Q332" s="6" t="n">
        <x:f>MIN(O332+P332,'Debt strategy'!$E$11)</x:f>
        <x:v>0</x:v>
      </x:c>
      <x:c r="R332" s="27" t="n">
        <x:f>IF(O332+P332-Q332&lt;=0,99,1+SUM(IF(AND(C332+D332-E332&gt;0,OR('Debt strategy'!$D$9&gt;'Debt strategy'!$D$11,AND('Debt strategy'!$D$9='Debt strategy'!$D$11,0&lt;2))),1,0),IF(AND(I332+J332-K332&gt;0,OR('Debt strategy'!$D$10&gt;'Debt strategy'!$D$11,AND('Debt strategy'!$D$10='Debt strategy'!$D$11,1&lt;2))),1,0),IF(AND(U332+V332-W332&gt;0,OR('Debt strategy'!$D$12&gt;'Debt strategy'!$D$11,AND('Debt strategy'!$D$12='Debt strategy'!$D$11,3&lt;2))),1,0),IF(AND(AA332+AB332-AC332&gt;0,OR('Debt strategy'!$D$13&gt;'Debt strategy'!$D$11,AND('Debt strategy'!$D$13='Debt strategy'!$D$11,4&lt;2))),1,0)))</x:f>
        <x:v>99</x:v>
      </x:c>
      <x:c r="S332" s="6" t="n">
        <x:f>IF('Debt strategy'!$C$16&gt;0,0,MIN(O332+P332-Q332,MAX(0,'Debt strategy'!$C$5-SUM(E332,K332,Q332,W332,AC332)-SUM(IF(F332&lt;R332,C332+D332-E332,0),IF(L332&lt;R332,I332+J332-K332,0),IF(X332&lt;R332,U332+V332-W332,0),IF(AD332&lt;R332,AA332+AB332-AC332,0)))))</x:f>
        <x:v>0</x:v>
      </x:c>
      <x:c r="T332" s="6" t="n">
        <x:f>ROUND(MAX(0,O332+P332-Q332-S332),2)</x:f>
        <x:v>0</x:v>
      </x:c>
      <x:c r="U332" s="6" t="n">
        <x:f>Z331</x:f>
        <x:v>0</x:v>
      </x:c>
      <x:c r="V332" s="6" t="n">
        <x:f>ROUND(U332*'Debt strategy'!$D$12/12,2)</x:f>
        <x:v>0</x:v>
      </x:c>
      <x:c r="W332" s="6" t="n">
        <x:f>MIN(U332+V332,'Debt strategy'!$E$12)</x:f>
        <x:v>0</x:v>
      </x:c>
      <x:c r="X332" s="27" t="n">
        <x:f>IF(U332+V332-W332&lt;=0,99,1+SUM(IF(AND(C332+D332-E332&gt;0,OR('Debt strategy'!$D$9&gt;'Debt strategy'!$D$12,AND('Debt strategy'!$D$9='Debt strategy'!$D$12,0&lt;3))),1,0),IF(AND(I332+J332-K332&gt;0,OR('Debt strategy'!$D$10&gt;'Debt strategy'!$D$12,AND('Debt strategy'!$D$10='Debt strategy'!$D$12,1&lt;3))),1,0),IF(AND(O332+P332-Q332&gt;0,OR('Debt strategy'!$D$11&gt;'Debt strategy'!$D$12,AND('Debt strategy'!$D$11='Debt strategy'!$D$12,2&lt;3))),1,0),IF(AND(AA332+AB332-AC332&gt;0,OR('Debt strategy'!$D$13&gt;'Debt strategy'!$D$12,AND('Debt strategy'!$D$13='Debt strategy'!$D$12,4&lt;3))),1,0)))</x:f>
        <x:v>99</x:v>
      </x:c>
      <x:c r="Y332" s="6" t="n">
        <x:f>IF('Debt strategy'!$C$16&gt;0,0,MIN(U332+V332-W332,MAX(0,'Debt strategy'!$C$5-SUM(E332,K332,Q332,W332,AC332)-SUM(IF(F332&lt;X332,C332+D332-E332,0),IF(L332&lt;X332,I332+J332-K332,0),IF(R332&lt;X332,O332+P332-Q332,0),IF(AD332&lt;X332,AA332+AB332-AC332,0)))))</x:f>
        <x:v>0</x:v>
      </x:c>
      <x:c r="Z332" s="6" t="n">
        <x:f>ROUND(MAX(0,U332+V332-W332-Y332),2)</x:f>
        <x:v>0</x:v>
      </x:c>
      <x:c r="AA332" s="6" t="n">
        <x:f>AF331</x:f>
        <x:v>0</x:v>
      </x:c>
      <x:c r="AB332" s="6" t="n">
        <x:f>ROUND(AA332*'Debt strategy'!$D$13/12,2)</x:f>
        <x:v>0</x:v>
      </x:c>
      <x:c r="AC332" s="6" t="n">
        <x:f>MIN(AA332+AB332,'Debt strategy'!$E$13)</x:f>
        <x:v>0</x:v>
      </x:c>
      <x:c r="AD332" s="27" t="n">
        <x:f>IF(AA332+AB332-AC332&lt;=0,99,1+SUM(IF(AND(C332+D332-E332&gt;0,OR('Debt strategy'!$D$9&gt;'Debt strategy'!$D$13,AND('Debt strategy'!$D$9='Debt strategy'!$D$13,0&lt;4))),1,0),IF(AND(I332+J332-K332&gt;0,OR('Debt strategy'!$D$10&gt;'Debt strategy'!$D$13,AND('Debt strategy'!$D$10='Debt strategy'!$D$13,1&lt;4))),1,0),IF(AND(O332+P332-Q332&gt;0,OR('Debt strategy'!$D$11&gt;'Debt strategy'!$D$13,AND('Debt strategy'!$D$11='Debt strategy'!$D$13,2&lt;4))),1,0),IF(AND(U332+V332-W332&gt;0,OR('Debt strategy'!$D$12&gt;'Debt strategy'!$D$13,AND('Debt strategy'!$D$12='Debt strategy'!$D$13,3&lt;4))),1,0)))</x:f>
        <x:v>99</x:v>
      </x:c>
      <x:c r="AE332" s="6" t="n">
        <x:f>IF('Debt strategy'!$C$16&gt;0,0,MIN(AA332+AB332-AC332,MAX(0,'Debt strategy'!$C$5-SUM(E332,K332,Q332,W332,AC332)-SUM(IF(F332&lt;AD332,C332+D332-E332,0),IF(L332&lt;AD332,I332+J332-K332,0),IF(R332&lt;AD332,O332+P332-Q332,0),IF(X332&lt;AD332,U332+V332-W332,0)))))</x:f>
        <x:v>0</x:v>
      </x:c>
      <x:c r="AF332" s="6" t="n">
        <x:f>ROUND(MAX(0,AA332+AB332-AC332-AE332),2)</x:f>
        <x:v>0</x:v>
      </x:c>
      <x:c r="AG332" s="6" t="n">
        <x:f>SUM(H332,N332,T332,Z332,AF332)</x:f>
        <x:v>0</x:v>
      </x:c>
      <x:c r="AH332" s="6" t="n">
        <x:f>SUM(D332,J332,P332,V332,AB332)+AH331</x:f>
        <x:v>1220.8400000000001</x:v>
      </x:c>
      <x:c r="AI332" s="2"/>
    </x:row>
    <x:row r="333" ht="23" customHeight="1">
      <x:c r="B333" s="2" t="n">
        <x:f>325</x:f>
        <x:v>325</x:v>
      </x:c>
      <x:c r="C333" s="6" t="n">
        <x:f>H332</x:f>
        <x:v>0</x:v>
      </x:c>
      <x:c r="D333" s="6" t="n">
        <x:f>ROUND(C333*'Debt strategy'!$D$9/12,2)</x:f>
        <x:v>0</x:v>
      </x:c>
      <x:c r="E333" s="6" t="n">
        <x:f>MIN(C333+D333,'Debt strategy'!$E$9)</x:f>
        <x:v>0</x:v>
      </x:c>
      <x:c r="F333" s="27" t="n">
        <x:f>IF(C333+D333-E333&lt;=0,99,1+SUM(IF(AND(I333+J333-K333&gt;0,OR('Debt strategy'!$D$10&gt;'Debt strategy'!$D$9,AND('Debt strategy'!$D$10='Debt strategy'!$D$9,1&lt;0))),1,0),IF(AND(O333+P333-Q333&gt;0,OR('Debt strategy'!$D$11&gt;'Debt strategy'!$D$9,AND('Debt strategy'!$D$11='Debt strategy'!$D$9,2&lt;0))),1,0),IF(AND(U333+V333-W333&gt;0,OR('Debt strategy'!$D$12&gt;'Debt strategy'!$D$9,AND('Debt strategy'!$D$12='Debt strategy'!$D$9,3&lt;0))),1,0),IF(AND(AA333+AB333-AC333&gt;0,OR('Debt strategy'!$D$13&gt;'Debt strategy'!$D$9,AND('Debt strategy'!$D$13='Debt strategy'!$D$9,4&lt;0))),1,0)))</x:f>
        <x:v>99</x:v>
      </x:c>
      <x:c r="G333" s="6" t="n">
        <x:f>IF('Debt strategy'!$C$16&gt;0,0,MIN(C333+D333-E333,MAX(0,'Debt strategy'!$C$5-SUM(E333,K333,Q333,W333,AC333)-SUM(IF(L333&lt;F333,I333+J333-K333,0),IF(R333&lt;F333,O333+P333-Q333,0),IF(X333&lt;F333,U333+V333-W333,0),IF(AD333&lt;F333,AA333+AB333-AC333,0)))))</x:f>
        <x:v>0</x:v>
      </x:c>
      <x:c r="H333" s="6" t="n">
        <x:f>ROUND(MAX(0,C333+D333-E333-G333),2)</x:f>
        <x:v>0</x:v>
      </x:c>
      <x:c r="I333" s="6" t="n">
        <x:f>N332</x:f>
        <x:v>0</x:v>
      </x:c>
      <x:c r="J333" s="6" t="n">
        <x:f>ROUND(I333*'Debt strategy'!$D$10/12,2)</x:f>
        <x:v>0</x:v>
      </x:c>
      <x:c r="K333" s="6" t="n">
        <x:f>MIN(I333+J333,'Debt strategy'!$E$10)</x:f>
        <x:v>0</x:v>
      </x:c>
      <x:c r="L333" s="27" t="n">
        <x:f>IF(I333+J333-K333&lt;=0,99,1+SUM(IF(AND(C333+D333-E333&gt;0,OR('Debt strategy'!$D$9&gt;'Debt strategy'!$D$10,AND('Debt strategy'!$D$9='Debt strategy'!$D$10,0&lt;1))),1,0),IF(AND(O333+P333-Q333&gt;0,OR('Debt strategy'!$D$11&gt;'Debt strategy'!$D$10,AND('Debt strategy'!$D$11='Debt strategy'!$D$10,2&lt;1))),1,0),IF(AND(U333+V333-W333&gt;0,OR('Debt strategy'!$D$12&gt;'Debt strategy'!$D$10,AND('Debt strategy'!$D$12='Debt strategy'!$D$10,3&lt;1))),1,0),IF(AND(AA333+AB333-AC333&gt;0,OR('Debt strategy'!$D$13&gt;'Debt strategy'!$D$10,AND('Debt strategy'!$D$13='Debt strategy'!$D$10,4&lt;1))),1,0)))</x:f>
        <x:v>99</x:v>
      </x:c>
      <x:c r="M333" s="6" t="n">
        <x:f>IF('Debt strategy'!$C$16&gt;0,0,MIN(I333+J333-K333,MAX(0,'Debt strategy'!$C$5-SUM(E333,K333,Q333,W333,AC333)-SUM(IF(F333&lt;L333,C333+D333-E333,0),IF(R333&lt;L333,O333+P333-Q333,0),IF(X333&lt;L333,U333+V333-W333,0),IF(AD333&lt;L333,AA333+AB333-AC333,0)))))</x:f>
        <x:v>0</x:v>
      </x:c>
      <x:c r="N333" s="6" t="n">
        <x:f>ROUND(MAX(0,I333+J333-K333-M333),2)</x:f>
        <x:v>0</x:v>
      </x:c>
      <x:c r="O333" s="6" t="n">
        <x:f>T332</x:f>
        <x:v>0</x:v>
      </x:c>
      <x:c r="P333" s="6" t="n">
        <x:f>ROUND(O333*'Debt strategy'!$D$11/12,2)</x:f>
        <x:v>0</x:v>
      </x:c>
      <x:c r="Q333" s="6" t="n">
        <x:f>MIN(O333+P333,'Debt strategy'!$E$11)</x:f>
        <x:v>0</x:v>
      </x:c>
      <x:c r="R333" s="27" t="n">
        <x:f>IF(O333+P333-Q333&lt;=0,99,1+SUM(IF(AND(C333+D333-E333&gt;0,OR('Debt strategy'!$D$9&gt;'Debt strategy'!$D$11,AND('Debt strategy'!$D$9='Debt strategy'!$D$11,0&lt;2))),1,0),IF(AND(I333+J333-K333&gt;0,OR('Debt strategy'!$D$10&gt;'Debt strategy'!$D$11,AND('Debt strategy'!$D$10='Debt strategy'!$D$11,1&lt;2))),1,0),IF(AND(U333+V333-W333&gt;0,OR('Debt strategy'!$D$12&gt;'Debt strategy'!$D$11,AND('Debt strategy'!$D$12='Debt strategy'!$D$11,3&lt;2))),1,0),IF(AND(AA333+AB333-AC333&gt;0,OR('Debt strategy'!$D$13&gt;'Debt strategy'!$D$11,AND('Debt strategy'!$D$13='Debt strategy'!$D$11,4&lt;2))),1,0)))</x:f>
        <x:v>99</x:v>
      </x:c>
      <x:c r="S333" s="6" t="n">
        <x:f>IF('Debt strategy'!$C$16&gt;0,0,MIN(O333+P333-Q333,MAX(0,'Debt strategy'!$C$5-SUM(E333,K333,Q333,W333,AC333)-SUM(IF(F333&lt;R333,C333+D333-E333,0),IF(L333&lt;R333,I333+J333-K333,0),IF(X333&lt;R333,U333+V333-W333,0),IF(AD333&lt;R333,AA333+AB333-AC333,0)))))</x:f>
        <x:v>0</x:v>
      </x:c>
      <x:c r="T333" s="6" t="n">
        <x:f>ROUND(MAX(0,O333+P333-Q333-S333),2)</x:f>
        <x:v>0</x:v>
      </x:c>
      <x:c r="U333" s="6" t="n">
        <x:f>Z332</x:f>
        <x:v>0</x:v>
      </x:c>
      <x:c r="V333" s="6" t="n">
        <x:f>ROUND(U333*'Debt strategy'!$D$12/12,2)</x:f>
        <x:v>0</x:v>
      </x:c>
      <x:c r="W333" s="6" t="n">
        <x:f>MIN(U333+V333,'Debt strategy'!$E$12)</x:f>
        <x:v>0</x:v>
      </x:c>
      <x:c r="X333" s="27" t="n">
        <x:f>IF(U333+V333-W333&lt;=0,99,1+SUM(IF(AND(C333+D333-E333&gt;0,OR('Debt strategy'!$D$9&gt;'Debt strategy'!$D$12,AND('Debt strategy'!$D$9='Debt strategy'!$D$12,0&lt;3))),1,0),IF(AND(I333+J333-K333&gt;0,OR('Debt strategy'!$D$10&gt;'Debt strategy'!$D$12,AND('Debt strategy'!$D$10='Debt strategy'!$D$12,1&lt;3))),1,0),IF(AND(O333+P333-Q333&gt;0,OR('Debt strategy'!$D$11&gt;'Debt strategy'!$D$12,AND('Debt strategy'!$D$11='Debt strategy'!$D$12,2&lt;3))),1,0),IF(AND(AA333+AB333-AC333&gt;0,OR('Debt strategy'!$D$13&gt;'Debt strategy'!$D$12,AND('Debt strategy'!$D$13='Debt strategy'!$D$12,4&lt;3))),1,0)))</x:f>
        <x:v>99</x:v>
      </x:c>
      <x:c r="Y333" s="6" t="n">
        <x:f>IF('Debt strategy'!$C$16&gt;0,0,MIN(U333+V333-W333,MAX(0,'Debt strategy'!$C$5-SUM(E333,K333,Q333,W333,AC333)-SUM(IF(F333&lt;X333,C333+D333-E333,0),IF(L333&lt;X333,I333+J333-K333,0),IF(R333&lt;X333,O333+P333-Q333,0),IF(AD333&lt;X333,AA333+AB333-AC333,0)))))</x:f>
        <x:v>0</x:v>
      </x:c>
      <x:c r="Z333" s="6" t="n">
        <x:f>ROUND(MAX(0,U333+V333-W333-Y333),2)</x:f>
        <x:v>0</x:v>
      </x:c>
      <x:c r="AA333" s="6" t="n">
        <x:f>AF332</x:f>
        <x:v>0</x:v>
      </x:c>
      <x:c r="AB333" s="6" t="n">
        <x:f>ROUND(AA333*'Debt strategy'!$D$13/12,2)</x:f>
        <x:v>0</x:v>
      </x:c>
      <x:c r="AC333" s="6" t="n">
        <x:f>MIN(AA333+AB333,'Debt strategy'!$E$13)</x:f>
        <x:v>0</x:v>
      </x:c>
      <x:c r="AD333" s="27" t="n">
        <x:f>IF(AA333+AB333-AC333&lt;=0,99,1+SUM(IF(AND(C333+D333-E333&gt;0,OR('Debt strategy'!$D$9&gt;'Debt strategy'!$D$13,AND('Debt strategy'!$D$9='Debt strategy'!$D$13,0&lt;4))),1,0),IF(AND(I333+J333-K333&gt;0,OR('Debt strategy'!$D$10&gt;'Debt strategy'!$D$13,AND('Debt strategy'!$D$10='Debt strategy'!$D$13,1&lt;4))),1,0),IF(AND(O333+P333-Q333&gt;0,OR('Debt strategy'!$D$11&gt;'Debt strategy'!$D$13,AND('Debt strategy'!$D$11='Debt strategy'!$D$13,2&lt;4))),1,0),IF(AND(U333+V333-W333&gt;0,OR('Debt strategy'!$D$12&gt;'Debt strategy'!$D$13,AND('Debt strategy'!$D$12='Debt strategy'!$D$13,3&lt;4))),1,0)))</x:f>
        <x:v>99</x:v>
      </x:c>
      <x:c r="AE333" s="6" t="n">
        <x:f>IF('Debt strategy'!$C$16&gt;0,0,MIN(AA333+AB333-AC333,MAX(0,'Debt strategy'!$C$5-SUM(E333,K333,Q333,W333,AC333)-SUM(IF(F333&lt;AD333,C333+D333-E333,0),IF(L333&lt;AD333,I333+J333-K333,0),IF(R333&lt;AD333,O333+P333-Q333,0),IF(X333&lt;AD333,U333+V333-W333,0)))))</x:f>
        <x:v>0</x:v>
      </x:c>
      <x:c r="AF333" s="6" t="n">
        <x:f>ROUND(MAX(0,AA333+AB333-AC333-AE333),2)</x:f>
        <x:v>0</x:v>
      </x:c>
      <x:c r="AG333" s="6" t="n">
        <x:f>SUM(H333,N333,T333,Z333,AF333)</x:f>
        <x:v>0</x:v>
      </x:c>
      <x:c r="AH333" s="6" t="n">
        <x:f>SUM(D333,J333,P333,V333,AB333)+AH332</x:f>
        <x:v>1220.8400000000001</x:v>
      </x:c>
      <x:c r="AI333" s="2"/>
    </x:row>
    <x:row r="334" ht="23" customHeight="1">
      <x:c r="B334" s="2" t="n">
        <x:f>326</x:f>
        <x:v>326</x:v>
      </x:c>
      <x:c r="C334" s="6" t="n">
        <x:f>H333</x:f>
        <x:v>0</x:v>
      </x:c>
      <x:c r="D334" s="6" t="n">
        <x:f>ROUND(C334*'Debt strategy'!$D$9/12,2)</x:f>
        <x:v>0</x:v>
      </x:c>
      <x:c r="E334" s="6" t="n">
        <x:f>MIN(C334+D334,'Debt strategy'!$E$9)</x:f>
        <x:v>0</x:v>
      </x:c>
      <x:c r="F334" s="27" t="n">
        <x:f>IF(C334+D334-E334&lt;=0,99,1+SUM(IF(AND(I334+J334-K334&gt;0,OR('Debt strategy'!$D$10&gt;'Debt strategy'!$D$9,AND('Debt strategy'!$D$10='Debt strategy'!$D$9,1&lt;0))),1,0),IF(AND(O334+P334-Q334&gt;0,OR('Debt strategy'!$D$11&gt;'Debt strategy'!$D$9,AND('Debt strategy'!$D$11='Debt strategy'!$D$9,2&lt;0))),1,0),IF(AND(U334+V334-W334&gt;0,OR('Debt strategy'!$D$12&gt;'Debt strategy'!$D$9,AND('Debt strategy'!$D$12='Debt strategy'!$D$9,3&lt;0))),1,0),IF(AND(AA334+AB334-AC334&gt;0,OR('Debt strategy'!$D$13&gt;'Debt strategy'!$D$9,AND('Debt strategy'!$D$13='Debt strategy'!$D$9,4&lt;0))),1,0)))</x:f>
        <x:v>99</x:v>
      </x:c>
      <x:c r="G334" s="6" t="n">
        <x:f>IF('Debt strategy'!$C$16&gt;0,0,MIN(C334+D334-E334,MAX(0,'Debt strategy'!$C$5-SUM(E334,K334,Q334,W334,AC334)-SUM(IF(L334&lt;F334,I334+J334-K334,0),IF(R334&lt;F334,O334+P334-Q334,0),IF(X334&lt;F334,U334+V334-W334,0),IF(AD334&lt;F334,AA334+AB334-AC334,0)))))</x:f>
        <x:v>0</x:v>
      </x:c>
      <x:c r="H334" s="6" t="n">
        <x:f>ROUND(MAX(0,C334+D334-E334-G334),2)</x:f>
        <x:v>0</x:v>
      </x:c>
      <x:c r="I334" s="6" t="n">
        <x:f>N333</x:f>
        <x:v>0</x:v>
      </x:c>
      <x:c r="J334" s="6" t="n">
        <x:f>ROUND(I334*'Debt strategy'!$D$10/12,2)</x:f>
        <x:v>0</x:v>
      </x:c>
      <x:c r="K334" s="6" t="n">
        <x:f>MIN(I334+J334,'Debt strategy'!$E$10)</x:f>
        <x:v>0</x:v>
      </x:c>
      <x:c r="L334" s="27" t="n">
        <x:f>IF(I334+J334-K334&lt;=0,99,1+SUM(IF(AND(C334+D334-E334&gt;0,OR('Debt strategy'!$D$9&gt;'Debt strategy'!$D$10,AND('Debt strategy'!$D$9='Debt strategy'!$D$10,0&lt;1))),1,0),IF(AND(O334+P334-Q334&gt;0,OR('Debt strategy'!$D$11&gt;'Debt strategy'!$D$10,AND('Debt strategy'!$D$11='Debt strategy'!$D$10,2&lt;1))),1,0),IF(AND(U334+V334-W334&gt;0,OR('Debt strategy'!$D$12&gt;'Debt strategy'!$D$10,AND('Debt strategy'!$D$12='Debt strategy'!$D$10,3&lt;1))),1,0),IF(AND(AA334+AB334-AC334&gt;0,OR('Debt strategy'!$D$13&gt;'Debt strategy'!$D$10,AND('Debt strategy'!$D$13='Debt strategy'!$D$10,4&lt;1))),1,0)))</x:f>
        <x:v>99</x:v>
      </x:c>
      <x:c r="M334" s="6" t="n">
        <x:f>IF('Debt strategy'!$C$16&gt;0,0,MIN(I334+J334-K334,MAX(0,'Debt strategy'!$C$5-SUM(E334,K334,Q334,W334,AC334)-SUM(IF(F334&lt;L334,C334+D334-E334,0),IF(R334&lt;L334,O334+P334-Q334,0),IF(X334&lt;L334,U334+V334-W334,0),IF(AD334&lt;L334,AA334+AB334-AC334,0)))))</x:f>
        <x:v>0</x:v>
      </x:c>
      <x:c r="N334" s="6" t="n">
        <x:f>ROUND(MAX(0,I334+J334-K334-M334),2)</x:f>
        <x:v>0</x:v>
      </x:c>
      <x:c r="O334" s="6" t="n">
        <x:f>T333</x:f>
        <x:v>0</x:v>
      </x:c>
      <x:c r="P334" s="6" t="n">
        <x:f>ROUND(O334*'Debt strategy'!$D$11/12,2)</x:f>
        <x:v>0</x:v>
      </x:c>
      <x:c r="Q334" s="6" t="n">
        <x:f>MIN(O334+P334,'Debt strategy'!$E$11)</x:f>
        <x:v>0</x:v>
      </x:c>
      <x:c r="R334" s="27" t="n">
        <x:f>IF(O334+P334-Q334&lt;=0,99,1+SUM(IF(AND(C334+D334-E334&gt;0,OR('Debt strategy'!$D$9&gt;'Debt strategy'!$D$11,AND('Debt strategy'!$D$9='Debt strategy'!$D$11,0&lt;2))),1,0),IF(AND(I334+J334-K334&gt;0,OR('Debt strategy'!$D$10&gt;'Debt strategy'!$D$11,AND('Debt strategy'!$D$10='Debt strategy'!$D$11,1&lt;2))),1,0),IF(AND(U334+V334-W334&gt;0,OR('Debt strategy'!$D$12&gt;'Debt strategy'!$D$11,AND('Debt strategy'!$D$12='Debt strategy'!$D$11,3&lt;2))),1,0),IF(AND(AA334+AB334-AC334&gt;0,OR('Debt strategy'!$D$13&gt;'Debt strategy'!$D$11,AND('Debt strategy'!$D$13='Debt strategy'!$D$11,4&lt;2))),1,0)))</x:f>
        <x:v>99</x:v>
      </x:c>
      <x:c r="S334" s="6" t="n">
        <x:f>IF('Debt strategy'!$C$16&gt;0,0,MIN(O334+P334-Q334,MAX(0,'Debt strategy'!$C$5-SUM(E334,K334,Q334,W334,AC334)-SUM(IF(F334&lt;R334,C334+D334-E334,0),IF(L334&lt;R334,I334+J334-K334,0),IF(X334&lt;R334,U334+V334-W334,0),IF(AD334&lt;R334,AA334+AB334-AC334,0)))))</x:f>
        <x:v>0</x:v>
      </x:c>
      <x:c r="T334" s="6" t="n">
        <x:f>ROUND(MAX(0,O334+P334-Q334-S334),2)</x:f>
        <x:v>0</x:v>
      </x:c>
      <x:c r="U334" s="6" t="n">
        <x:f>Z333</x:f>
        <x:v>0</x:v>
      </x:c>
      <x:c r="V334" s="6" t="n">
        <x:f>ROUND(U334*'Debt strategy'!$D$12/12,2)</x:f>
        <x:v>0</x:v>
      </x:c>
      <x:c r="W334" s="6" t="n">
        <x:f>MIN(U334+V334,'Debt strategy'!$E$12)</x:f>
        <x:v>0</x:v>
      </x:c>
      <x:c r="X334" s="27" t="n">
        <x:f>IF(U334+V334-W334&lt;=0,99,1+SUM(IF(AND(C334+D334-E334&gt;0,OR('Debt strategy'!$D$9&gt;'Debt strategy'!$D$12,AND('Debt strategy'!$D$9='Debt strategy'!$D$12,0&lt;3))),1,0),IF(AND(I334+J334-K334&gt;0,OR('Debt strategy'!$D$10&gt;'Debt strategy'!$D$12,AND('Debt strategy'!$D$10='Debt strategy'!$D$12,1&lt;3))),1,0),IF(AND(O334+P334-Q334&gt;0,OR('Debt strategy'!$D$11&gt;'Debt strategy'!$D$12,AND('Debt strategy'!$D$11='Debt strategy'!$D$12,2&lt;3))),1,0),IF(AND(AA334+AB334-AC334&gt;0,OR('Debt strategy'!$D$13&gt;'Debt strategy'!$D$12,AND('Debt strategy'!$D$13='Debt strategy'!$D$12,4&lt;3))),1,0)))</x:f>
        <x:v>99</x:v>
      </x:c>
      <x:c r="Y334" s="6" t="n">
        <x:f>IF('Debt strategy'!$C$16&gt;0,0,MIN(U334+V334-W334,MAX(0,'Debt strategy'!$C$5-SUM(E334,K334,Q334,W334,AC334)-SUM(IF(F334&lt;X334,C334+D334-E334,0),IF(L334&lt;X334,I334+J334-K334,0),IF(R334&lt;X334,O334+P334-Q334,0),IF(AD334&lt;X334,AA334+AB334-AC334,0)))))</x:f>
        <x:v>0</x:v>
      </x:c>
      <x:c r="Z334" s="6" t="n">
        <x:f>ROUND(MAX(0,U334+V334-W334-Y334),2)</x:f>
        <x:v>0</x:v>
      </x:c>
      <x:c r="AA334" s="6" t="n">
        <x:f>AF333</x:f>
        <x:v>0</x:v>
      </x:c>
      <x:c r="AB334" s="6" t="n">
        <x:f>ROUND(AA334*'Debt strategy'!$D$13/12,2)</x:f>
        <x:v>0</x:v>
      </x:c>
      <x:c r="AC334" s="6" t="n">
        <x:f>MIN(AA334+AB334,'Debt strategy'!$E$13)</x:f>
        <x:v>0</x:v>
      </x:c>
      <x:c r="AD334" s="27" t="n">
        <x:f>IF(AA334+AB334-AC334&lt;=0,99,1+SUM(IF(AND(C334+D334-E334&gt;0,OR('Debt strategy'!$D$9&gt;'Debt strategy'!$D$13,AND('Debt strategy'!$D$9='Debt strategy'!$D$13,0&lt;4))),1,0),IF(AND(I334+J334-K334&gt;0,OR('Debt strategy'!$D$10&gt;'Debt strategy'!$D$13,AND('Debt strategy'!$D$10='Debt strategy'!$D$13,1&lt;4))),1,0),IF(AND(O334+P334-Q334&gt;0,OR('Debt strategy'!$D$11&gt;'Debt strategy'!$D$13,AND('Debt strategy'!$D$11='Debt strategy'!$D$13,2&lt;4))),1,0),IF(AND(U334+V334-W334&gt;0,OR('Debt strategy'!$D$12&gt;'Debt strategy'!$D$13,AND('Debt strategy'!$D$12='Debt strategy'!$D$13,3&lt;4))),1,0)))</x:f>
        <x:v>99</x:v>
      </x:c>
      <x:c r="AE334" s="6" t="n">
        <x:f>IF('Debt strategy'!$C$16&gt;0,0,MIN(AA334+AB334-AC334,MAX(0,'Debt strategy'!$C$5-SUM(E334,K334,Q334,W334,AC334)-SUM(IF(F334&lt;AD334,C334+D334-E334,0),IF(L334&lt;AD334,I334+J334-K334,0),IF(R334&lt;AD334,O334+P334-Q334,0),IF(X334&lt;AD334,U334+V334-W334,0)))))</x:f>
        <x:v>0</x:v>
      </x:c>
      <x:c r="AF334" s="6" t="n">
        <x:f>ROUND(MAX(0,AA334+AB334-AC334-AE334),2)</x:f>
        <x:v>0</x:v>
      </x:c>
      <x:c r="AG334" s="6" t="n">
        <x:f>SUM(H334,N334,T334,Z334,AF334)</x:f>
        <x:v>0</x:v>
      </x:c>
      <x:c r="AH334" s="6" t="n">
        <x:f>SUM(D334,J334,P334,V334,AB334)+AH333</x:f>
        <x:v>1220.8400000000001</x:v>
      </x:c>
      <x:c r="AI334" s="2"/>
    </x:row>
    <x:row r="335" ht="23" customHeight="1">
      <x:c r="B335" s="2" t="n">
        <x:f>327</x:f>
        <x:v>327</x:v>
      </x:c>
      <x:c r="C335" s="6" t="n">
        <x:f>H334</x:f>
        <x:v>0</x:v>
      </x:c>
      <x:c r="D335" s="6" t="n">
        <x:f>ROUND(C335*'Debt strategy'!$D$9/12,2)</x:f>
        <x:v>0</x:v>
      </x:c>
      <x:c r="E335" s="6" t="n">
        <x:f>MIN(C335+D335,'Debt strategy'!$E$9)</x:f>
        <x:v>0</x:v>
      </x:c>
      <x:c r="F335" s="27" t="n">
        <x:f>IF(C335+D335-E335&lt;=0,99,1+SUM(IF(AND(I335+J335-K335&gt;0,OR('Debt strategy'!$D$10&gt;'Debt strategy'!$D$9,AND('Debt strategy'!$D$10='Debt strategy'!$D$9,1&lt;0))),1,0),IF(AND(O335+P335-Q335&gt;0,OR('Debt strategy'!$D$11&gt;'Debt strategy'!$D$9,AND('Debt strategy'!$D$11='Debt strategy'!$D$9,2&lt;0))),1,0),IF(AND(U335+V335-W335&gt;0,OR('Debt strategy'!$D$12&gt;'Debt strategy'!$D$9,AND('Debt strategy'!$D$12='Debt strategy'!$D$9,3&lt;0))),1,0),IF(AND(AA335+AB335-AC335&gt;0,OR('Debt strategy'!$D$13&gt;'Debt strategy'!$D$9,AND('Debt strategy'!$D$13='Debt strategy'!$D$9,4&lt;0))),1,0)))</x:f>
        <x:v>99</x:v>
      </x:c>
      <x:c r="G335" s="6" t="n">
        <x:f>IF('Debt strategy'!$C$16&gt;0,0,MIN(C335+D335-E335,MAX(0,'Debt strategy'!$C$5-SUM(E335,K335,Q335,W335,AC335)-SUM(IF(L335&lt;F335,I335+J335-K335,0),IF(R335&lt;F335,O335+P335-Q335,0),IF(X335&lt;F335,U335+V335-W335,0),IF(AD335&lt;F335,AA335+AB335-AC335,0)))))</x:f>
        <x:v>0</x:v>
      </x:c>
      <x:c r="H335" s="6" t="n">
        <x:f>ROUND(MAX(0,C335+D335-E335-G335),2)</x:f>
        <x:v>0</x:v>
      </x:c>
      <x:c r="I335" s="6" t="n">
        <x:f>N334</x:f>
        <x:v>0</x:v>
      </x:c>
      <x:c r="J335" s="6" t="n">
        <x:f>ROUND(I335*'Debt strategy'!$D$10/12,2)</x:f>
        <x:v>0</x:v>
      </x:c>
      <x:c r="K335" s="6" t="n">
        <x:f>MIN(I335+J335,'Debt strategy'!$E$10)</x:f>
        <x:v>0</x:v>
      </x:c>
      <x:c r="L335" s="27" t="n">
        <x:f>IF(I335+J335-K335&lt;=0,99,1+SUM(IF(AND(C335+D335-E335&gt;0,OR('Debt strategy'!$D$9&gt;'Debt strategy'!$D$10,AND('Debt strategy'!$D$9='Debt strategy'!$D$10,0&lt;1))),1,0),IF(AND(O335+P335-Q335&gt;0,OR('Debt strategy'!$D$11&gt;'Debt strategy'!$D$10,AND('Debt strategy'!$D$11='Debt strategy'!$D$10,2&lt;1))),1,0),IF(AND(U335+V335-W335&gt;0,OR('Debt strategy'!$D$12&gt;'Debt strategy'!$D$10,AND('Debt strategy'!$D$12='Debt strategy'!$D$10,3&lt;1))),1,0),IF(AND(AA335+AB335-AC335&gt;0,OR('Debt strategy'!$D$13&gt;'Debt strategy'!$D$10,AND('Debt strategy'!$D$13='Debt strategy'!$D$10,4&lt;1))),1,0)))</x:f>
        <x:v>99</x:v>
      </x:c>
      <x:c r="M335" s="6" t="n">
        <x:f>IF('Debt strategy'!$C$16&gt;0,0,MIN(I335+J335-K335,MAX(0,'Debt strategy'!$C$5-SUM(E335,K335,Q335,W335,AC335)-SUM(IF(F335&lt;L335,C335+D335-E335,0),IF(R335&lt;L335,O335+P335-Q335,0),IF(X335&lt;L335,U335+V335-W335,0),IF(AD335&lt;L335,AA335+AB335-AC335,0)))))</x:f>
        <x:v>0</x:v>
      </x:c>
      <x:c r="N335" s="6" t="n">
        <x:f>ROUND(MAX(0,I335+J335-K335-M335),2)</x:f>
        <x:v>0</x:v>
      </x:c>
      <x:c r="O335" s="6" t="n">
        <x:f>T334</x:f>
        <x:v>0</x:v>
      </x:c>
      <x:c r="P335" s="6" t="n">
        <x:f>ROUND(O335*'Debt strategy'!$D$11/12,2)</x:f>
        <x:v>0</x:v>
      </x:c>
      <x:c r="Q335" s="6" t="n">
        <x:f>MIN(O335+P335,'Debt strategy'!$E$11)</x:f>
        <x:v>0</x:v>
      </x:c>
      <x:c r="R335" s="27" t="n">
        <x:f>IF(O335+P335-Q335&lt;=0,99,1+SUM(IF(AND(C335+D335-E335&gt;0,OR('Debt strategy'!$D$9&gt;'Debt strategy'!$D$11,AND('Debt strategy'!$D$9='Debt strategy'!$D$11,0&lt;2))),1,0),IF(AND(I335+J335-K335&gt;0,OR('Debt strategy'!$D$10&gt;'Debt strategy'!$D$11,AND('Debt strategy'!$D$10='Debt strategy'!$D$11,1&lt;2))),1,0),IF(AND(U335+V335-W335&gt;0,OR('Debt strategy'!$D$12&gt;'Debt strategy'!$D$11,AND('Debt strategy'!$D$12='Debt strategy'!$D$11,3&lt;2))),1,0),IF(AND(AA335+AB335-AC335&gt;0,OR('Debt strategy'!$D$13&gt;'Debt strategy'!$D$11,AND('Debt strategy'!$D$13='Debt strategy'!$D$11,4&lt;2))),1,0)))</x:f>
        <x:v>99</x:v>
      </x:c>
      <x:c r="S335" s="6" t="n">
        <x:f>IF('Debt strategy'!$C$16&gt;0,0,MIN(O335+P335-Q335,MAX(0,'Debt strategy'!$C$5-SUM(E335,K335,Q335,W335,AC335)-SUM(IF(F335&lt;R335,C335+D335-E335,0),IF(L335&lt;R335,I335+J335-K335,0),IF(X335&lt;R335,U335+V335-W335,0),IF(AD335&lt;R335,AA335+AB335-AC335,0)))))</x:f>
        <x:v>0</x:v>
      </x:c>
      <x:c r="T335" s="6" t="n">
        <x:f>ROUND(MAX(0,O335+P335-Q335-S335),2)</x:f>
        <x:v>0</x:v>
      </x:c>
      <x:c r="U335" s="6" t="n">
        <x:f>Z334</x:f>
        <x:v>0</x:v>
      </x:c>
      <x:c r="V335" s="6" t="n">
        <x:f>ROUND(U335*'Debt strategy'!$D$12/12,2)</x:f>
        <x:v>0</x:v>
      </x:c>
      <x:c r="W335" s="6" t="n">
        <x:f>MIN(U335+V335,'Debt strategy'!$E$12)</x:f>
        <x:v>0</x:v>
      </x:c>
      <x:c r="X335" s="27" t="n">
        <x:f>IF(U335+V335-W335&lt;=0,99,1+SUM(IF(AND(C335+D335-E335&gt;0,OR('Debt strategy'!$D$9&gt;'Debt strategy'!$D$12,AND('Debt strategy'!$D$9='Debt strategy'!$D$12,0&lt;3))),1,0),IF(AND(I335+J335-K335&gt;0,OR('Debt strategy'!$D$10&gt;'Debt strategy'!$D$12,AND('Debt strategy'!$D$10='Debt strategy'!$D$12,1&lt;3))),1,0),IF(AND(O335+P335-Q335&gt;0,OR('Debt strategy'!$D$11&gt;'Debt strategy'!$D$12,AND('Debt strategy'!$D$11='Debt strategy'!$D$12,2&lt;3))),1,0),IF(AND(AA335+AB335-AC335&gt;0,OR('Debt strategy'!$D$13&gt;'Debt strategy'!$D$12,AND('Debt strategy'!$D$13='Debt strategy'!$D$12,4&lt;3))),1,0)))</x:f>
        <x:v>99</x:v>
      </x:c>
      <x:c r="Y335" s="6" t="n">
        <x:f>IF('Debt strategy'!$C$16&gt;0,0,MIN(U335+V335-W335,MAX(0,'Debt strategy'!$C$5-SUM(E335,K335,Q335,W335,AC335)-SUM(IF(F335&lt;X335,C335+D335-E335,0),IF(L335&lt;X335,I335+J335-K335,0),IF(R335&lt;X335,O335+P335-Q335,0),IF(AD335&lt;X335,AA335+AB335-AC335,0)))))</x:f>
        <x:v>0</x:v>
      </x:c>
      <x:c r="Z335" s="6" t="n">
        <x:f>ROUND(MAX(0,U335+V335-W335-Y335),2)</x:f>
        <x:v>0</x:v>
      </x:c>
      <x:c r="AA335" s="6" t="n">
        <x:f>AF334</x:f>
        <x:v>0</x:v>
      </x:c>
      <x:c r="AB335" s="6" t="n">
        <x:f>ROUND(AA335*'Debt strategy'!$D$13/12,2)</x:f>
        <x:v>0</x:v>
      </x:c>
      <x:c r="AC335" s="6" t="n">
        <x:f>MIN(AA335+AB335,'Debt strategy'!$E$13)</x:f>
        <x:v>0</x:v>
      </x:c>
      <x:c r="AD335" s="27" t="n">
        <x:f>IF(AA335+AB335-AC335&lt;=0,99,1+SUM(IF(AND(C335+D335-E335&gt;0,OR('Debt strategy'!$D$9&gt;'Debt strategy'!$D$13,AND('Debt strategy'!$D$9='Debt strategy'!$D$13,0&lt;4))),1,0),IF(AND(I335+J335-K335&gt;0,OR('Debt strategy'!$D$10&gt;'Debt strategy'!$D$13,AND('Debt strategy'!$D$10='Debt strategy'!$D$13,1&lt;4))),1,0),IF(AND(O335+P335-Q335&gt;0,OR('Debt strategy'!$D$11&gt;'Debt strategy'!$D$13,AND('Debt strategy'!$D$11='Debt strategy'!$D$13,2&lt;4))),1,0),IF(AND(U335+V335-W335&gt;0,OR('Debt strategy'!$D$12&gt;'Debt strategy'!$D$13,AND('Debt strategy'!$D$12='Debt strategy'!$D$13,3&lt;4))),1,0)))</x:f>
        <x:v>99</x:v>
      </x:c>
      <x:c r="AE335" s="6" t="n">
        <x:f>IF('Debt strategy'!$C$16&gt;0,0,MIN(AA335+AB335-AC335,MAX(0,'Debt strategy'!$C$5-SUM(E335,K335,Q335,W335,AC335)-SUM(IF(F335&lt;AD335,C335+D335-E335,0),IF(L335&lt;AD335,I335+J335-K335,0),IF(R335&lt;AD335,O335+P335-Q335,0),IF(X335&lt;AD335,U335+V335-W335,0)))))</x:f>
        <x:v>0</x:v>
      </x:c>
      <x:c r="AF335" s="6" t="n">
        <x:f>ROUND(MAX(0,AA335+AB335-AC335-AE335),2)</x:f>
        <x:v>0</x:v>
      </x:c>
      <x:c r="AG335" s="6" t="n">
        <x:f>SUM(H335,N335,T335,Z335,AF335)</x:f>
        <x:v>0</x:v>
      </x:c>
      <x:c r="AH335" s="6" t="n">
        <x:f>SUM(D335,J335,P335,V335,AB335)+AH334</x:f>
        <x:v>1220.8400000000001</x:v>
      </x:c>
      <x:c r="AI335" s="2"/>
    </x:row>
    <x:row r="336" ht="23" customHeight="1">
      <x:c r="B336" s="2" t="n">
        <x:f>328</x:f>
        <x:v>328</x:v>
      </x:c>
      <x:c r="C336" s="6" t="n">
        <x:f>H335</x:f>
        <x:v>0</x:v>
      </x:c>
      <x:c r="D336" s="6" t="n">
        <x:f>ROUND(C336*'Debt strategy'!$D$9/12,2)</x:f>
        <x:v>0</x:v>
      </x:c>
      <x:c r="E336" s="6" t="n">
        <x:f>MIN(C336+D336,'Debt strategy'!$E$9)</x:f>
        <x:v>0</x:v>
      </x:c>
      <x:c r="F336" s="27" t="n">
        <x:f>IF(C336+D336-E336&lt;=0,99,1+SUM(IF(AND(I336+J336-K336&gt;0,OR('Debt strategy'!$D$10&gt;'Debt strategy'!$D$9,AND('Debt strategy'!$D$10='Debt strategy'!$D$9,1&lt;0))),1,0),IF(AND(O336+P336-Q336&gt;0,OR('Debt strategy'!$D$11&gt;'Debt strategy'!$D$9,AND('Debt strategy'!$D$11='Debt strategy'!$D$9,2&lt;0))),1,0),IF(AND(U336+V336-W336&gt;0,OR('Debt strategy'!$D$12&gt;'Debt strategy'!$D$9,AND('Debt strategy'!$D$12='Debt strategy'!$D$9,3&lt;0))),1,0),IF(AND(AA336+AB336-AC336&gt;0,OR('Debt strategy'!$D$13&gt;'Debt strategy'!$D$9,AND('Debt strategy'!$D$13='Debt strategy'!$D$9,4&lt;0))),1,0)))</x:f>
        <x:v>99</x:v>
      </x:c>
      <x:c r="G336" s="6" t="n">
        <x:f>IF('Debt strategy'!$C$16&gt;0,0,MIN(C336+D336-E336,MAX(0,'Debt strategy'!$C$5-SUM(E336,K336,Q336,W336,AC336)-SUM(IF(L336&lt;F336,I336+J336-K336,0),IF(R336&lt;F336,O336+P336-Q336,0),IF(X336&lt;F336,U336+V336-W336,0),IF(AD336&lt;F336,AA336+AB336-AC336,0)))))</x:f>
        <x:v>0</x:v>
      </x:c>
      <x:c r="H336" s="6" t="n">
        <x:f>ROUND(MAX(0,C336+D336-E336-G336),2)</x:f>
        <x:v>0</x:v>
      </x:c>
      <x:c r="I336" s="6" t="n">
        <x:f>N335</x:f>
        <x:v>0</x:v>
      </x:c>
      <x:c r="J336" s="6" t="n">
        <x:f>ROUND(I336*'Debt strategy'!$D$10/12,2)</x:f>
        <x:v>0</x:v>
      </x:c>
      <x:c r="K336" s="6" t="n">
        <x:f>MIN(I336+J336,'Debt strategy'!$E$10)</x:f>
        <x:v>0</x:v>
      </x:c>
      <x:c r="L336" s="27" t="n">
        <x:f>IF(I336+J336-K336&lt;=0,99,1+SUM(IF(AND(C336+D336-E336&gt;0,OR('Debt strategy'!$D$9&gt;'Debt strategy'!$D$10,AND('Debt strategy'!$D$9='Debt strategy'!$D$10,0&lt;1))),1,0),IF(AND(O336+P336-Q336&gt;0,OR('Debt strategy'!$D$11&gt;'Debt strategy'!$D$10,AND('Debt strategy'!$D$11='Debt strategy'!$D$10,2&lt;1))),1,0),IF(AND(U336+V336-W336&gt;0,OR('Debt strategy'!$D$12&gt;'Debt strategy'!$D$10,AND('Debt strategy'!$D$12='Debt strategy'!$D$10,3&lt;1))),1,0),IF(AND(AA336+AB336-AC336&gt;0,OR('Debt strategy'!$D$13&gt;'Debt strategy'!$D$10,AND('Debt strategy'!$D$13='Debt strategy'!$D$10,4&lt;1))),1,0)))</x:f>
        <x:v>99</x:v>
      </x:c>
      <x:c r="M336" s="6" t="n">
        <x:f>IF('Debt strategy'!$C$16&gt;0,0,MIN(I336+J336-K336,MAX(0,'Debt strategy'!$C$5-SUM(E336,K336,Q336,W336,AC336)-SUM(IF(F336&lt;L336,C336+D336-E336,0),IF(R336&lt;L336,O336+P336-Q336,0),IF(X336&lt;L336,U336+V336-W336,0),IF(AD336&lt;L336,AA336+AB336-AC336,0)))))</x:f>
        <x:v>0</x:v>
      </x:c>
      <x:c r="N336" s="6" t="n">
        <x:f>ROUND(MAX(0,I336+J336-K336-M336),2)</x:f>
        <x:v>0</x:v>
      </x:c>
      <x:c r="O336" s="6" t="n">
        <x:f>T335</x:f>
        <x:v>0</x:v>
      </x:c>
      <x:c r="P336" s="6" t="n">
        <x:f>ROUND(O336*'Debt strategy'!$D$11/12,2)</x:f>
        <x:v>0</x:v>
      </x:c>
      <x:c r="Q336" s="6" t="n">
        <x:f>MIN(O336+P336,'Debt strategy'!$E$11)</x:f>
        <x:v>0</x:v>
      </x:c>
      <x:c r="R336" s="27" t="n">
        <x:f>IF(O336+P336-Q336&lt;=0,99,1+SUM(IF(AND(C336+D336-E336&gt;0,OR('Debt strategy'!$D$9&gt;'Debt strategy'!$D$11,AND('Debt strategy'!$D$9='Debt strategy'!$D$11,0&lt;2))),1,0),IF(AND(I336+J336-K336&gt;0,OR('Debt strategy'!$D$10&gt;'Debt strategy'!$D$11,AND('Debt strategy'!$D$10='Debt strategy'!$D$11,1&lt;2))),1,0),IF(AND(U336+V336-W336&gt;0,OR('Debt strategy'!$D$12&gt;'Debt strategy'!$D$11,AND('Debt strategy'!$D$12='Debt strategy'!$D$11,3&lt;2))),1,0),IF(AND(AA336+AB336-AC336&gt;0,OR('Debt strategy'!$D$13&gt;'Debt strategy'!$D$11,AND('Debt strategy'!$D$13='Debt strategy'!$D$11,4&lt;2))),1,0)))</x:f>
        <x:v>99</x:v>
      </x:c>
      <x:c r="S336" s="6" t="n">
        <x:f>IF('Debt strategy'!$C$16&gt;0,0,MIN(O336+P336-Q336,MAX(0,'Debt strategy'!$C$5-SUM(E336,K336,Q336,W336,AC336)-SUM(IF(F336&lt;R336,C336+D336-E336,0),IF(L336&lt;R336,I336+J336-K336,0),IF(X336&lt;R336,U336+V336-W336,0),IF(AD336&lt;R336,AA336+AB336-AC336,0)))))</x:f>
        <x:v>0</x:v>
      </x:c>
      <x:c r="T336" s="6" t="n">
        <x:f>ROUND(MAX(0,O336+P336-Q336-S336),2)</x:f>
        <x:v>0</x:v>
      </x:c>
      <x:c r="U336" s="6" t="n">
        <x:f>Z335</x:f>
        <x:v>0</x:v>
      </x:c>
      <x:c r="V336" s="6" t="n">
        <x:f>ROUND(U336*'Debt strategy'!$D$12/12,2)</x:f>
        <x:v>0</x:v>
      </x:c>
      <x:c r="W336" s="6" t="n">
        <x:f>MIN(U336+V336,'Debt strategy'!$E$12)</x:f>
        <x:v>0</x:v>
      </x:c>
      <x:c r="X336" s="27" t="n">
        <x:f>IF(U336+V336-W336&lt;=0,99,1+SUM(IF(AND(C336+D336-E336&gt;0,OR('Debt strategy'!$D$9&gt;'Debt strategy'!$D$12,AND('Debt strategy'!$D$9='Debt strategy'!$D$12,0&lt;3))),1,0),IF(AND(I336+J336-K336&gt;0,OR('Debt strategy'!$D$10&gt;'Debt strategy'!$D$12,AND('Debt strategy'!$D$10='Debt strategy'!$D$12,1&lt;3))),1,0),IF(AND(O336+P336-Q336&gt;0,OR('Debt strategy'!$D$11&gt;'Debt strategy'!$D$12,AND('Debt strategy'!$D$11='Debt strategy'!$D$12,2&lt;3))),1,0),IF(AND(AA336+AB336-AC336&gt;0,OR('Debt strategy'!$D$13&gt;'Debt strategy'!$D$12,AND('Debt strategy'!$D$13='Debt strategy'!$D$12,4&lt;3))),1,0)))</x:f>
        <x:v>99</x:v>
      </x:c>
      <x:c r="Y336" s="6" t="n">
        <x:f>IF('Debt strategy'!$C$16&gt;0,0,MIN(U336+V336-W336,MAX(0,'Debt strategy'!$C$5-SUM(E336,K336,Q336,W336,AC336)-SUM(IF(F336&lt;X336,C336+D336-E336,0),IF(L336&lt;X336,I336+J336-K336,0),IF(R336&lt;X336,O336+P336-Q336,0),IF(AD336&lt;X336,AA336+AB336-AC336,0)))))</x:f>
        <x:v>0</x:v>
      </x:c>
      <x:c r="Z336" s="6" t="n">
        <x:f>ROUND(MAX(0,U336+V336-W336-Y336),2)</x:f>
        <x:v>0</x:v>
      </x:c>
      <x:c r="AA336" s="6" t="n">
        <x:f>AF335</x:f>
        <x:v>0</x:v>
      </x:c>
      <x:c r="AB336" s="6" t="n">
        <x:f>ROUND(AA336*'Debt strategy'!$D$13/12,2)</x:f>
        <x:v>0</x:v>
      </x:c>
      <x:c r="AC336" s="6" t="n">
        <x:f>MIN(AA336+AB336,'Debt strategy'!$E$13)</x:f>
        <x:v>0</x:v>
      </x:c>
      <x:c r="AD336" s="27" t="n">
        <x:f>IF(AA336+AB336-AC336&lt;=0,99,1+SUM(IF(AND(C336+D336-E336&gt;0,OR('Debt strategy'!$D$9&gt;'Debt strategy'!$D$13,AND('Debt strategy'!$D$9='Debt strategy'!$D$13,0&lt;4))),1,0),IF(AND(I336+J336-K336&gt;0,OR('Debt strategy'!$D$10&gt;'Debt strategy'!$D$13,AND('Debt strategy'!$D$10='Debt strategy'!$D$13,1&lt;4))),1,0),IF(AND(O336+P336-Q336&gt;0,OR('Debt strategy'!$D$11&gt;'Debt strategy'!$D$13,AND('Debt strategy'!$D$11='Debt strategy'!$D$13,2&lt;4))),1,0),IF(AND(U336+V336-W336&gt;0,OR('Debt strategy'!$D$12&gt;'Debt strategy'!$D$13,AND('Debt strategy'!$D$12='Debt strategy'!$D$13,3&lt;4))),1,0)))</x:f>
        <x:v>99</x:v>
      </x:c>
      <x:c r="AE336" s="6" t="n">
        <x:f>IF('Debt strategy'!$C$16&gt;0,0,MIN(AA336+AB336-AC336,MAX(0,'Debt strategy'!$C$5-SUM(E336,K336,Q336,W336,AC336)-SUM(IF(F336&lt;AD336,C336+D336-E336,0),IF(L336&lt;AD336,I336+J336-K336,0),IF(R336&lt;AD336,O336+P336-Q336,0),IF(X336&lt;AD336,U336+V336-W336,0)))))</x:f>
        <x:v>0</x:v>
      </x:c>
      <x:c r="AF336" s="6" t="n">
        <x:f>ROUND(MAX(0,AA336+AB336-AC336-AE336),2)</x:f>
        <x:v>0</x:v>
      </x:c>
      <x:c r="AG336" s="6" t="n">
        <x:f>SUM(H336,N336,T336,Z336,AF336)</x:f>
        <x:v>0</x:v>
      </x:c>
      <x:c r="AH336" s="6" t="n">
        <x:f>SUM(D336,J336,P336,V336,AB336)+AH335</x:f>
        <x:v>1220.8400000000001</x:v>
      </x:c>
      <x:c r="AI336" s="2"/>
    </x:row>
    <x:row r="337" ht="23" customHeight="1">
      <x:c r="B337" s="2" t="n">
        <x:f>329</x:f>
        <x:v>329</x:v>
      </x:c>
      <x:c r="C337" s="6" t="n">
        <x:f>H336</x:f>
        <x:v>0</x:v>
      </x:c>
      <x:c r="D337" s="6" t="n">
        <x:f>ROUND(C337*'Debt strategy'!$D$9/12,2)</x:f>
        <x:v>0</x:v>
      </x:c>
      <x:c r="E337" s="6" t="n">
        <x:f>MIN(C337+D337,'Debt strategy'!$E$9)</x:f>
        <x:v>0</x:v>
      </x:c>
      <x:c r="F337" s="27" t="n">
        <x:f>IF(C337+D337-E337&lt;=0,99,1+SUM(IF(AND(I337+J337-K337&gt;0,OR('Debt strategy'!$D$10&gt;'Debt strategy'!$D$9,AND('Debt strategy'!$D$10='Debt strategy'!$D$9,1&lt;0))),1,0),IF(AND(O337+P337-Q337&gt;0,OR('Debt strategy'!$D$11&gt;'Debt strategy'!$D$9,AND('Debt strategy'!$D$11='Debt strategy'!$D$9,2&lt;0))),1,0),IF(AND(U337+V337-W337&gt;0,OR('Debt strategy'!$D$12&gt;'Debt strategy'!$D$9,AND('Debt strategy'!$D$12='Debt strategy'!$D$9,3&lt;0))),1,0),IF(AND(AA337+AB337-AC337&gt;0,OR('Debt strategy'!$D$13&gt;'Debt strategy'!$D$9,AND('Debt strategy'!$D$13='Debt strategy'!$D$9,4&lt;0))),1,0)))</x:f>
        <x:v>99</x:v>
      </x:c>
      <x:c r="G337" s="6" t="n">
        <x:f>IF('Debt strategy'!$C$16&gt;0,0,MIN(C337+D337-E337,MAX(0,'Debt strategy'!$C$5-SUM(E337,K337,Q337,W337,AC337)-SUM(IF(L337&lt;F337,I337+J337-K337,0),IF(R337&lt;F337,O337+P337-Q337,0),IF(X337&lt;F337,U337+V337-W337,0),IF(AD337&lt;F337,AA337+AB337-AC337,0)))))</x:f>
        <x:v>0</x:v>
      </x:c>
      <x:c r="H337" s="6" t="n">
        <x:f>ROUND(MAX(0,C337+D337-E337-G337),2)</x:f>
        <x:v>0</x:v>
      </x:c>
      <x:c r="I337" s="6" t="n">
        <x:f>N336</x:f>
        <x:v>0</x:v>
      </x:c>
      <x:c r="J337" s="6" t="n">
        <x:f>ROUND(I337*'Debt strategy'!$D$10/12,2)</x:f>
        <x:v>0</x:v>
      </x:c>
      <x:c r="K337" s="6" t="n">
        <x:f>MIN(I337+J337,'Debt strategy'!$E$10)</x:f>
        <x:v>0</x:v>
      </x:c>
      <x:c r="L337" s="27" t="n">
        <x:f>IF(I337+J337-K337&lt;=0,99,1+SUM(IF(AND(C337+D337-E337&gt;0,OR('Debt strategy'!$D$9&gt;'Debt strategy'!$D$10,AND('Debt strategy'!$D$9='Debt strategy'!$D$10,0&lt;1))),1,0),IF(AND(O337+P337-Q337&gt;0,OR('Debt strategy'!$D$11&gt;'Debt strategy'!$D$10,AND('Debt strategy'!$D$11='Debt strategy'!$D$10,2&lt;1))),1,0),IF(AND(U337+V337-W337&gt;0,OR('Debt strategy'!$D$12&gt;'Debt strategy'!$D$10,AND('Debt strategy'!$D$12='Debt strategy'!$D$10,3&lt;1))),1,0),IF(AND(AA337+AB337-AC337&gt;0,OR('Debt strategy'!$D$13&gt;'Debt strategy'!$D$10,AND('Debt strategy'!$D$13='Debt strategy'!$D$10,4&lt;1))),1,0)))</x:f>
        <x:v>99</x:v>
      </x:c>
      <x:c r="M337" s="6" t="n">
        <x:f>IF('Debt strategy'!$C$16&gt;0,0,MIN(I337+J337-K337,MAX(0,'Debt strategy'!$C$5-SUM(E337,K337,Q337,W337,AC337)-SUM(IF(F337&lt;L337,C337+D337-E337,0),IF(R337&lt;L337,O337+P337-Q337,0),IF(X337&lt;L337,U337+V337-W337,0),IF(AD337&lt;L337,AA337+AB337-AC337,0)))))</x:f>
        <x:v>0</x:v>
      </x:c>
      <x:c r="N337" s="6" t="n">
        <x:f>ROUND(MAX(0,I337+J337-K337-M337),2)</x:f>
        <x:v>0</x:v>
      </x:c>
      <x:c r="O337" s="6" t="n">
        <x:f>T336</x:f>
        <x:v>0</x:v>
      </x:c>
      <x:c r="P337" s="6" t="n">
        <x:f>ROUND(O337*'Debt strategy'!$D$11/12,2)</x:f>
        <x:v>0</x:v>
      </x:c>
      <x:c r="Q337" s="6" t="n">
        <x:f>MIN(O337+P337,'Debt strategy'!$E$11)</x:f>
        <x:v>0</x:v>
      </x:c>
      <x:c r="R337" s="27" t="n">
        <x:f>IF(O337+P337-Q337&lt;=0,99,1+SUM(IF(AND(C337+D337-E337&gt;0,OR('Debt strategy'!$D$9&gt;'Debt strategy'!$D$11,AND('Debt strategy'!$D$9='Debt strategy'!$D$11,0&lt;2))),1,0),IF(AND(I337+J337-K337&gt;0,OR('Debt strategy'!$D$10&gt;'Debt strategy'!$D$11,AND('Debt strategy'!$D$10='Debt strategy'!$D$11,1&lt;2))),1,0),IF(AND(U337+V337-W337&gt;0,OR('Debt strategy'!$D$12&gt;'Debt strategy'!$D$11,AND('Debt strategy'!$D$12='Debt strategy'!$D$11,3&lt;2))),1,0),IF(AND(AA337+AB337-AC337&gt;0,OR('Debt strategy'!$D$13&gt;'Debt strategy'!$D$11,AND('Debt strategy'!$D$13='Debt strategy'!$D$11,4&lt;2))),1,0)))</x:f>
        <x:v>99</x:v>
      </x:c>
      <x:c r="S337" s="6" t="n">
        <x:f>IF('Debt strategy'!$C$16&gt;0,0,MIN(O337+P337-Q337,MAX(0,'Debt strategy'!$C$5-SUM(E337,K337,Q337,W337,AC337)-SUM(IF(F337&lt;R337,C337+D337-E337,0),IF(L337&lt;R337,I337+J337-K337,0),IF(X337&lt;R337,U337+V337-W337,0),IF(AD337&lt;R337,AA337+AB337-AC337,0)))))</x:f>
        <x:v>0</x:v>
      </x:c>
      <x:c r="T337" s="6" t="n">
        <x:f>ROUND(MAX(0,O337+P337-Q337-S337),2)</x:f>
        <x:v>0</x:v>
      </x:c>
      <x:c r="U337" s="6" t="n">
        <x:f>Z336</x:f>
        <x:v>0</x:v>
      </x:c>
      <x:c r="V337" s="6" t="n">
        <x:f>ROUND(U337*'Debt strategy'!$D$12/12,2)</x:f>
        <x:v>0</x:v>
      </x:c>
      <x:c r="W337" s="6" t="n">
        <x:f>MIN(U337+V337,'Debt strategy'!$E$12)</x:f>
        <x:v>0</x:v>
      </x:c>
      <x:c r="X337" s="27" t="n">
        <x:f>IF(U337+V337-W337&lt;=0,99,1+SUM(IF(AND(C337+D337-E337&gt;0,OR('Debt strategy'!$D$9&gt;'Debt strategy'!$D$12,AND('Debt strategy'!$D$9='Debt strategy'!$D$12,0&lt;3))),1,0),IF(AND(I337+J337-K337&gt;0,OR('Debt strategy'!$D$10&gt;'Debt strategy'!$D$12,AND('Debt strategy'!$D$10='Debt strategy'!$D$12,1&lt;3))),1,0),IF(AND(O337+P337-Q337&gt;0,OR('Debt strategy'!$D$11&gt;'Debt strategy'!$D$12,AND('Debt strategy'!$D$11='Debt strategy'!$D$12,2&lt;3))),1,0),IF(AND(AA337+AB337-AC337&gt;0,OR('Debt strategy'!$D$13&gt;'Debt strategy'!$D$12,AND('Debt strategy'!$D$13='Debt strategy'!$D$12,4&lt;3))),1,0)))</x:f>
        <x:v>99</x:v>
      </x:c>
      <x:c r="Y337" s="6" t="n">
        <x:f>IF('Debt strategy'!$C$16&gt;0,0,MIN(U337+V337-W337,MAX(0,'Debt strategy'!$C$5-SUM(E337,K337,Q337,W337,AC337)-SUM(IF(F337&lt;X337,C337+D337-E337,0),IF(L337&lt;X337,I337+J337-K337,0),IF(R337&lt;X337,O337+P337-Q337,0),IF(AD337&lt;X337,AA337+AB337-AC337,0)))))</x:f>
        <x:v>0</x:v>
      </x:c>
      <x:c r="Z337" s="6" t="n">
        <x:f>ROUND(MAX(0,U337+V337-W337-Y337),2)</x:f>
        <x:v>0</x:v>
      </x:c>
      <x:c r="AA337" s="6" t="n">
        <x:f>AF336</x:f>
        <x:v>0</x:v>
      </x:c>
      <x:c r="AB337" s="6" t="n">
        <x:f>ROUND(AA337*'Debt strategy'!$D$13/12,2)</x:f>
        <x:v>0</x:v>
      </x:c>
      <x:c r="AC337" s="6" t="n">
        <x:f>MIN(AA337+AB337,'Debt strategy'!$E$13)</x:f>
        <x:v>0</x:v>
      </x:c>
      <x:c r="AD337" s="27" t="n">
        <x:f>IF(AA337+AB337-AC337&lt;=0,99,1+SUM(IF(AND(C337+D337-E337&gt;0,OR('Debt strategy'!$D$9&gt;'Debt strategy'!$D$13,AND('Debt strategy'!$D$9='Debt strategy'!$D$13,0&lt;4))),1,0),IF(AND(I337+J337-K337&gt;0,OR('Debt strategy'!$D$10&gt;'Debt strategy'!$D$13,AND('Debt strategy'!$D$10='Debt strategy'!$D$13,1&lt;4))),1,0),IF(AND(O337+P337-Q337&gt;0,OR('Debt strategy'!$D$11&gt;'Debt strategy'!$D$13,AND('Debt strategy'!$D$11='Debt strategy'!$D$13,2&lt;4))),1,0),IF(AND(U337+V337-W337&gt;0,OR('Debt strategy'!$D$12&gt;'Debt strategy'!$D$13,AND('Debt strategy'!$D$12='Debt strategy'!$D$13,3&lt;4))),1,0)))</x:f>
        <x:v>99</x:v>
      </x:c>
      <x:c r="AE337" s="6" t="n">
        <x:f>IF('Debt strategy'!$C$16&gt;0,0,MIN(AA337+AB337-AC337,MAX(0,'Debt strategy'!$C$5-SUM(E337,K337,Q337,W337,AC337)-SUM(IF(F337&lt;AD337,C337+D337-E337,0),IF(L337&lt;AD337,I337+J337-K337,0),IF(R337&lt;AD337,O337+P337-Q337,0),IF(X337&lt;AD337,U337+V337-W337,0)))))</x:f>
        <x:v>0</x:v>
      </x:c>
      <x:c r="AF337" s="6" t="n">
        <x:f>ROUND(MAX(0,AA337+AB337-AC337-AE337),2)</x:f>
        <x:v>0</x:v>
      </x:c>
      <x:c r="AG337" s="6" t="n">
        <x:f>SUM(H337,N337,T337,Z337,AF337)</x:f>
        <x:v>0</x:v>
      </x:c>
      <x:c r="AH337" s="6" t="n">
        <x:f>SUM(D337,J337,P337,V337,AB337)+AH336</x:f>
        <x:v>1220.8400000000001</x:v>
      </x:c>
      <x:c r="AI337" s="2"/>
    </x:row>
    <x:row r="338" ht="23" customHeight="1">
      <x:c r="B338" s="2" t="n">
        <x:f>330</x:f>
        <x:v>330</x:v>
      </x:c>
      <x:c r="C338" s="6" t="n">
        <x:f>H337</x:f>
        <x:v>0</x:v>
      </x:c>
      <x:c r="D338" s="6" t="n">
        <x:f>ROUND(C338*'Debt strategy'!$D$9/12,2)</x:f>
        <x:v>0</x:v>
      </x:c>
      <x:c r="E338" s="6" t="n">
        <x:f>MIN(C338+D338,'Debt strategy'!$E$9)</x:f>
        <x:v>0</x:v>
      </x:c>
      <x:c r="F338" s="27" t="n">
        <x:f>IF(C338+D338-E338&lt;=0,99,1+SUM(IF(AND(I338+J338-K338&gt;0,OR('Debt strategy'!$D$10&gt;'Debt strategy'!$D$9,AND('Debt strategy'!$D$10='Debt strategy'!$D$9,1&lt;0))),1,0),IF(AND(O338+P338-Q338&gt;0,OR('Debt strategy'!$D$11&gt;'Debt strategy'!$D$9,AND('Debt strategy'!$D$11='Debt strategy'!$D$9,2&lt;0))),1,0),IF(AND(U338+V338-W338&gt;0,OR('Debt strategy'!$D$12&gt;'Debt strategy'!$D$9,AND('Debt strategy'!$D$12='Debt strategy'!$D$9,3&lt;0))),1,0),IF(AND(AA338+AB338-AC338&gt;0,OR('Debt strategy'!$D$13&gt;'Debt strategy'!$D$9,AND('Debt strategy'!$D$13='Debt strategy'!$D$9,4&lt;0))),1,0)))</x:f>
        <x:v>99</x:v>
      </x:c>
      <x:c r="G338" s="6" t="n">
        <x:f>IF('Debt strategy'!$C$16&gt;0,0,MIN(C338+D338-E338,MAX(0,'Debt strategy'!$C$5-SUM(E338,K338,Q338,W338,AC338)-SUM(IF(L338&lt;F338,I338+J338-K338,0),IF(R338&lt;F338,O338+P338-Q338,0),IF(X338&lt;F338,U338+V338-W338,0),IF(AD338&lt;F338,AA338+AB338-AC338,0)))))</x:f>
        <x:v>0</x:v>
      </x:c>
      <x:c r="H338" s="6" t="n">
        <x:f>ROUND(MAX(0,C338+D338-E338-G338),2)</x:f>
        <x:v>0</x:v>
      </x:c>
      <x:c r="I338" s="6" t="n">
        <x:f>N337</x:f>
        <x:v>0</x:v>
      </x:c>
      <x:c r="J338" s="6" t="n">
        <x:f>ROUND(I338*'Debt strategy'!$D$10/12,2)</x:f>
        <x:v>0</x:v>
      </x:c>
      <x:c r="K338" s="6" t="n">
        <x:f>MIN(I338+J338,'Debt strategy'!$E$10)</x:f>
        <x:v>0</x:v>
      </x:c>
      <x:c r="L338" s="27" t="n">
        <x:f>IF(I338+J338-K338&lt;=0,99,1+SUM(IF(AND(C338+D338-E338&gt;0,OR('Debt strategy'!$D$9&gt;'Debt strategy'!$D$10,AND('Debt strategy'!$D$9='Debt strategy'!$D$10,0&lt;1))),1,0),IF(AND(O338+P338-Q338&gt;0,OR('Debt strategy'!$D$11&gt;'Debt strategy'!$D$10,AND('Debt strategy'!$D$11='Debt strategy'!$D$10,2&lt;1))),1,0),IF(AND(U338+V338-W338&gt;0,OR('Debt strategy'!$D$12&gt;'Debt strategy'!$D$10,AND('Debt strategy'!$D$12='Debt strategy'!$D$10,3&lt;1))),1,0),IF(AND(AA338+AB338-AC338&gt;0,OR('Debt strategy'!$D$13&gt;'Debt strategy'!$D$10,AND('Debt strategy'!$D$13='Debt strategy'!$D$10,4&lt;1))),1,0)))</x:f>
        <x:v>99</x:v>
      </x:c>
      <x:c r="M338" s="6" t="n">
        <x:f>IF('Debt strategy'!$C$16&gt;0,0,MIN(I338+J338-K338,MAX(0,'Debt strategy'!$C$5-SUM(E338,K338,Q338,W338,AC338)-SUM(IF(F338&lt;L338,C338+D338-E338,0),IF(R338&lt;L338,O338+P338-Q338,0),IF(X338&lt;L338,U338+V338-W338,0),IF(AD338&lt;L338,AA338+AB338-AC338,0)))))</x:f>
        <x:v>0</x:v>
      </x:c>
      <x:c r="N338" s="6" t="n">
        <x:f>ROUND(MAX(0,I338+J338-K338-M338),2)</x:f>
        <x:v>0</x:v>
      </x:c>
      <x:c r="O338" s="6" t="n">
        <x:f>T337</x:f>
        <x:v>0</x:v>
      </x:c>
      <x:c r="P338" s="6" t="n">
        <x:f>ROUND(O338*'Debt strategy'!$D$11/12,2)</x:f>
        <x:v>0</x:v>
      </x:c>
      <x:c r="Q338" s="6" t="n">
        <x:f>MIN(O338+P338,'Debt strategy'!$E$11)</x:f>
        <x:v>0</x:v>
      </x:c>
      <x:c r="R338" s="27" t="n">
        <x:f>IF(O338+P338-Q338&lt;=0,99,1+SUM(IF(AND(C338+D338-E338&gt;0,OR('Debt strategy'!$D$9&gt;'Debt strategy'!$D$11,AND('Debt strategy'!$D$9='Debt strategy'!$D$11,0&lt;2))),1,0),IF(AND(I338+J338-K338&gt;0,OR('Debt strategy'!$D$10&gt;'Debt strategy'!$D$11,AND('Debt strategy'!$D$10='Debt strategy'!$D$11,1&lt;2))),1,0),IF(AND(U338+V338-W338&gt;0,OR('Debt strategy'!$D$12&gt;'Debt strategy'!$D$11,AND('Debt strategy'!$D$12='Debt strategy'!$D$11,3&lt;2))),1,0),IF(AND(AA338+AB338-AC338&gt;0,OR('Debt strategy'!$D$13&gt;'Debt strategy'!$D$11,AND('Debt strategy'!$D$13='Debt strategy'!$D$11,4&lt;2))),1,0)))</x:f>
        <x:v>99</x:v>
      </x:c>
      <x:c r="S338" s="6" t="n">
        <x:f>IF('Debt strategy'!$C$16&gt;0,0,MIN(O338+P338-Q338,MAX(0,'Debt strategy'!$C$5-SUM(E338,K338,Q338,W338,AC338)-SUM(IF(F338&lt;R338,C338+D338-E338,0),IF(L338&lt;R338,I338+J338-K338,0),IF(X338&lt;R338,U338+V338-W338,0),IF(AD338&lt;R338,AA338+AB338-AC338,0)))))</x:f>
        <x:v>0</x:v>
      </x:c>
      <x:c r="T338" s="6" t="n">
        <x:f>ROUND(MAX(0,O338+P338-Q338-S338),2)</x:f>
        <x:v>0</x:v>
      </x:c>
      <x:c r="U338" s="6" t="n">
        <x:f>Z337</x:f>
        <x:v>0</x:v>
      </x:c>
      <x:c r="V338" s="6" t="n">
        <x:f>ROUND(U338*'Debt strategy'!$D$12/12,2)</x:f>
        <x:v>0</x:v>
      </x:c>
      <x:c r="W338" s="6" t="n">
        <x:f>MIN(U338+V338,'Debt strategy'!$E$12)</x:f>
        <x:v>0</x:v>
      </x:c>
      <x:c r="X338" s="27" t="n">
        <x:f>IF(U338+V338-W338&lt;=0,99,1+SUM(IF(AND(C338+D338-E338&gt;0,OR('Debt strategy'!$D$9&gt;'Debt strategy'!$D$12,AND('Debt strategy'!$D$9='Debt strategy'!$D$12,0&lt;3))),1,0),IF(AND(I338+J338-K338&gt;0,OR('Debt strategy'!$D$10&gt;'Debt strategy'!$D$12,AND('Debt strategy'!$D$10='Debt strategy'!$D$12,1&lt;3))),1,0),IF(AND(O338+P338-Q338&gt;0,OR('Debt strategy'!$D$11&gt;'Debt strategy'!$D$12,AND('Debt strategy'!$D$11='Debt strategy'!$D$12,2&lt;3))),1,0),IF(AND(AA338+AB338-AC338&gt;0,OR('Debt strategy'!$D$13&gt;'Debt strategy'!$D$12,AND('Debt strategy'!$D$13='Debt strategy'!$D$12,4&lt;3))),1,0)))</x:f>
        <x:v>99</x:v>
      </x:c>
      <x:c r="Y338" s="6" t="n">
        <x:f>IF('Debt strategy'!$C$16&gt;0,0,MIN(U338+V338-W338,MAX(0,'Debt strategy'!$C$5-SUM(E338,K338,Q338,W338,AC338)-SUM(IF(F338&lt;X338,C338+D338-E338,0),IF(L338&lt;X338,I338+J338-K338,0),IF(R338&lt;X338,O338+P338-Q338,0),IF(AD338&lt;X338,AA338+AB338-AC338,0)))))</x:f>
        <x:v>0</x:v>
      </x:c>
      <x:c r="Z338" s="6" t="n">
        <x:f>ROUND(MAX(0,U338+V338-W338-Y338),2)</x:f>
        <x:v>0</x:v>
      </x:c>
      <x:c r="AA338" s="6" t="n">
        <x:f>AF337</x:f>
        <x:v>0</x:v>
      </x:c>
      <x:c r="AB338" s="6" t="n">
        <x:f>ROUND(AA338*'Debt strategy'!$D$13/12,2)</x:f>
        <x:v>0</x:v>
      </x:c>
      <x:c r="AC338" s="6" t="n">
        <x:f>MIN(AA338+AB338,'Debt strategy'!$E$13)</x:f>
        <x:v>0</x:v>
      </x:c>
      <x:c r="AD338" s="27" t="n">
        <x:f>IF(AA338+AB338-AC338&lt;=0,99,1+SUM(IF(AND(C338+D338-E338&gt;0,OR('Debt strategy'!$D$9&gt;'Debt strategy'!$D$13,AND('Debt strategy'!$D$9='Debt strategy'!$D$13,0&lt;4))),1,0),IF(AND(I338+J338-K338&gt;0,OR('Debt strategy'!$D$10&gt;'Debt strategy'!$D$13,AND('Debt strategy'!$D$10='Debt strategy'!$D$13,1&lt;4))),1,0),IF(AND(O338+P338-Q338&gt;0,OR('Debt strategy'!$D$11&gt;'Debt strategy'!$D$13,AND('Debt strategy'!$D$11='Debt strategy'!$D$13,2&lt;4))),1,0),IF(AND(U338+V338-W338&gt;0,OR('Debt strategy'!$D$12&gt;'Debt strategy'!$D$13,AND('Debt strategy'!$D$12='Debt strategy'!$D$13,3&lt;4))),1,0)))</x:f>
        <x:v>99</x:v>
      </x:c>
      <x:c r="AE338" s="6" t="n">
        <x:f>IF('Debt strategy'!$C$16&gt;0,0,MIN(AA338+AB338-AC338,MAX(0,'Debt strategy'!$C$5-SUM(E338,K338,Q338,W338,AC338)-SUM(IF(F338&lt;AD338,C338+D338-E338,0),IF(L338&lt;AD338,I338+J338-K338,0),IF(R338&lt;AD338,O338+P338-Q338,0),IF(X338&lt;AD338,U338+V338-W338,0)))))</x:f>
        <x:v>0</x:v>
      </x:c>
      <x:c r="AF338" s="6" t="n">
        <x:f>ROUND(MAX(0,AA338+AB338-AC338-AE338),2)</x:f>
        <x:v>0</x:v>
      </x:c>
      <x:c r="AG338" s="6" t="n">
        <x:f>SUM(H338,N338,T338,Z338,AF338)</x:f>
        <x:v>0</x:v>
      </x:c>
      <x:c r="AH338" s="6" t="n">
        <x:f>SUM(D338,J338,P338,V338,AB338)+AH337</x:f>
        <x:v>1220.8400000000001</x:v>
      </x:c>
      <x:c r="AI338" s="2"/>
    </x:row>
    <x:row r="339" ht="23" customHeight="1">
      <x:c r="B339" s="2" t="n">
        <x:f>331</x:f>
        <x:v>331</x:v>
      </x:c>
      <x:c r="C339" s="6" t="n">
        <x:f>H338</x:f>
        <x:v>0</x:v>
      </x:c>
      <x:c r="D339" s="6" t="n">
        <x:f>ROUND(C339*'Debt strategy'!$D$9/12,2)</x:f>
        <x:v>0</x:v>
      </x:c>
      <x:c r="E339" s="6" t="n">
        <x:f>MIN(C339+D339,'Debt strategy'!$E$9)</x:f>
        <x:v>0</x:v>
      </x:c>
      <x:c r="F339" s="27" t="n">
        <x:f>IF(C339+D339-E339&lt;=0,99,1+SUM(IF(AND(I339+J339-K339&gt;0,OR('Debt strategy'!$D$10&gt;'Debt strategy'!$D$9,AND('Debt strategy'!$D$10='Debt strategy'!$D$9,1&lt;0))),1,0),IF(AND(O339+P339-Q339&gt;0,OR('Debt strategy'!$D$11&gt;'Debt strategy'!$D$9,AND('Debt strategy'!$D$11='Debt strategy'!$D$9,2&lt;0))),1,0),IF(AND(U339+V339-W339&gt;0,OR('Debt strategy'!$D$12&gt;'Debt strategy'!$D$9,AND('Debt strategy'!$D$12='Debt strategy'!$D$9,3&lt;0))),1,0),IF(AND(AA339+AB339-AC339&gt;0,OR('Debt strategy'!$D$13&gt;'Debt strategy'!$D$9,AND('Debt strategy'!$D$13='Debt strategy'!$D$9,4&lt;0))),1,0)))</x:f>
        <x:v>99</x:v>
      </x:c>
      <x:c r="G339" s="6" t="n">
        <x:f>IF('Debt strategy'!$C$16&gt;0,0,MIN(C339+D339-E339,MAX(0,'Debt strategy'!$C$5-SUM(E339,K339,Q339,W339,AC339)-SUM(IF(L339&lt;F339,I339+J339-K339,0),IF(R339&lt;F339,O339+P339-Q339,0),IF(X339&lt;F339,U339+V339-W339,0),IF(AD339&lt;F339,AA339+AB339-AC339,0)))))</x:f>
        <x:v>0</x:v>
      </x:c>
      <x:c r="H339" s="6" t="n">
        <x:f>ROUND(MAX(0,C339+D339-E339-G339),2)</x:f>
        <x:v>0</x:v>
      </x:c>
      <x:c r="I339" s="6" t="n">
        <x:f>N338</x:f>
        <x:v>0</x:v>
      </x:c>
      <x:c r="J339" s="6" t="n">
        <x:f>ROUND(I339*'Debt strategy'!$D$10/12,2)</x:f>
        <x:v>0</x:v>
      </x:c>
      <x:c r="K339" s="6" t="n">
        <x:f>MIN(I339+J339,'Debt strategy'!$E$10)</x:f>
        <x:v>0</x:v>
      </x:c>
      <x:c r="L339" s="27" t="n">
        <x:f>IF(I339+J339-K339&lt;=0,99,1+SUM(IF(AND(C339+D339-E339&gt;0,OR('Debt strategy'!$D$9&gt;'Debt strategy'!$D$10,AND('Debt strategy'!$D$9='Debt strategy'!$D$10,0&lt;1))),1,0),IF(AND(O339+P339-Q339&gt;0,OR('Debt strategy'!$D$11&gt;'Debt strategy'!$D$10,AND('Debt strategy'!$D$11='Debt strategy'!$D$10,2&lt;1))),1,0),IF(AND(U339+V339-W339&gt;0,OR('Debt strategy'!$D$12&gt;'Debt strategy'!$D$10,AND('Debt strategy'!$D$12='Debt strategy'!$D$10,3&lt;1))),1,0),IF(AND(AA339+AB339-AC339&gt;0,OR('Debt strategy'!$D$13&gt;'Debt strategy'!$D$10,AND('Debt strategy'!$D$13='Debt strategy'!$D$10,4&lt;1))),1,0)))</x:f>
        <x:v>99</x:v>
      </x:c>
      <x:c r="M339" s="6" t="n">
        <x:f>IF('Debt strategy'!$C$16&gt;0,0,MIN(I339+J339-K339,MAX(0,'Debt strategy'!$C$5-SUM(E339,K339,Q339,W339,AC339)-SUM(IF(F339&lt;L339,C339+D339-E339,0),IF(R339&lt;L339,O339+P339-Q339,0),IF(X339&lt;L339,U339+V339-W339,0),IF(AD339&lt;L339,AA339+AB339-AC339,0)))))</x:f>
        <x:v>0</x:v>
      </x:c>
      <x:c r="N339" s="6" t="n">
        <x:f>ROUND(MAX(0,I339+J339-K339-M339),2)</x:f>
        <x:v>0</x:v>
      </x:c>
      <x:c r="O339" s="6" t="n">
        <x:f>T338</x:f>
        <x:v>0</x:v>
      </x:c>
      <x:c r="P339" s="6" t="n">
        <x:f>ROUND(O339*'Debt strategy'!$D$11/12,2)</x:f>
        <x:v>0</x:v>
      </x:c>
      <x:c r="Q339" s="6" t="n">
        <x:f>MIN(O339+P339,'Debt strategy'!$E$11)</x:f>
        <x:v>0</x:v>
      </x:c>
      <x:c r="R339" s="27" t="n">
        <x:f>IF(O339+P339-Q339&lt;=0,99,1+SUM(IF(AND(C339+D339-E339&gt;0,OR('Debt strategy'!$D$9&gt;'Debt strategy'!$D$11,AND('Debt strategy'!$D$9='Debt strategy'!$D$11,0&lt;2))),1,0),IF(AND(I339+J339-K339&gt;0,OR('Debt strategy'!$D$10&gt;'Debt strategy'!$D$11,AND('Debt strategy'!$D$10='Debt strategy'!$D$11,1&lt;2))),1,0),IF(AND(U339+V339-W339&gt;0,OR('Debt strategy'!$D$12&gt;'Debt strategy'!$D$11,AND('Debt strategy'!$D$12='Debt strategy'!$D$11,3&lt;2))),1,0),IF(AND(AA339+AB339-AC339&gt;0,OR('Debt strategy'!$D$13&gt;'Debt strategy'!$D$11,AND('Debt strategy'!$D$13='Debt strategy'!$D$11,4&lt;2))),1,0)))</x:f>
        <x:v>99</x:v>
      </x:c>
      <x:c r="S339" s="6" t="n">
        <x:f>IF('Debt strategy'!$C$16&gt;0,0,MIN(O339+P339-Q339,MAX(0,'Debt strategy'!$C$5-SUM(E339,K339,Q339,W339,AC339)-SUM(IF(F339&lt;R339,C339+D339-E339,0),IF(L339&lt;R339,I339+J339-K339,0),IF(X339&lt;R339,U339+V339-W339,0),IF(AD339&lt;R339,AA339+AB339-AC339,0)))))</x:f>
        <x:v>0</x:v>
      </x:c>
      <x:c r="T339" s="6" t="n">
        <x:f>ROUND(MAX(0,O339+P339-Q339-S339),2)</x:f>
        <x:v>0</x:v>
      </x:c>
      <x:c r="U339" s="6" t="n">
        <x:f>Z338</x:f>
        <x:v>0</x:v>
      </x:c>
      <x:c r="V339" s="6" t="n">
        <x:f>ROUND(U339*'Debt strategy'!$D$12/12,2)</x:f>
        <x:v>0</x:v>
      </x:c>
      <x:c r="W339" s="6" t="n">
        <x:f>MIN(U339+V339,'Debt strategy'!$E$12)</x:f>
        <x:v>0</x:v>
      </x:c>
      <x:c r="X339" s="27" t="n">
        <x:f>IF(U339+V339-W339&lt;=0,99,1+SUM(IF(AND(C339+D339-E339&gt;0,OR('Debt strategy'!$D$9&gt;'Debt strategy'!$D$12,AND('Debt strategy'!$D$9='Debt strategy'!$D$12,0&lt;3))),1,0),IF(AND(I339+J339-K339&gt;0,OR('Debt strategy'!$D$10&gt;'Debt strategy'!$D$12,AND('Debt strategy'!$D$10='Debt strategy'!$D$12,1&lt;3))),1,0),IF(AND(O339+P339-Q339&gt;0,OR('Debt strategy'!$D$11&gt;'Debt strategy'!$D$12,AND('Debt strategy'!$D$11='Debt strategy'!$D$12,2&lt;3))),1,0),IF(AND(AA339+AB339-AC339&gt;0,OR('Debt strategy'!$D$13&gt;'Debt strategy'!$D$12,AND('Debt strategy'!$D$13='Debt strategy'!$D$12,4&lt;3))),1,0)))</x:f>
        <x:v>99</x:v>
      </x:c>
      <x:c r="Y339" s="6" t="n">
        <x:f>IF('Debt strategy'!$C$16&gt;0,0,MIN(U339+V339-W339,MAX(0,'Debt strategy'!$C$5-SUM(E339,K339,Q339,W339,AC339)-SUM(IF(F339&lt;X339,C339+D339-E339,0),IF(L339&lt;X339,I339+J339-K339,0),IF(R339&lt;X339,O339+P339-Q339,0),IF(AD339&lt;X339,AA339+AB339-AC339,0)))))</x:f>
        <x:v>0</x:v>
      </x:c>
      <x:c r="Z339" s="6" t="n">
        <x:f>ROUND(MAX(0,U339+V339-W339-Y339),2)</x:f>
        <x:v>0</x:v>
      </x:c>
      <x:c r="AA339" s="6" t="n">
        <x:f>AF338</x:f>
        <x:v>0</x:v>
      </x:c>
      <x:c r="AB339" s="6" t="n">
        <x:f>ROUND(AA339*'Debt strategy'!$D$13/12,2)</x:f>
        <x:v>0</x:v>
      </x:c>
      <x:c r="AC339" s="6" t="n">
        <x:f>MIN(AA339+AB339,'Debt strategy'!$E$13)</x:f>
        <x:v>0</x:v>
      </x:c>
      <x:c r="AD339" s="27" t="n">
        <x:f>IF(AA339+AB339-AC339&lt;=0,99,1+SUM(IF(AND(C339+D339-E339&gt;0,OR('Debt strategy'!$D$9&gt;'Debt strategy'!$D$13,AND('Debt strategy'!$D$9='Debt strategy'!$D$13,0&lt;4))),1,0),IF(AND(I339+J339-K339&gt;0,OR('Debt strategy'!$D$10&gt;'Debt strategy'!$D$13,AND('Debt strategy'!$D$10='Debt strategy'!$D$13,1&lt;4))),1,0),IF(AND(O339+P339-Q339&gt;0,OR('Debt strategy'!$D$11&gt;'Debt strategy'!$D$13,AND('Debt strategy'!$D$11='Debt strategy'!$D$13,2&lt;4))),1,0),IF(AND(U339+V339-W339&gt;0,OR('Debt strategy'!$D$12&gt;'Debt strategy'!$D$13,AND('Debt strategy'!$D$12='Debt strategy'!$D$13,3&lt;4))),1,0)))</x:f>
        <x:v>99</x:v>
      </x:c>
      <x:c r="AE339" s="6" t="n">
        <x:f>IF('Debt strategy'!$C$16&gt;0,0,MIN(AA339+AB339-AC339,MAX(0,'Debt strategy'!$C$5-SUM(E339,K339,Q339,W339,AC339)-SUM(IF(F339&lt;AD339,C339+D339-E339,0),IF(L339&lt;AD339,I339+J339-K339,0),IF(R339&lt;AD339,O339+P339-Q339,0),IF(X339&lt;AD339,U339+V339-W339,0)))))</x:f>
        <x:v>0</x:v>
      </x:c>
      <x:c r="AF339" s="6" t="n">
        <x:f>ROUND(MAX(0,AA339+AB339-AC339-AE339),2)</x:f>
        <x:v>0</x:v>
      </x:c>
      <x:c r="AG339" s="6" t="n">
        <x:f>SUM(H339,N339,T339,Z339,AF339)</x:f>
        <x:v>0</x:v>
      </x:c>
      <x:c r="AH339" s="6" t="n">
        <x:f>SUM(D339,J339,P339,V339,AB339)+AH338</x:f>
        <x:v>1220.8400000000001</x:v>
      </x:c>
      <x:c r="AI339" s="2"/>
    </x:row>
    <x:row r="340" ht="23" customHeight="1">
      <x:c r="B340" s="2" t="n">
        <x:f>332</x:f>
        <x:v>332</x:v>
      </x:c>
      <x:c r="C340" s="6" t="n">
        <x:f>H339</x:f>
        <x:v>0</x:v>
      </x:c>
      <x:c r="D340" s="6" t="n">
        <x:f>ROUND(C340*'Debt strategy'!$D$9/12,2)</x:f>
        <x:v>0</x:v>
      </x:c>
      <x:c r="E340" s="6" t="n">
        <x:f>MIN(C340+D340,'Debt strategy'!$E$9)</x:f>
        <x:v>0</x:v>
      </x:c>
      <x:c r="F340" s="27" t="n">
        <x:f>IF(C340+D340-E340&lt;=0,99,1+SUM(IF(AND(I340+J340-K340&gt;0,OR('Debt strategy'!$D$10&gt;'Debt strategy'!$D$9,AND('Debt strategy'!$D$10='Debt strategy'!$D$9,1&lt;0))),1,0),IF(AND(O340+P340-Q340&gt;0,OR('Debt strategy'!$D$11&gt;'Debt strategy'!$D$9,AND('Debt strategy'!$D$11='Debt strategy'!$D$9,2&lt;0))),1,0),IF(AND(U340+V340-W340&gt;0,OR('Debt strategy'!$D$12&gt;'Debt strategy'!$D$9,AND('Debt strategy'!$D$12='Debt strategy'!$D$9,3&lt;0))),1,0),IF(AND(AA340+AB340-AC340&gt;0,OR('Debt strategy'!$D$13&gt;'Debt strategy'!$D$9,AND('Debt strategy'!$D$13='Debt strategy'!$D$9,4&lt;0))),1,0)))</x:f>
        <x:v>99</x:v>
      </x:c>
      <x:c r="G340" s="6" t="n">
        <x:f>IF('Debt strategy'!$C$16&gt;0,0,MIN(C340+D340-E340,MAX(0,'Debt strategy'!$C$5-SUM(E340,K340,Q340,W340,AC340)-SUM(IF(L340&lt;F340,I340+J340-K340,0),IF(R340&lt;F340,O340+P340-Q340,0),IF(X340&lt;F340,U340+V340-W340,0),IF(AD340&lt;F340,AA340+AB340-AC340,0)))))</x:f>
        <x:v>0</x:v>
      </x:c>
      <x:c r="H340" s="6" t="n">
        <x:f>ROUND(MAX(0,C340+D340-E340-G340),2)</x:f>
        <x:v>0</x:v>
      </x:c>
      <x:c r="I340" s="6" t="n">
        <x:f>N339</x:f>
        <x:v>0</x:v>
      </x:c>
      <x:c r="J340" s="6" t="n">
        <x:f>ROUND(I340*'Debt strategy'!$D$10/12,2)</x:f>
        <x:v>0</x:v>
      </x:c>
      <x:c r="K340" s="6" t="n">
        <x:f>MIN(I340+J340,'Debt strategy'!$E$10)</x:f>
        <x:v>0</x:v>
      </x:c>
      <x:c r="L340" s="27" t="n">
        <x:f>IF(I340+J340-K340&lt;=0,99,1+SUM(IF(AND(C340+D340-E340&gt;0,OR('Debt strategy'!$D$9&gt;'Debt strategy'!$D$10,AND('Debt strategy'!$D$9='Debt strategy'!$D$10,0&lt;1))),1,0),IF(AND(O340+P340-Q340&gt;0,OR('Debt strategy'!$D$11&gt;'Debt strategy'!$D$10,AND('Debt strategy'!$D$11='Debt strategy'!$D$10,2&lt;1))),1,0),IF(AND(U340+V340-W340&gt;0,OR('Debt strategy'!$D$12&gt;'Debt strategy'!$D$10,AND('Debt strategy'!$D$12='Debt strategy'!$D$10,3&lt;1))),1,0),IF(AND(AA340+AB340-AC340&gt;0,OR('Debt strategy'!$D$13&gt;'Debt strategy'!$D$10,AND('Debt strategy'!$D$13='Debt strategy'!$D$10,4&lt;1))),1,0)))</x:f>
        <x:v>99</x:v>
      </x:c>
      <x:c r="M340" s="6" t="n">
        <x:f>IF('Debt strategy'!$C$16&gt;0,0,MIN(I340+J340-K340,MAX(0,'Debt strategy'!$C$5-SUM(E340,K340,Q340,W340,AC340)-SUM(IF(F340&lt;L340,C340+D340-E340,0),IF(R340&lt;L340,O340+P340-Q340,0),IF(X340&lt;L340,U340+V340-W340,0),IF(AD340&lt;L340,AA340+AB340-AC340,0)))))</x:f>
        <x:v>0</x:v>
      </x:c>
      <x:c r="N340" s="6" t="n">
        <x:f>ROUND(MAX(0,I340+J340-K340-M340),2)</x:f>
        <x:v>0</x:v>
      </x:c>
      <x:c r="O340" s="6" t="n">
        <x:f>T339</x:f>
        <x:v>0</x:v>
      </x:c>
      <x:c r="P340" s="6" t="n">
        <x:f>ROUND(O340*'Debt strategy'!$D$11/12,2)</x:f>
        <x:v>0</x:v>
      </x:c>
      <x:c r="Q340" s="6" t="n">
        <x:f>MIN(O340+P340,'Debt strategy'!$E$11)</x:f>
        <x:v>0</x:v>
      </x:c>
      <x:c r="R340" s="27" t="n">
        <x:f>IF(O340+P340-Q340&lt;=0,99,1+SUM(IF(AND(C340+D340-E340&gt;0,OR('Debt strategy'!$D$9&gt;'Debt strategy'!$D$11,AND('Debt strategy'!$D$9='Debt strategy'!$D$11,0&lt;2))),1,0),IF(AND(I340+J340-K340&gt;0,OR('Debt strategy'!$D$10&gt;'Debt strategy'!$D$11,AND('Debt strategy'!$D$10='Debt strategy'!$D$11,1&lt;2))),1,0),IF(AND(U340+V340-W340&gt;0,OR('Debt strategy'!$D$12&gt;'Debt strategy'!$D$11,AND('Debt strategy'!$D$12='Debt strategy'!$D$11,3&lt;2))),1,0),IF(AND(AA340+AB340-AC340&gt;0,OR('Debt strategy'!$D$13&gt;'Debt strategy'!$D$11,AND('Debt strategy'!$D$13='Debt strategy'!$D$11,4&lt;2))),1,0)))</x:f>
        <x:v>99</x:v>
      </x:c>
      <x:c r="S340" s="6" t="n">
        <x:f>IF('Debt strategy'!$C$16&gt;0,0,MIN(O340+P340-Q340,MAX(0,'Debt strategy'!$C$5-SUM(E340,K340,Q340,W340,AC340)-SUM(IF(F340&lt;R340,C340+D340-E340,0),IF(L340&lt;R340,I340+J340-K340,0),IF(X340&lt;R340,U340+V340-W340,0),IF(AD340&lt;R340,AA340+AB340-AC340,0)))))</x:f>
        <x:v>0</x:v>
      </x:c>
      <x:c r="T340" s="6" t="n">
        <x:f>ROUND(MAX(0,O340+P340-Q340-S340),2)</x:f>
        <x:v>0</x:v>
      </x:c>
      <x:c r="U340" s="6" t="n">
        <x:f>Z339</x:f>
        <x:v>0</x:v>
      </x:c>
      <x:c r="V340" s="6" t="n">
        <x:f>ROUND(U340*'Debt strategy'!$D$12/12,2)</x:f>
        <x:v>0</x:v>
      </x:c>
      <x:c r="W340" s="6" t="n">
        <x:f>MIN(U340+V340,'Debt strategy'!$E$12)</x:f>
        <x:v>0</x:v>
      </x:c>
      <x:c r="X340" s="27" t="n">
        <x:f>IF(U340+V340-W340&lt;=0,99,1+SUM(IF(AND(C340+D340-E340&gt;0,OR('Debt strategy'!$D$9&gt;'Debt strategy'!$D$12,AND('Debt strategy'!$D$9='Debt strategy'!$D$12,0&lt;3))),1,0),IF(AND(I340+J340-K340&gt;0,OR('Debt strategy'!$D$10&gt;'Debt strategy'!$D$12,AND('Debt strategy'!$D$10='Debt strategy'!$D$12,1&lt;3))),1,0),IF(AND(O340+P340-Q340&gt;0,OR('Debt strategy'!$D$11&gt;'Debt strategy'!$D$12,AND('Debt strategy'!$D$11='Debt strategy'!$D$12,2&lt;3))),1,0),IF(AND(AA340+AB340-AC340&gt;0,OR('Debt strategy'!$D$13&gt;'Debt strategy'!$D$12,AND('Debt strategy'!$D$13='Debt strategy'!$D$12,4&lt;3))),1,0)))</x:f>
        <x:v>99</x:v>
      </x:c>
      <x:c r="Y340" s="6" t="n">
        <x:f>IF('Debt strategy'!$C$16&gt;0,0,MIN(U340+V340-W340,MAX(0,'Debt strategy'!$C$5-SUM(E340,K340,Q340,W340,AC340)-SUM(IF(F340&lt;X340,C340+D340-E340,0),IF(L340&lt;X340,I340+J340-K340,0),IF(R340&lt;X340,O340+P340-Q340,0),IF(AD340&lt;X340,AA340+AB340-AC340,0)))))</x:f>
        <x:v>0</x:v>
      </x:c>
      <x:c r="Z340" s="6" t="n">
        <x:f>ROUND(MAX(0,U340+V340-W340-Y340),2)</x:f>
        <x:v>0</x:v>
      </x:c>
      <x:c r="AA340" s="6" t="n">
        <x:f>AF339</x:f>
        <x:v>0</x:v>
      </x:c>
      <x:c r="AB340" s="6" t="n">
        <x:f>ROUND(AA340*'Debt strategy'!$D$13/12,2)</x:f>
        <x:v>0</x:v>
      </x:c>
      <x:c r="AC340" s="6" t="n">
        <x:f>MIN(AA340+AB340,'Debt strategy'!$E$13)</x:f>
        <x:v>0</x:v>
      </x:c>
      <x:c r="AD340" s="27" t="n">
        <x:f>IF(AA340+AB340-AC340&lt;=0,99,1+SUM(IF(AND(C340+D340-E340&gt;0,OR('Debt strategy'!$D$9&gt;'Debt strategy'!$D$13,AND('Debt strategy'!$D$9='Debt strategy'!$D$13,0&lt;4))),1,0),IF(AND(I340+J340-K340&gt;0,OR('Debt strategy'!$D$10&gt;'Debt strategy'!$D$13,AND('Debt strategy'!$D$10='Debt strategy'!$D$13,1&lt;4))),1,0),IF(AND(O340+P340-Q340&gt;0,OR('Debt strategy'!$D$11&gt;'Debt strategy'!$D$13,AND('Debt strategy'!$D$11='Debt strategy'!$D$13,2&lt;4))),1,0),IF(AND(U340+V340-W340&gt;0,OR('Debt strategy'!$D$12&gt;'Debt strategy'!$D$13,AND('Debt strategy'!$D$12='Debt strategy'!$D$13,3&lt;4))),1,0)))</x:f>
        <x:v>99</x:v>
      </x:c>
      <x:c r="AE340" s="6" t="n">
        <x:f>IF('Debt strategy'!$C$16&gt;0,0,MIN(AA340+AB340-AC340,MAX(0,'Debt strategy'!$C$5-SUM(E340,K340,Q340,W340,AC340)-SUM(IF(F340&lt;AD340,C340+D340-E340,0),IF(L340&lt;AD340,I340+J340-K340,0),IF(R340&lt;AD340,O340+P340-Q340,0),IF(X340&lt;AD340,U340+V340-W340,0)))))</x:f>
        <x:v>0</x:v>
      </x:c>
      <x:c r="AF340" s="6" t="n">
        <x:f>ROUND(MAX(0,AA340+AB340-AC340-AE340),2)</x:f>
        <x:v>0</x:v>
      </x:c>
      <x:c r="AG340" s="6" t="n">
        <x:f>SUM(H340,N340,T340,Z340,AF340)</x:f>
        <x:v>0</x:v>
      </x:c>
      <x:c r="AH340" s="6" t="n">
        <x:f>SUM(D340,J340,P340,V340,AB340)+AH339</x:f>
        <x:v>1220.8400000000001</x:v>
      </x:c>
      <x:c r="AI340" s="2"/>
    </x:row>
    <x:row r="341" ht="23" customHeight="1">
      <x:c r="B341" s="2" t="n">
        <x:f>333</x:f>
        <x:v>333</x:v>
      </x:c>
      <x:c r="C341" s="6" t="n">
        <x:f>H340</x:f>
        <x:v>0</x:v>
      </x:c>
      <x:c r="D341" s="6" t="n">
        <x:f>ROUND(C341*'Debt strategy'!$D$9/12,2)</x:f>
        <x:v>0</x:v>
      </x:c>
      <x:c r="E341" s="6" t="n">
        <x:f>MIN(C341+D341,'Debt strategy'!$E$9)</x:f>
        <x:v>0</x:v>
      </x:c>
      <x:c r="F341" s="27" t="n">
        <x:f>IF(C341+D341-E341&lt;=0,99,1+SUM(IF(AND(I341+J341-K341&gt;0,OR('Debt strategy'!$D$10&gt;'Debt strategy'!$D$9,AND('Debt strategy'!$D$10='Debt strategy'!$D$9,1&lt;0))),1,0),IF(AND(O341+P341-Q341&gt;0,OR('Debt strategy'!$D$11&gt;'Debt strategy'!$D$9,AND('Debt strategy'!$D$11='Debt strategy'!$D$9,2&lt;0))),1,0),IF(AND(U341+V341-W341&gt;0,OR('Debt strategy'!$D$12&gt;'Debt strategy'!$D$9,AND('Debt strategy'!$D$12='Debt strategy'!$D$9,3&lt;0))),1,0),IF(AND(AA341+AB341-AC341&gt;0,OR('Debt strategy'!$D$13&gt;'Debt strategy'!$D$9,AND('Debt strategy'!$D$13='Debt strategy'!$D$9,4&lt;0))),1,0)))</x:f>
        <x:v>99</x:v>
      </x:c>
      <x:c r="G341" s="6" t="n">
        <x:f>IF('Debt strategy'!$C$16&gt;0,0,MIN(C341+D341-E341,MAX(0,'Debt strategy'!$C$5-SUM(E341,K341,Q341,W341,AC341)-SUM(IF(L341&lt;F341,I341+J341-K341,0),IF(R341&lt;F341,O341+P341-Q341,0),IF(X341&lt;F341,U341+V341-W341,0),IF(AD341&lt;F341,AA341+AB341-AC341,0)))))</x:f>
        <x:v>0</x:v>
      </x:c>
      <x:c r="H341" s="6" t="n">
        <x:f>ROUND(MAX(0,C341+D341-E341-G341),2)</x:f>
        <x:v>0</x:v>
      </x:c>
      <x:c r="I341" s="6" t="n">
        <x:f>N340</x:f>
        <x:v>0</x:v>
      </x:c>
      <x:c r="J341" s="6" t="n">
        <x:f>ROUND(I341*'Debt strategy'!$D$10/12,2)</x:f>
        <x:v>0</x:v>
      </x:c>
      <x:c r="K341" s="6" t="n">
        <x:f>MIN(I341+J341,'Debt strategy'!$E$10)</x:f>
        <x:v>0</x:v>
      </x:c>
      <x:c r="L341" s="27" t="n">
        <x:f>IF(I341+J341-K341&lt;=0,99,1+SUM(IF(AND(C341+D341-E341&gt;0,OR('Debt strategy'!$D$9&gt;'Debt strategy'!$D$10,AND('Debt strategy'!$D$9='Debt strategy'!$D$10,0&lt;1))),1,0),IF(AND(O341+P341-Q341&gt;0,OR('Debt strategy'!$D$11&gt;'Debt strategy'!$D$10,AND('Debt strategy'!$D$11='Debt strategy'!$D$10,2&lt;1))),1,0),IF(AND(U341+V341-W341&gt;0,OR('Debt strategy'!$D$12&gt;'Debt strategy'!$D$10,AND('Debt strategy'!$D$12='Debt strategy'!$D$10,3&lt;1))),1,0),IF(AND(AA341+AB341-AC341&gt;0,OR('Debt strategy'!$D$13&gt;'Debt strategy'!$D$10,AND('Debt strategy'!$D$13='Debt strategy'!$D$10,4&lt;1))),1,0)))</x:f>
        <x:v>99</x:v>
      </x:c>
      <x:c r="M341" s="6" t="n">
        <x:f>IF('Debt strategy'!$C$16&gt;0,0,MIN(I341+J341-K341,MAX(0,'Debt strategy'!$C$5-SUM(E341,K341,Q341,W341,AC341)-SUM(IF(F341&lt;L341,C341+D341-E341,0),IF(R341&lt;L341,O341+P341-Q341,0),IF(X341&lt;L341,U341+V341-W341,0),IF(AD341&lt;L341,AA341+AB341-AC341,0)))))</x:f>
        <x:v>0</x:v>
      </x:c>
      <x:c r="N341" s="6" t="n">
        <x:f>ROUND(MAX(0,I341+J341-K341-M341),2)</x:f>
        <x:v>0</x:v>
      </x:c>
      <x:c r="O341" s="6" t="n">
        <x:f>T340</x:f>
        <x:v>0</x:v>
      </x:c>
      <x:c r="P341" s="6" t="n">
        <x:f>ROUND(O341*'Debt strategy'!$D$11/12,2)</x:f>
        <x:v>0</x:v>
      </x:c>
      <x:c r="Q341" s="6" t="n">
        <x:f>MIN(O341+P341,'Debt strategy'!$E$11)</x:f>
        <x:v>0</x:v>
      </x:c>
      <x:c r="R341" s="27" t="n">
        <x:f>IF(O341+P341-Q341&lt;=0,99,1+SUM(IF(AND(C341+D341-E341&gt;0,OR('Debt strategy'!$D$9&gt;'Debt strategy'!$D$11,AND('Debt strategy'!$D$9='Debt strategy'!$D$11,0&lt;2))),1,0),IF(AND(I341+J341-K341&gt;0,OR('Debt strategy'!$D$10&gt;'Debt strategy'!$D$11,AND('Debt strategy'!$D$10='Debt strategy'!$D$11,1&lt;2))),1,0),IF(AND(U341+V341-W341&gt;0,OR('Debt strategy'!$D$12&gt;'Debt strategy'!$D$11,AND('Debt strategy'!$D$12='Debt strategy'!$D$11,3&lt;2))),1,0),IF(AND(AA341+AB341-AC341&gt;0,OR('Debt strategy'!$D$13&gt;'Debt strategy'!$D$11,AND('Debt strategy'!$D$13='Debt strategy'!$D$11,4&lt;2))),1,0)))</x:f>
        <x:v>99</x:v>
      </x:c>
      <x:c r="S341" s="6" t="n">
        <x:f>IF('Debt strategy'!$C$16&gt;0,0,MIN(O341+P341-Q341,MAX(0,'Debt strategy'!$C$5-SUM(E341,K341,Q341,W341,AC341)-SUM(IF(F341&lt;R341,C341+D341-E341,0),IF(L341&lt;R341,I341+J341-K341,0),IF(X341&lt;R341,U341+V341-W341,0),IF(AD341&lt;R341,AA341+AB341-AC341,0)))))</x:f>
        <x:v>0</x:v>
      </x:c>
      <x:c r="T341" s="6" t="n">
        <x:f>ROUND(MAX(0,O341+P341-Q341-S341),2)</x:f>
        <x:v>0</x:v>
      </x:c>
      <x:c r="U341" s="6" t="n">
        <x:f>Z340</x:f>
        <x:v>0</x:v>
      </x:c>
      <x:c r="V341" s="6" t="n">
        <x:f>ROUND(U341*'Debt strategy'!$D$12/12,2)</x:f>
        <x:v>0</x:v>
      </x:c>
      <x:c r="W341" s="6" t="n">
        <x:f>MIN(U341+V341,'Debt strategy'!$E$12)</x:f>
        <x:v>0</x:v>
      </x:c>
      <x:c r="X341" s="27" t="n">
        <x:f>IF(U341+V341-W341&lt;=0,99,1+SUM(IF(AND(C341+D341-E341&gt;0,OR('Debt strategy'!$D$9&gt;'Debt strategy'!$D$12,AND('Debt strategy'!$D$9='Debt strategy'!$D$12,0&lt;3))),1,0),IF(AND(I341+J341-K341&gt;0,OR('Debt strategy'!$D$10&gt;'Debt strategy'!$D$12,AND('Debt strategy'!$D$10='Debt strategy'!$D$12,1&lt;3))),1,0),IF(AND(O341+P341-Q341&gt;0,OR('Debt strategy'!$D$11&gt;'Debt strategy'!$D$12,AND('Debt strategy'!$D$11='Debt strategy'!$D$12,2&lt;3))),1,0),IF(AND(AA341+AB341-AC341&gt;0,OR('Debt strategy'!$D$13&gt;'Debt strategy'!$D$12,AND('Debt strategy'!$D$13='Debt strategy'!$D$12,4&lt;3))),1,0)))</x:f>
        <x:v>99</x:v>
      </x:c>
      <x:c r="Y341" s="6" t="n">
        <x:f>IF('Debt strategy'!$C$16&gt;0,0,MIN(U341+V341-W341,MAX(0,'Debt strategy'!$C$5-SUM(E341,K341,Q341,W341,AC341)-SUM(IF(F341&lt;X341,C341+D341-E341,0),IF(L341&lt;X341,I341+J341-K341,0),IF(R341&lt;X341,O341+P341-Q341,0),IF(AD341&lt;X341,AA341+AB341-AC341,0)))))</x:f>
        <x:v>0</x:v>
      </x:c>
      <x:c r="Z341" s="6" t="n">
        <x:f>ROUND(MAX(0,U341+V341-W341-Y341),2)</x:f>
        <x:v>0</x:v>
      </x:c>
      <x:c r="AA341" s="6" t="n">
        <x:f>AF340</x:f>
        <x:v>0</x:v>
      </x:c>
      <x:c r="AB341" s="6" t="n">
        <x:f>ROUND(AA341*'Debt strategy'!$D$13/12,2)</x:f>
        <x:v>0</x:v>
      </x:c>
      <x:c r="AC341" s="6" t="n">
        <x:f>MIN(AA341+AB341,'Debt strategy'!$E$13)</x:f>
        <x:v>0</x:v>
      </x:c>
      <x:c r="AD341" s="27" t="n">
        <x:f>IF(AA341+AB341-AC341&lt;=0,99,1+SUM(IF(AND(C341+D341-E341&gt;0,OR('Debt strategy'!$D$9&gt;'Debt strategy'!$D$13,AND('Debt strategy'!$D$9='Debt strategy'!$D$13,0&lt;4))),1,0),IF(AND(I341+J341-K341&gt;0,OR('Debt strategy'!$D$10&gt;'Debt strategy'!$D$13,AND('Debt strategy'!$D$10='Debt strategy'!$D$13,1&lt;4))),1,0),IF(AND(O341+P341-Q341&gt;0,OR('Debt strategy'!$D$11&gt;'Debt strategy'!$D$13,AND('Debt strategy'!$D$11='Debt strategy'!$D$13,2&lt;4))),1,0),IF(AND(U341+V341-W341&gt;0,OR('Debt strategy'!$D$12&gt;'Debt strategy'!$D$13,AND('Debt strategy'!$D$12='Debt strategy'!$D$13,3&lt;4))),1,0)))</x:f>
        <x:v>99</x:v>
      </x:c>
      <x:c r="AE341" s="6" t="n">
        <x:f>IF('Debt strategy'!$C$16&gt;0,0,MIN(AA341+AB341-AC341,MAX(0,'Debt strategy'!$C$5-SUM(E341,K341,Q341,W341,AC341)-SUM(IF(F341&lt;AD341,C341+D341-E341,0),IF(L341&lt;AD341,I341+J341-K341,0),IF(R341&lt;AD341,O341+P341-Q341,0),IF(X341&lt;AD341,U341+V341-W341,0)))))</x:f>
        <x:v>0</x:v>
      </x:c>
      <x:c r="AF341" s="6" t="n">
        <x:f>ROUND(MAX(0,AA341+AB341-AC341-AE341),2)</x:f>
        <x:v>0</x:v>
      </x:c>
      <x:c r="AG341" s="6" t="n">
        <x:f>SUM(H341,N341,T341,Z341,AF341)</x:f>
        <x:v>0</x:v>
      </x:c>
      <x:c r="AH341" s="6" t="n">
        <x:f>SUM(D341,J341,P341,V341,AB341)+AH340</x:f>
        <x:v>1220.8400000000001</x:v>
      </x:c>
      <x:c r="AI341" s="2"/>
    </x:row>
    <x:row r="342" ht="23" customHeight="1">
      <x:c r="B342" s="2" t="n">
        <x:f>334</x:f>
        <x:v>334</x:v>
      </x:c>
      <x:c r="C342" s="6" t="n">
        <x:f>H341</x:f>
        <x:v>0</x:v>
      </x:c>
      <x:c r="D342" s="6" t="n">
        <x:f>ROUND(C342*'Debt strategy'!$D$9/12,2)</x:f>
        <x:v>0</x:v>
      </x:c>
      <x:c r="E342" s="6" t="n">
        <x:f>MIN(C342+D342,'Debt strategy'!$E$9)</x:f>
        <x:v>0</x:v>
      </x:c>
      <x:c r="F342" s="27" t="n">
        <x:f>IF(C342+D342-E342&lt;=0,99,1+SUM(IF(AND(I342+J342-K342&gt;0,OR('Debt strategy'!$D$10&gt;'Debt strategy'!$D$9,AND('Debt strategy'!$D$10='Debt strategy'!$D$9,1&lt;0))),1,0),IF(AND(O342+P342-Q342&gt;0,OR('Debt strategy'!$D$11&gt;'Debt strategy'!$D$9,AND('Debt strategy'!$D$11='Debt strategy'!$D$9,2&lt;0))),1,0),IF(AND(U342+V342-W342&gt;0,OR('Debt strategy'!$D$12&gt;'Debt strategy'!$D$9,AND('Debt strategy'!$D$12='Debt strategy'!$D$9,3&lt;0))),1,0),IF(AND(AA342+AB342-AC342&gt;0,OR('Debt strategy'!$D$13&gt;'Debt strategy'!$D$9,AND('Debt strategy'!$D$13='Debt strategy'!$D$9,4&lt;0))),1,0)))</x:f>
        <x:v>99</x:v>
      </x:c>
      <x:c r="G342" s="6" t="n">
        <x:f>IF('Debt strategy'!$C$16&gt;0,0,MIN(C342+D342-E342,MAX(0,'Debt strategy'!$C$5-SUM(E342,K342,Q342,W342,AC342)-SUM(IF(L342&lt;F342,I342+J342-K342,0),IF(R342&lt;F342,O342+P342-Q342,0),IF(X342&lt;F342,U342+V342-W342,0),IF(AD342&lt;F342,AA342+AB342-AC342,0)))))</x:f>
        <x:v>0</x:v>
      </x:c>
      <x:c r="H342" s="6" t="n">
        <x:f>ROUND(MAX(0,C342+D342-E342-G342),2)</x:f>
        <x:v>0</x:v>
      </x:c>
      <x:c r="I342" s="6" t="n">
        <x:f>N341</x:f>
        <x:v>0</x:v>
      </x:c>
      <x:c r="J342" s="6" t="n">
        <x:f>ROUND(I342*'Debt strategy'!$D$10/12,2)</x:f>
        <x:v>0</x:v>
      </x:c>
      <x:c r="K342" s="6" t="n">
        <x:f>MIN(I342+J342,'Debt strategy'!$E$10)</x:f>
        <x:v>0</x:v>
      </x:c>
      <x:c r="L342" s="27" t="n">
        <x:f>IF(I342+J342-K342&lt;=0,99,1+SUM(IF(AND(C342+D342-E342&gt;0,OR('Debt strategy'!$D$9&gt;'Debt strategy'!$D$10,AND('Debt strategy'!$D$9='Debt strategy'!$D$10,0&lt;1))),1,0),IF(AND(O342+P342-Q342&gt;0,OR('Debt strategy'!$D$11&gt;'Debt strategy'!$D$10,AND('Debt strategy'!$D$11='Debt strategy'!$D$10,2&lt;1))),1,0),IF(AND(U342+V342-W342&gt;0,OR('Debt strategy'!$D$12&gt;'Debt strategy'!$D$10,AND('Debt strategy'!$D$12='Debt strategy'!$D$10,3&lt;1))),1,0),IF(AND(AA342+AB342-AC342&gt;0,OR('Debt strategy'!$D$13&gt;'Debt strategy'!$D$10,AND('Debt strategy'!$D$13='Debt strategy'!$D$10,4&lt;1))),1,0)))</x:f>
        <x:v>99</x:v>
      </x:c>
      <x:c r="M342" s="6" t="n">
        <x:f>IF('Debt strategy'!$C$16&gt;0,0,MIN(I342+J342-K342,MAX(0,'Debt strategy'!$C$5-SUM(E342,K342,Q342,W342,AC342)-SUM(IF(F342&lt;L342,C342+D342-E342,0),IF(R342&lt;L342,O342+P342-Q342,0),IF(X342&lt;L342,U342+V342-W342,0),IF(AD342&lt;L342,AA342+AB342-AC342,0)))))</x:f>
        <x:v>0</x:v>
      </x:c>
      <x:c r="N342" s="6" t="n">
        <x:f>ROUND(MAX(0,I342+J342-K342-M342),2)</x:f>
        <x:v>0</x:v>
      </x:c>
      <x:c r="O342" s="6" t="n">
        <x:f>T341</x:f>
        <x:v>0</x:v>
      </x:c>
      <x:c r="P342" s="6" t="n">
        <x:f>ROUND(O342*'Debt strategy'!$D$11/12,2)</x:f>
        <x:v>0</x:v>
      </x:c>
      <x:c r="Q342" s="6" t="n">
        <x:f>MIN(O342+P342,'Debt strategy'!$E$11)</x:f>
        <x:v>0</x:v>
      </x:c>
      <x:c r="R342" s="27" t="n">
        <x:f>IF(O342+P342-Q342&lt;=0,99,1+SUM(IF(AND(C342+D342-E342&gt;0,OR('Debt strategy'!$D$9&gt;'Debt strategy'!$D$11,AND('Debt strategy'!$D$9='Debt strategy'!$D$11,0&lt;2))),1,0),IF(AND(I342+J342-K342&gt;0,OR('Debt strategy'!$D$10&gt;'Debt strategy'!$D$11,AND('Debt strategy'!$D$10='Debt strategy'!$D$11,1&lt;2))),1,0),IF(AND(U342+V342-W342&gt;0,OR('Debt strategy'!$D$12&gt;'Debt strategy'!$D$11,AND('Debt strategy'!$D$12='Debt strategy'!$D$11,3&lt;2))),1,0),IF(AND(AA342+AB342-AC342&gt;0,OR('Debt strategy'!$D$13&gt;'Debt strategy'!$D$11,AND('Debt strategy'!$D$13='Debt strategy'!$D$11,4&lt;2))),1,0)))</x:f>
        <x:v>99</x:v>
      </x:c>
      <x:c r="S342" s="6" t="n">
        <x:f>IF('Debt strategy'!$C$16&gt;0,0,MIN(O342+P342-Q342,MAX(0,'Debt strategy'!$C$5-SUM(E342,K342,Q342,W342,AC342)-SUM(IF(F342&lt;R342,C342+D342-E342,0),IF(L342&lt;R342,I342+J342-K342,0),IF(X342&lt;R342,U342+V342-W342,0),IF(AD342&lt;R342,AA342+AB342-AC342,0)))))</x:f>
        <x:v>0</x:v>
      </x:c>
      <x:c r="T342" s="6" t="n">
        <x:f>ROUND(MAX(0,O342+P342-Q342-S342),2)</x:f>
        <x:v>0</x:v>
      </x:c>
      <x:c r="U342" s="6" t="n">
        <x:f>Z341</x:f>
        <x:v>0</x:v>
      </x:c>
      <x:c r="V342" s="6" t="n">
        <x:f>ROUND(U342*'Debt strategy'!$D$12/12,2)</x:f>
        <x:v>0</x:v>
      </x:c>
      <x:c r="W342" s="6" t="n">
        <x:f>MIN(U342+V342,'Debt strategy'!$E$12)</x:f>
        <x:v>0</x:v>
      </x:c>
      <x:c r="X342" s="27" t="n">
        <x:f>IF(U342+V342-W342&lt;=0,99,1+SUM(IF(AND(C342+D342-E342&gt;0,OR('Debt strategy'!$D$9&gt;'Debt strategy'!$D$12,AND('Debt strategy'!$D$9='Debt strategy'!$D$12,0&lt;3))),1,0),IF(AND(I342+J342-K342&gt;0,OR('Debt strategy'!$D$10&gt;'Debt strategy'!$D$12,AND('Debt strategy'!$D$10='Debt strategy'!$D$12,1&lt;3))),1,0),IF(AND(O342+P342-Q342&gt;0,OR('Debt strategy'!$D$11&gt;'Debt strategy'!$D$12,AND('Debt strategy'!$D$11='Debt strategy'!$D$12,2&lt;3))),1,0),IF(AND(AA342+AB342-AC342&gt;0,OR('Debt strategy'!$D$13&gt;'Debt strategy'!$D$12,AND('Debt strategy'!$D$13='Debt strategy'!$D$12,4&lt;3))),1,0)))</x:f>
        <x:v>99</x:v>
      </x:c>
      <x:c r="Y342" s="6" t="n">
        <x:f>IF('Debt strategy'!$C$16&gt;0,0,MIN(U342+V342-W342,MAX(0,'Debt strategy'!$C$5-SUM(E342,K342,Q342,W342,AC342)-SUM(IF(F342&lt;X342,C342+D342-E342,0),IF(L342&lt;X342,I342+J342-K342,0),IF(R342&lt;X342,O342+P342-Q342,0),IF(AD342&lt;X342,AA342+AB342-AC342,0)))))</x:f>
        <x:v>0</x:v>
      </x:c>
      <x:c r="Z342" s="6" t="n">
        <x:f>ROUND(MAX(0,U342+V342-W342-Y342),2)</x:f>
        <x:v>0</x:v>
      </x:c>
      <x:c r="AA342" s="6" t="n">
        <x:f>AF341</x:f>
        <x:v>0</x:v>
      </x:c>
      <x:c r="AB342" s="6" t="n">
        <x:f>ROUND(AA342*'Debt strategy'!$D$13/12,2)</x:f>
        <x:v>0</x:v>
      </x:c>
      <x:c r="AC342" s="6" t="n">
        <x:f>MIN(AA342+AB342,'Debt strategy'!$E$13)</x:f>
        <x:v>0</x:v>
      </x:c>
      <x:c r="AD342" s="27" t="n">
        <x:f>IF(AA342+AB342-AC342&lt;=0,99,1+SUM(IF(AND(C342+D342-E342&gt;0,OR('Debt strategy'!$D$9&gt;'Debt strategy'!$D$13,AND('Debt strategy'!$D$9='Debt strategy'!$D$13,0&lt;4))),1,0),IF(AND(I342+J342-K342&gt;0,OR('Debt strategy'!$D$10&gt;'Debt strategy'!$D$13,AND('Debt strategy'!$D$10='Debt strategy'!$D$13,1&lt;4))),1,0),IF(AND(O342+P342-Q342&gt;0,OR('Debt strategy'!$D$11&gt;'Debt strategy'!$D$13,AND('Debt strategy'!$D$11='Debt strategy'!$D$13,2&lt;4))),1,0),IF(AND(U342+V342-W342&gt;0,OR('Debt strategy'!$D$12&gt;'Debt strategy'!$D$13,AND('Debt strategy'!$D$12='Debt strategy'!$D$13,3&lt;4))),1,0)))</x:f>
        <x:v>99</x:v>
      </x:c>
      <x:c r="AE342" s="6" t="n">
        <x:f>IF('Debt strategy'!$C$16&gt;0,0,MIN(AA342+AB342-AC342,MAX(0,'Debt strategy'!$C$5-SUM(E342,K342,Q342,W342,AC342)-SUM(IF(F342&lt;AD342,C342+D342-E342,0),IF(L342&lt;AD342,I342+J342-K342,0),IF(R342&lt;AD342,O342+P342-Q342,0),IF(X342&lt;AD342,U342+V342-W342,0)))))</x:f>
        <x:v>0</x:v>
      </x:c>
      <x:c r="AF342" s="6" t="n">
        <x:f>ROUND(MAX(0,AA342+AB342-AC342-AE342),2)</x:f>
        <x:v>0</x:v>
      </x:c>
      <x:c r="AG342" s="6" t="n">
        <x:f>SUM(H342,N342,T342,Z342,AF342)</x:f>
        <x:v>0</x:v>
      </x:c>
      <x:c r="AH342" s="6" t="n">
        <x:f>SUM(D342,J342,P342,V342,AB342)+AH341</x:f>
        <x:v>1220.8400000000001</x:v>
      </x:c>
      <x:c r="AI342" s="2"/>
    </x:row>
    <x:row r="343" ht="23" customHeight="1">
      <x:c r="B343" s="2" t="n">
        <x:f>335</x:f>
        <x:v>335</x:v>
      </x:c>
      <x:c r="C343" s="6" t="n">
        <x:f>H342</x:f>
        <x:v>0</x:v>
      </x:c>
      <x:c r="D343" s="6" t="n">
        <x:f>ROUND(C343*'Debt strategy'!$D$9/12,2)</x:f>
        <x:v>0</x:v>
      </x:c>
      <x:c r="E343" s="6" t="n">
        <x:f>MIN(C343+D343,'Debt strategy'!$E$9)</x:f>
        <x:v>0</x:v>
      </x:c>
      <x:c r="F343" s="27" t="n">
        <x:f>IF(C343+D343-E343&lt;=0,99,1+SUM(IF(AND(I343+J343-K343&gt;0,OR('Debt strategy'!$D$10&gt;'Debt strategy'!$D$9,AND('Debt strategy'!$D$10='Debt strategy'!$D$9,1&lt;0))),1,0),IF(AND(O343+P343-Q343&gt;0,OR('Debt strategy'!$D$11&gt;'Debt strategy'!$D$9,AND('Debt strategy'!$D$11='Debt strategy'!$D$9,2&lt;0))),1,0),IF(AND(U343+V343-W343&gt;0,OR('Debt strategy'!$D$12&gt;'Debt strategy'!$D$9,AND('Debt strategy'!$D$12='Debt strategy'!$D$9,3&lt;0))),1,0),IF(AND(AA343+AB343-AC343&gt;0,OR('Debt strategy'!$D$13&gt;'Debt strategy'!$D$9,AND('Debt strategy'!$D$13='Debt strategy'!$D$9,4&lt;0))),1,0)))</x:f>
        <x:v>99</x:v>
      </x:c>
      <x:c r="G343" s="6" t="n">
        <x:f>IF('Debt strategy'!$C$16&gt;0,0,MIN(C343+D343-E343,MAX(0,'Debt strategy'!$C$5-SUM(E343,K343,Q343,W343,AC343)-SUM(IF(L343&lt;F343,I343+J343-K343,0),IF(R343&lt;F343,O343+P343-Q343,0),IF(X343&lt;F343,U343+V343-W343,0),IF(AD343&lt;F343,AA343+AB343-AC343,0)))))</x:f>
        <x:v>0</x:v>
      </x:c>
      <x:c r="H343" s="6" t="n">
        <x:f>ROUND(MAX(0,C343+D343-E343-G343),2)</x:f>
        <x:v>0</x:v>
      </x:c>
      <x:c r="I343" s="6" t="n">
        <x:f>N342</x:f>
        <x:v>0</x:v>
      </x:c>
      <x:c r="J343" s="6" t="n">
        <x:f>ROUND(I343*'Debt strategy'!$D$10/12,2)</x:f>
        <x:v>0</x:v>
      </x:c>
      <x:c r="K343" s="6" t="n">
        <x:f>MIN(I343+J343,'Debt strategy'!$E$10)</x:f>
        <x:v>0</x:v>
      </x:c>
      <x:c r="L343" s="27" t="n">
        <x:f>IF(I343+J343-K343&lt;=0,99,1+SUM(IF(AND(C343+D343-E343&gt;0,OR('Debt strategy'!$D$9&gt;'Debt strategy'!$D$10,AND('Debt strategy'!$D$9='Debt strategy'!$D$10,0&lt;1))),1,0),IF(AND(O343+P343-Q343&gt;0,OR('Debt strategy'!$D$11&gt;'Debt strategy'!$D$10,AND('Debt strategy'!$D$11='Debt strategy'!$D$10,2&lt;1))),1,0),IF(AND(U343+V343-W343&gt;0,OR('Debt strategy'!$D$12&gt;'Debt strategy'!$D$10,AND('Debt strategy'!$D$12='Debt strategy'!$D$10,3&lt;1))),1,0),IF(AND(AA343+AB343-AC343&gt;0,OR('Debt strategy'!$D$13&gt;'Debt strategy'!$D$10,AND('Debt strategy'!$D$13='Debt strategy'!$D$10,4&lt;1))),1,0)))</x:f>
        <x:v>99</x:v>
      </x:c>
      <x:c r="M343" s="6" t="n">
        <x:f>IF('Debt strategy'!$C$16&gt;0,0,MIN(I343+J343-K343,MAX(0,'Debt strategy'!$C$5-SUM(E343,K343,Q343,W343,AC343)-SUM(IF(F343&lt;L343,C343+D343-E343,0),IF(R343&lt;L343,O343+P343-Q343,0),IF(X343&lt;L343,U343+V343-W343,0),IF(AD343&lt;L343,AA343+AB343-AC343,0)))))</x:f>
        <x:v>0</x:v>
      </x:c>
      <x:c r="N343" s="6" t="n">
        <x:f>ROUND(MAX(0,I343+J343-K343-M343),2)</x:f>
        <x:v>0</x:v>
      </x:c>
      <x:c r="O343" s="6" t="n">
        <x:f>T342</x:f>
        <x:v>0</x:v>
      </x:c>
      <x:c r="P343" s="6" t="n">
        <x:f>ROUND(O343*'Debt strategy'!$D$11/12,2)</x:f>
        <x:v>0</x:v>
      </x:c>
      <x:c r="Q343" s="6" t="n">
        <x:f>MIN(O343+P343,'Debt strategy'!$E$11)</x:f>
        <x:v>0</x:v>
      </x:c>
      <x:c r="R343" s="27" t="n">
        <x:f>IF(O343+P343-Q343&lt;=0,99,1+SUM(IF(AND(C343+D343-E343&gt;0,OR('Debt strategy'!$D$9&gt;'Debt strategy'!$D$11,AND('Debt strategy'!$D$9='Debt strategy'!$D$11,0&lt;2))),1,0),IF(AND(I343+J343-K343&gt;0,OR('Debt strategy'!$D$10&gt;'Debt strategy'!$D$11,AND('Debt strategy'!$D$10='Debt strategy'!$D$11,1&lt;2))),1,0),IF(AND(U343+V343-W343&gt;0,OR('Debt strategy'!$D$12&gt;'Debt strategy'!$D$11,AND('Debt strategy'!$D$12='Debt strategy'!$D$11,3&lt;2))),1,0),IF(AND(AA343+AB343-AC343&gt;0,OR('Debt strategy'!$D$13&gt;'Debt strategy'!$D$11,AND('Debt strategy'!$D$13='Debt strategy'!$D$11,4&lt;2))),1,0)))</x:f>
        <x:v>99</x:v>
      </x:c>
      <x:c r="S343" s="6" t="n">
        <x:f>IF('Debt strategy'!$C$16&gt;0,0,MIN(O343+P343-Q343,MAX(0,'Debt strategy'!$C$5-SUM(E343,K343,Q343,W343,AC343)-SUM(IF(F343&lt;R343,C343+D343-E343,0),IF(L343&lt;R343,I343+J343-K343,0),IF(X343&lt;R343,U343+V343-W343,0),IF(AD343&lt;R343,AA343+AB343-AC343,0)))))</x:f>
        <x:v>0</x:v>
      </x:c>
      <x:c r="T343" s="6" t="n">
        <x:f>ROUND(MAX(0,O343+P343-Q343-S343),2)</x:f>
        <x:v>0</x:v>
      </x:c>
      <x:c r="U343" s="6" t="n">
        <x:f>Z342</x:f>
        <x:v>0</x:v>
      </x:c>
      <x:c r="V343" s="6" t="n">
        <x:f>ROUND(U343*'Debt strategy'!$D$12/12,2)</x:f>
        <x:v>0</x:v>
      </x:c>
      <x:c r="W343" s="6" t="n">
        <x:f>MIN(U343+V343,'Debt strategy'!$E$12)</x:f>
        <x:v>0</x:v>
      </x:c>
      <x:c r="X343" s="27" t="n">
        <x:f>IF(U343+V343-W343&lt;=0,99,1+SUM(IF(AND(C343+D343-E343&gt;0,OR('Debt strategy'!$D$9&gt;'Debt strategy'!$D$12,AND('Debt strategy'!$D$9='Debt strategy'!$D$12,0&lt;3))),1,0),IF(AND(I343+J343-K343&gt;0,OR('Debt strategy'!$D$10&gt;'Debt strategy'!$D$12,AND('Debt strategy'!$D$10='Debt strategy'!$D$12,1&lt;3))),1,0),IF(AND(O343+P343-Q343&gt;0,OR('Debt strategy'!$D$11&gt;'Debt strategy'!$D$12,AND('Debt strategy'!$D$11='Debt strategy'!$D$12,2&lt;3))),1,0),IF(AND(AA343+AB343-AC343&gt;0,OR('Debt strategy'!$D$13&gt;'Debt strategy'!$D$12,AND('Debt strategy'!$D$13='Debt strategy'!$D$12,4&lt;3))),1,0)))</x:f>
        <x:v>99</x:v>
      </x:c>
      <x:c r="Y343" s="6" t="n">
        <x:f>IF('Debt strategy'!$C$16&gt;0,0,MIN(U343+V343-W343,MAX(0,'Debt strategy'!$C$5-SUM(E343,K343,Q343,W343,AC343)-SUM(IF(F343&lt;X343,C343+D343-E343,0),IF(L343&lt;X343,I343+J343-K343,0),IF(R343&lt;X343,O343+P343-Q343,0),IF(AD343&lt;X343,AA343+AB343-AC343,0)))))</x:f>
        <x:v>0</x:v>
      </x:c>
      <x:c r="Z343" s="6" t="n">
        <x:f>ROUND(MAX(0,U343+V343-W343-Y343),2)</x:f>
        <x:v>0</x:v>
      </x:c>
      <x:c r="AA343" s="6" t="n">
        <x:f>AF342</x:f>
        <x:v>0</x:v>
      </x:c>
      <x:c r="AB343" s="6" t="n">
        <x:f>ROUND(AA343*'Debt strategy'!$D$13/12,2)</x:f>
        <x:v>0</x:v>
      </x:c>
      <x:c r="AC343" s="6" t="n">
        <x:f>MIN(AA343+AB343,'Debt strategy'!$E$13)</x:f>
        <x:v>0</x:v>
      </x:c>
      <x:c r="AD343" s="27" t="n">
        <x:f>IF(AA343+AB343-AC343&lt;=0,99,1+SUM(IF(AND(C343+D343-E343&gt;0,OR('Debt strategy'!$D$9&gt;'Debt strategy'!$D$13,AND('Debt strategy'!$D$9='Debt strategy'!$D$13,0&lt;4))),1,0),IF(AND(I343+J343-K343&gt;0,OR('Debt strategy'!$D$10&gt;'Debt strategy'!$D$13,AND('Debt strategy'!$D$10='Debt strategy'!$D$13,1&lt;4))),1,0),IF(AND(O343+P343-Q343&gt;0,OR('Debt strategy'!$D$11&gt;'Debt strategy'!$D$13,AND('Debt strategy'!$D$11='Debt strategy'!$D$13,2&lt;4))),1,0),IF(AND(U343+V343-W343&gt;0,OR('Debt strategy'!$D$12&gt;'Debt strategy'!$D$13,AND('Debt strategy'!$D$12='Debt strategy'!$D$13,3&lt;4))),1,0)))</x:f>
        <x:v>99</x:v>
      </x:c>
      <x:c r="AE343" s="6" t="n">
        <x:f>IF('Debt strategy'!$C$16&gt;0,0,MIN(AA343+AB343-AC343,MAX(0,'Debt strategy'!$C$5-SUM(E343,K343,Q343,W343,AC343)-SUM(IF(F343&lt;AD343,C343+D343-E343,0),IF(L343&lt;AD343,I343+J343-K343,0),IF(R343&lt;AD343,O343+P343-Q343,0),IF(X343&lt;AD343,U343+V343-W343,0)))))</x:f>
        <x:v>0</x:v>
      </x:c>
      <x:c r="AF343" s="6" t="n">
        <x:f>ROUND(MAX(0,AA343+AB343-AC343-AE343),2)</x:f>
        <x:v>0</x:v>
      </x:c>
      <x:c r="AG343" s="6" t="n">
        <x:f>SUM(H343,N343,T343,Z343,AF343)</x:f>
        <x:v>0</x:v>
      </x:c>
      <x:c r="AH343" s="6" t="n">
        <x:f>SUM(D343,J343,P343,V343,AB343)+AH342</x:f>
        <x:v>1220.8400000000001</x:v>
      </x:c>
      <x:c r="AI343" s="2"/>
    </x:row>
    <x:row r="344" ht="23" customHeight="1">
      <x:c r="B344" s="2" t="n">
        <x:f>336</x:f>
        <x:v>336</x:v>
      </x:c>
      <x:c r="C344" s="6" t="n">
        <x:f>H343</x:f>
        <x:v>0</x:v>
      </x:c>
      <x:c r="D344" s="6" t="n">
        <x:f>ROUND(C344*'Debt strategy'!$D$9/12,2)</x:f>
        <x:v>0</x:v>
      </x:c>
      <x:c r="E344" s="6" t="n">
        <x:f>MIN(C344+D344,'Debt strategy'!$E$9)</x:f>
        <x:v>0</x:v>
      </x:c>
      <x:c r="F344" s="27" t="n">
        <x:f>IF(C344+D344-E344&lt;=0,99,1+SUM(IF(AND(I344+J344-K344&gt;0,OR('Debt strategy'!$D$10&gt;'Debt strategy'!$D$9,AND('Debt strategy'!$D$10='Debt strategy'!$D$9,1&lt;0))),1,0),IF(AND(O344+P344-Q344&gt;0,OR('Debt strategy'!$D$11&gt;'Debt strategy'!$D$9,AND('Debt strategy'!$D$11='Debt strategy'!$D$9,2&lt;0))),1,0),IF(AND(U344+V344-W344&gt;0,OR('Debt strategy'!$D$12&gt;'Debt strategy'!$D$9,AND('Debt strategy'!$D$12='Debt strategy'!$D$9,3&lt;0))),1,0),IF(AND(AA344+AB344-AC344&gt;0,OR('Debt strategy'!$D$13&gt;'Debt strategy'!$D$9,AND('Debt strategy'!$D$13='Debt strategy'!$D$9,4&lt;0))),1,0)))</x:f>
        <x:v>99</x:v>
      </x:c>
      <x:c r="G344" s="6" t="n">
        <x:f>IF('Debt strategy'!$C$16&gt;0,0,MIN(C344+D344-E344,MAX(0,'Debt strategy'!$C$5-SUM(E344,K344,Q344,W344,AC344)-SUM(IF(L344&lt;F344,I344+J344-K344,0),IF(R344&lt;F344,O344+P344-Q344,0),IF(X344&lt;F344,U344+V344-W344,0),IF(AD344&lt;F344,AA344+AB344-AC344,0)))))</x:f>
        <x:v>0</x:v>
      </x:c>
      <x:c r="H344" s="6" t="n">
        <x:f>ROUND(MAX(0,C344+D344-E344-G344),2)</x:f>
        <x:v>0</x:v>
      </x:c>
      <x:c r="I344" s="6" t="n">
        <x:f>N343</x:f>
        <x:v>0</x:v>
      </x:c>
      <x:c r="J344" s="6" t="n">
        <x:f>ROUND(I344*'Debt strategy'!$D$10/12,2)</x:f>
        <x:v>0</x:v>
      </x:c>
      <x:c r="K344" s="6" t="n">
        <x:f>MIN(I344+J344,'Debt strategy'!$E$10)</x:f>
        <x:v>0</x:v>
      </x:c>
      <x:c r="L344" s="27" t="n">
        <x:f>IF(I344+J344-K344&lt;=0,99,1+SUM(IF(AND(C344+D344-E344&gt;0,OR('Debt strategy'!$D$9&gt;'Debt strategy'!$D$10,AND('Debt strategy'!$D$9='Debt strategy'!$D$10,0&lt;1))),1,0),IF(AND(O344+P344-Q344&gt;0,OR('Debt strategy'!$D$11&gt;'Debt strategy'!$D$10,AND('Debt strategy'!$D$11='Debt strategy'!$D$10,2&lt;1))),1,0),IF(AND(U344+V344-W344&gt;0,OR('Debt strategy'!$D$12&gt;'Debt strategy'!$D$10,AND('Debt strategy'!$D$12='Debt strategy'!$D$10,3&lt;1))),1,0),IF(AND(AA344+AB344-AC344&gt;0,OR('Debt strategy'!$D$13&gt;'Debt strategy'!$D$10,AND('Debt strategy'!$D$13='Debt strategy'!$D$10,4&lt;1))),1,0)))</x:f>
        <x:v>99</x:v>
      </x:c>
      <x:c r="M344" s="6" t="n">
        <x:f>IF('Debt strategy'!$C$16&gt;0,0,MIN(I344+J344-K344,MAX(0,'Debt strategy'!$C$5-SUM(E344,K344,Q344,W344,AC344)-SUM(IF(F344&lt;L344,C344+D344-E344,0),IF(R344&lt;L344,O344+P344-Q344,0),IF(X344&lt;L344,U344+V344-W344,0),IF(AD344&lt;L344,AA344+AB344-AC344,0)))))</x:f>
        <x:v>0</x:v>
      </x:c>
      <x:c r="N344" s="6" t="n">
        <x:f>ROUND(MAX(0,I344+J344-K344-M344),2)</x:f>
        <x:v>0</x:v>
      </x:c>
      <x:c r="O344" s="6" t="n">
        <x:f>T343</x:f>
        <x:v>0</x:v>
      </x:c>
      <x:c r="P344" s="6" t="n">
        <x:f>ROUND(O344*'Debt strategy'!$D$11/12,2)</x:f>
        <x:v>0</x:v>
      </x:c>
      <x:c r="Q344" s="6" t="n">
        <x:f>MIN(O344+P344,'Debt strategy'!$E$11)</x:f>
        <x:v>0</x:v>
      </x:c>
      <x:c r="R344" s="27" t="n">
        <x:f>IF(O344+P344-Q344&lt;=0,99,1+SUM(IF(AND(C344+D344-E344&gt;0,OR('Debt strategy'!$D$9&gt;'Debt strategy'!$D$11,AND('Debt strategy'!$D$9='Debt strategy'!$D$11,0&lt;2))),1,0),IF(AND(I344+J344-K344&gt;0,OR('Debt strategy'!$D$10&gt;'Debt strategy'!$D$11,AND('Debt strategy'!$D$10='Debt strategy'!$D$11,1&lt;2))),1,0),IF(AND(U344+V344-W344&gt;0,OR('Debt strategy'!$D$12&gt;'Debt strategy'!$D$11,AND('Debt strategy'!$D$12='Debt strategy'!$D$11,3&lt;2))),1,0),IF(AND(AA344+AB344-AC344&gt;0,OR('Debt strategy'!$D$13&gt;'Debt strategy'!$D$11,AND('Debt strategy'!$D$13='Debt strategy'!$D$11,4&lt;2))),1,0)))</x:f>
        <x:v>99</x:v>
      </x:c>
      <x:c r="S344" s="6" t="n">
        <x:f>IF('Debt strategy'!$C$16&gt;0,0,MIN(O344+P344-Q344,MAX(0,'Debt strategy'!$C$5-SUM(E344,K344,Q344,W344,AC344)-SUM(IF(F344&lt;R344,C344+D344-E344,0),IF(L344&lt;R344,I344+J344-K344,0),IF(X344&lt;R344,U344+V344-W344,0),IF(AD344&lt;R344,AA344+AB344-AC344,0)))))</x:f>
        <x:v>0</x:v>
      </x:c>
      <x:c r="T344" s="6" t="n">
        <x:f>ROUND(MAX(0,O344+P344-Q344-S344),2)</x:f>
        <x:v>0</x:v>
      </x:c>
      <x:c r="U344" s="6" t="n">
        <x:f>Z343</x:f>
        <x:v>0</x:v>
      </x:c>
      <x:c r="V344" s="6" t="n">
        <x:f>ROUND(U344*'Debt strategy'!$D$12/12,2)</x:f>
        <x:v>0</x:v>
      </x:c>
      <x:c r="W344" s="6" t="n">
        <x:f>MIN(U344+V344,'Debt strategy'!$E$12)</x:f>
        <x:v>0</x:v>
      </x:c>
      <x:c r="X344" s="27" t="n">
        <x:f>IF(U344+V344-W344&lt;=0,99,1+SUM(IF(AND(C344+D344-E344&gt;0,OR('Debt strategy'!$D$9&gt;'Debt strategy'!$D$12,AND('Debt strategy'!$D$9='Debt strategy'!$D$12,0&lt;3))),1,0),IF(AND(I344+J344-K344&gt;0,OR('Debt strategy'!$D$10&gt;'Debt strategy'!$D$12,AND('Debt strategy'!$D$10='Debt strategy'!$D$12,1&lt;3))),1,0),IF(AND(O344+P344-Q344&gt;0,OR('Debt strategy'!$D$11&gt;'Debt strategy'!$D$12,AND('Debt strategy'!$D$11='Debt strategy'!$D$12,2&lt;3))),1,0),IF(AND(AA344+AB344-AC344&gt;0,OR('Debt strategy'!$D$13&gt;'Debt strategy'!$D$12,AND('Debt strategy'!$D$13='Debt strategy'!$D$12,4&lt;3))),1,0)))</x:f>
        <x:v>99</x:v>
      </x:c>
      <x:c r="Y344" s="6" t="n">
        <x:f>IF('Debt strategy'!$C$16&gt;0,0,MIN(U344+V344-W344,MAX(0,'Debt strategy'!$C$5-SUM(E344,K344,Q344,W344,AC344)-SUM(IF(F344&lt;X344,C344+D344-E344,0),IF(L344&lt;X344,I344+J344-K344,0),IF(R344&lt;X344,O344+P344-Q344,0),IF(AD344&lt;X344,AA344+AB344-AC344,0)))))</x:f>
        <x:v>0</x:v>
      </x:c>
      <x:c r="Z344" s="6" t="n">
        <x:f>ROUND(MAX(0,U344+V344-W344-Y344),2)</x:f>
        <x:v>0</x:v>
      </x:c>
      <x:c r="AA344" s="6" t="n">
        <x:f>AF343</x:f>
        <x:v>0</x:v>
      </x:c>
      <x:c r="AB344" s="6" t="n">
        <x:f>ROUND(AA344*'Debt strategy'!$D$13/12,2)</x:f>
        <x:v>0</x:v>
      </x:c>
      <x:c r="AC344" s="6" t="n">
        <x:f>MIN(AA344+AB344,'Debt strategy'!$E$13)</x:f>
        <x:v>0</x:v>
      </x:c>
      <x:c r="AD344" s="27" t="n">
        <x:f>IF(AA344+AB344-AC344&lt;=0,99,1+SUM(IF(AND(C344+D344-E344&gt;0,OR('Debt strategy'!$D$9&gt;'Debt strategy'!$D$13,AND('Debt strategy'!$D$9='Debt strategy'!$D$13,0&lt;4))),1,0),IF(AND(I344+J344-K344&gt;0,OR('Debt strategy'!$D$10&gt;'Debt strategy'!$D$13,AND('Debt strategy'!$D$10='Debt strategy'!$D$13,1&lt;4))),1,0),IF(AND(O344+P344-Q344&gt;0,OR('Debt strategy'!$D$11&gt;'Debt strategy'!$D$13,AND('Debt strategy'!$D$11='Debt strategy'!$D$13,2&lt;4))),1,0),IF(AND(U344+V344-W344&gt;0,OR('Debt strategy'!$D$12&gt;'Debt strategy'!$D$13,AND('Debt strategy'!$D$12='Debt strategy'!$D$13,3&lt;4))),1,0)))</x:f>
        <x:v>99</x:v>
      </x:c>
      <x:c r="AE344" s="6" t="n">
        <x:f>IF('Debt strategy'!$C$16&gt;0,0,MIN(AA344+AB344-AC344,MAX(0,'Debt strategy'!$C$5-SUM(E344,K344,Q344,W344,AC344)-SUM(IF(F344&lt;AD344,C344+D344-E344,0),IF(L344&lt;AD344,I344+J344-K344,0),IF(R344&lt;AD344,O344+P344-Q344,0),IF(X344&lt;AD344,U344+V344-W344,0)))))</x:f>
        <x:v>0</x:v>
      </x:c>
      <x:c r="AF344" s="6" t="n">
        <x:f>ROUND(MAX(0,AA344+AB344-AC344-AE344),2)</x:f>
        <x:v>0</x:v>
      </x:c>
      <x:c r="AG344" s="6" t="n">
        <x:f>SUM(H344,N344,T344,Z344,AF344)</x:f>
        <x:v>0</x:v>
      </x:c>
      <x:c r="AH344" s="6" t="n">
        <x:f>SUM(D344,J344,P344,V344,AB344)+AH343</x:f>
        <x:v>1220.8400000000001</x:v>
      </x:c>
      <x:c r="AI344" s="2"/>
    </x:row>
    <x:row r="345" ht="23" customHeight="1">
      <x:c r="B345" s="2" t="n">
        <x:f>337</x:f>
        <x:v>337</x:v>
      </x:c>
      <x:c r="C345" s="6" t="n">
        <x:f>H344</x:f>
        <x:v>0</x:v>
      </x:c>
      <x:c r="D345" s="6" t="n">
        <x:f>ROUND(C345*'Debt strategy'!$D$9/12,2)</x:f>
        <x:v>0</x:v>
      </x:c>
      <x:c r="E345" s="6" t="n">
        <x:f>MIN(C345+D345,'Debt strategy'!$E$9)</x:f>
        <x:v>0</x:v>
      </x:c>
      <x:c r="F345" s="27" t="n">
        <x:f>IF(C345+D345-E345&lt;=0,99,1+SUM(IF(AND(I345+J345-K345&gt;0,OR('Debt strategy'!$D$10&gt;'Debt strategy'!$D$9,AND('Debt strategy'!$D$10='Debt strategy'!$D$9,1&lt;0))),1,0),IF(AND(O345+P345-Q345&gt;0,OR('Debt strategy'!$D$11&gt;'Debt strategy'!$D$9,AND('Debt strategy'!$D$11='Debt strategy'!$D$9,2&lt;0))),1,0),IF(AND(U345+V345-W345&gt;0,OR('Debt strategy'!$D$12&gt;'Debt strategy'!$D$9,AND('Debt strategy'!$D$12='Debt strategy'!$D$9,3&lt;0))),1,0),IF(AND(AA345+AB345-AC345&gt;0,OR('Debt strategy'!$D$13&gt;'Debt strategy'!$D$9,AND('Debt strategy'!$D$13='Debt strategy'!$D$9,4&lt;0))),1,0)))</x:f>
        <x:v>99</x:v>
      </x:c>
      <x:c r="G345" s="6" t="n">
        <x:f>IF('Debt strategy'!$C$16&gt;0,0,MIN(C345+D345-E345,MAX(0,'Debt strategy'!$C$5-SUM(E345,K345,Q345,W345,AC345)-SUM(IF(L345&lt;F345,I345+J345-K345,0),IF(R345&lt;F345,O345+P345-Q345,0),IF(X345&lt;F345,U345+V345-W345,0),IF(AD345&lt;F345,AA345+AB345-AC345,0)))))</x:f>
        <x:v>0</x:v>
      </x:c>
      <x:c r="H345" s="6" t="n">
        <x:f>ROUND(MAX(0,C345+D345-E345-G345),2)</x:f>
        <x:v>0</x:v>
      </x:c>
      <x:c r="I345" s="6" t="n">
        <x:f>N344</x:f>
        <x:v>0</x:v>
      </x:c>
      <x:c r="J345" s="6" t="n">
        <x:f>ROUND(I345*'Debt strategy'!$D$10/12,2)</x:f>
        <x:v>0</x:v>
      </x:c>
      <x:c r="K345" s="6" t="n">
        <x:f>MIN(I345+J345,'Debt strategy'!$E$10)</x:f>
        <x:v>0</x:v>
      </x:c>
      <x:c r="L345" s="27" t="n">
        <x:f>IF(I345+J345-K345&lt;=0,99,1+SUM(IF(AND(C345+D345-E345&gt;0,OR('Debt strategy'!$D$9&gt;'Debt strategy'!$D$10,AND('Debt strategy'!$D$9='Debt strategy'!$D$10,0&lt;1))),1,0),IF(AND(O345+P345-Q345&gt;0,OR('Debt strategy'!$D$11&gt;'Debt strategy'!$D$10,AND('Debt strategy'!$D$11='Debt strategy'!$D$10,2&lt;1))),1,0),IF(AND(U345+V345-W345&gt;0,OR('Debt strategy'!$D$12&gt;'Debt strategy'!$D$10,AND('Debt strategy'!$D$12='Debt strategy'!$D$10,3&lt;1))),1,0),IF(AND(AA345+AB345-AC345&gt;0,OR('Debt strategy'!$D$13&gt;'Debt strategy'!$D$10,AND('Debt strategy'!$D$13='Debt strategy'!$D$10,4&lt;1))),1,0)))</x:f>
        <x:v>99</x:v>
      </x:c>
      <x:c r="M345" s="6" t="n">
        <x:f>IF('Debt strategy'!$C$16&gt;0,0,MIN(I345+J345-K345,MAX(0,'Debt strategy'!$C$5-SUM(E345,K345,Q345,W345,AC345)-SUM(IF(F345&lt;L345,C345+D345-E345,0),IF(R345&lt;L345,O345+P345-Q345,0),IF(X345&lt;L345,U345+V345-W345,0),IF(AD345&lt;L345,AA345+AB345-AC345,0)))))</x:f>
        <x:v>0</x:v>
      </x:c>
      <x:c r="N345" s="6" t="n">
        <x:f>ROUND(MAX(0,I345+J345-K345-M345),2)</x:f>
        <x:v>0</x:v>
      </x:c>
      <x:c r="O345" s="6" t="n">
        <x:f>T344</x:f>
        <x:v>0</x:v>
      </x:c>
      <x:c r="P345" s="6" t="n">
        <x:f>ROUND(O345*'Debt strategy'!$D$11/12,2)</x:f>
        <x:v>0</x:v>
      </x:c>
      <x:c r="Q345" s="6" t="n">
        <x:f>MIN(O345+P345,'Debt strategy'!$E$11)</x:f>
        <x:v>0</x:v>
      </x:c>
      <x:c r="R345" s="27" t="n">
        <x:f>IF(O345+P345-Q345&lt;=0,99,1+SUM(IF(AND(C345+D345-E345&gt;0,OR('Debt strategy'!$D$9&gt;'Debt strategy'!$D$11,AND('Debt strategy'!$D$9='Debt strategy'!$D$11,0&lt;2))),1,0),IF(AND(I345+J345-K345&gt;0,OR('Debt strategy'!$D$10&gt;'Debt strategy'!$D$11,AND('Debt strategy'!$D$10='Debt strategy'!$D$11,1&lt;2))),1,0),IF(AND(U345+V345-W345&gt;0,OR('Debt strategy'!$D$12&gt;'Debt strategy'!$D$11,AND('Debt strategy'!$D$12='Debt strategy'!$D$11,3&lt;2))),1,0),IF(AND(AA345+AB345-AC345&gt;0,OR('Debt strategy'!$D$13&gt;'Debt strategy'!$D$11,AND('Debt strategy'!$D$13='Debt strategy'!$D$11,4&lt;2))),1,0)))</x:f>
        <x:v>99</x:v>
      </x:c>
      <x:c r="S345" s="6" t="n">
        <x:f>IF('Debt strategy'!$C$16&gt;0,0,MIN(O345+P345-Q345,MAX(0,'Debt strategy'!$C$5-SUM(E345,K345,Q345,W345,AC345)-SUM(IF(F345&lt;R345,C345+D345-E345,0),IF(L345&lt;R345,I345+J345-K345,0),IF(X345&lt;R345,U345+V345-W345,0),IF(AD345&lt;R345,AA345+AB345-AC345,0)))))</x:f>
        <x:v>0</x:v>
      </x:c>
      <x:c r="T345" s="6" t="n">
        <x:f>ROUND(MAX(0,O345+P345-Q345-S345),2)</x:f>
        <x:v>0</x:v>
      </x:c>
      <x:c r="U345" s="6" t="n">
        <x:f>Z344</x:f>
        <x:v>0</x:v>
      </x:c>
      <x:c r="V345" s="6" t="n">
        <x:f>ROUND(U345*'Debt strategy'!$D$12/12,2)</x:f>
        <x:v>0</x:v>
      </x:c>
      <x:c r="W345" s="6" t="n">
        <x:f>MIN(U345+V345,'Debt strategy'!$E$12)</x:f>
        <x:v>0</x:v>
      </x:c>
      <x:c r="X345" s="27" t="n">
        <x:f>IF(U345+V345-W345&lt;=0,99,1+SUM(IF(AND(C345+D345-E345&gt;0,OR('Debt strategy'!$D$9&gt;'Debt strategy'!$D$12,AND('Debt strategy'!$D$9='Debt strategy'!$D$12,0&lt;3))),1,0),IF(AND(I345+J345-K345&gt;0,OR('Debt strategy'!$D$10&gt;'Debt strategy'!$D$12,AND('Debt strategy'!$D$10='Debt strategy'!$D$12,1&lt;3))),1,0),IF(AND(O345+P345-Q345&gt;0,OR('Debt strategy'!$D$11&gt;'Debt strategy'!$D$12,AND('Debt strategy'!$D$11='Debt strategy'!$D$12,2&lt;3))),1,0),IF(AND(AA345+AB345-AC345&gt;0,OR('Debt strategy'!$D$13&gt;'Debt strategy'!$D$12,AND('Debt strategy'!$D$13='Debt strategy'!$D$12,4&lt;3))),1,0)))</x:f>
        <x:v>99</x:v>
      </x:c>
      <x:c r="Y345" s="6" t="n">
        <x:f>IF('Debt strategy'!$C$16&gt;0,0,MIN(U345+V345-W345,MAX(0,'Debt strategy'!$C$5-SUM(E345,K345,Q345,W345,AC345)-SUM(IF(F345&lt;X345,C345+D345-E345,0),IF(L345&lt;X345,I345+J345-K345,0),IF(R345&lt;X345,O345+P345-Q345,0),IF(AD345&lt;X345,AA345+AB345-AC345,0)))))</x:f>
        <x:v>0</x:v>
      </x:c>
      <x:c r="Z345" s="6" t="n">
        <x:f>ROUND(MAX(0,U345+V345-W345-Y345),2)</x:f>
        <x:v>0</x:v>
      </x:c>
      <x:c r="AA345" s="6" t="n">
        <x:f>AF344</x:f>
        <x:v>0</x:v>
      </x:c>
      <x:c r="AB345" s="6" t="n">
        <x:f>ROUND(AA345*'Debt strategy'!$D$13/12,2)</x:f>
        <x:v>0</x:v>
      </x:c>
      <x:c r="AC345" s="6" t="n">
        <x:f>MIN(AA345+AB345,'Debt strategy'!$E$13)</x:f>
        <x:v>0</x:v>
      </x:c>
      <x:c r="AD345" s="27" t="n">
        <x:f>IF(AA345+AB345-AC345&lt;=0,99,1+SUM(IF(AND(C345+D345-E345&gt;0,OR('Debt strategy'!$D$9&gt;'Debt strategy'!$D$13,AND('Debt strategy'!$D$9='Debt strategy'!$D$13,0&lt;4))),1,0),IF(AND(I345+J345-K345&gt;0,OR('Debt strategy'!$D$10&gt;'Debt strategy'!$D$13,AND('Debt strategy'!$D$10='Debt strategy'!$D$13,1&lt;4))),1,0),IF(AND(O345+P345-Q345&gt;0,OR('Debt strategy'!$D$11&gt;'Debt strategy'!$D$13,AND('Debt strategy'!$D$11='Debt strategy'!$D$13,2&lt;4))),1,0),IF(AND(U345+V345-W345&gt;0,OR('Debt strategy'!$D$12&gt;'Debt strategy'!$D$13,AND('Debt strategy'!$D$12='Debt strategy'!$D$13,3&lt;4))),1,0)))</x:f>
        <x:v>99</x:v>
      </x:c>
      <x:c r="AE345" s="6" t="n">
        <x:f>IF('Debt strategy'!$C$16&gt;0,0,MIN(AA345+AB345-AC345,MAX(0,'Debt strategy'!$C$5-SUM(E345,K345,Q345,W345,AC345)-SUM(IF(F345&lt;AD345,C345+D345-E345,0),IF(L345&lt;AD345,I345+J345-K345,0),IF(R345&lt;AD345,O345+P345-Q345,0),IF(X345&lt;AD345,U345+V345-W345,0)))))</x:f>
        <x:v>0</x:v>
      </x:c>
      <x:c r="AF345" s="6" t="n">
        <x:f>ROUND(MAX(0,AA345+AB345-AC345-AE345),2)</x:f>
        <x:v>0</x:v>
      </x:c>
      <x:c r="AG345" s="6" t="n">
        <x:f>SUM(H345,N345,T345,Z345,AF345)</x:f>
        <x:v>0</x:v>
      </x:c>
      <x:c r="AH345" s="6" t="n">
        <x:f>SUM(D345,J345,P345,V345,AB345)+AH344</x:f>
        <x:v>1220.8400000000001</x:v>
      </x:c>
      <x:c r="AI345" s="2"/>
    </x:row>
    <x:row r="346" ht="23" customHeight="1">
      <x:c r="B346" s="2" t="n">
        <x:f>338</x:f>
        <x:v>338</x:v>
      </x:c>
      <x:c r="C346" s="6" t="n">
        <x:f>H345</x:f>
        <x:v>0</x:v>
      </x:c>
      <x:c r="D346" s="6" t="n">
        <x:f>ROUND(C346*'Debt strategy'!$D$9/12,2)</x:f>
        <x:v>0</x:v>
      </x:c>
      <x:c r="E346" s="6" t="n">
        <x:f>MIN(C346+D346,'Debt strategy'!$E$9)</x:f>
        <x:v>0</x:v>
      </x:c>
      <x:c r="F346" s="27" t="n">
        <x:f>IF(C346+D346-E346&lt;=0,99,1+SUM(IF(AND(I346+J346-K346&gt;0,OR('Debt strategy'!$D$10&gt;'Debt strategy'!$D$9,AND('Debt strategy'!$D$10='Debt strategy'!$D$9,1&lt;0))),1,0),IF(AND(O346+P346-Q346&gt;0,OR('Debt strategy'!$D$11&gt;'Debt strategy'!$D$9,AND('Debt strategy'!$D$11='Debt strategy'!$D$9,2&lt;0))),1,0),IF(AND(U346+V346-W346&gt;0,OR('Debt strategy'!$D$12&gt;'Debt strategy'!$D$9,AND('Debt strategy'!$D$12='Debt strategy'!$D$9,3&lt;0))),1,0),IF(AND(AA346+AB346-AC346&gt;0,OR('Debt strategy'!$D$13&gt;'Debt strategy'!$D$9,AND('Debt strategy'!$D$13='Debt strategy'!$D$9,4&lt;0))),1,0)))</x:f>
        <x:v>99</x:v>
      </x:c>
      <x:c r="G346" s="6" t="n">
        <x:f>IF('Debt strategy'!$C$16&gt;0,0,MIN(C346+D346-E346,MAX(0,'Debt strategy'!$C$5-SUM(E346,K346,Q346,W346,AC346)-SUM(IF(L346&lt;F346,I346+J346-K346,0),IF(R346&lt;F346,O346+P346-Q346,0),IF(X346&lt;F346,U346+V346-W346,0),IF(AD346&lt;F346,AA346+AB346-AC346,0)))))</x:f>
        <x:v>0</x:v>
      </x:c>
      <x:c r="H346" s="6" t="n">
        <x:f>ROUND(MAX(0,C346+D346-E346-G346),2)</x:f>
        <x:v>0</x:v>
      </x:c>
      <x:c r="I346" s="6" t="n">
        <x:f>N345</x:f>
        <x:v>0</x:v>
      </x:c>
      <x:c r="J346" s="6" t="n">
        <x:f>ROUND(I346*'Debt strategy'!$D$10/12,2)</x:f>
        <x:v>0</x:v>
      </x:c>
      <x:c r="K346" s="6" t="n">
        <x:f>MIN(I346+J346,'Debt strategy'!$E$10)</x:f>
        <x:v>0</x:v>
      </x:c>
      <x:c r="L346" s="27" t="n">
        <x:f>IF(I346+J346-K346&lt;=0,99,1+SUM(IF(AND(C346+D346-E346&gt;0,OR('Debt strategy'!$D$9&gt;'Debt strategy'!$D$10,AND('Debt strategy'!$D$9='Debt strategy'!$D$10,0&lt;1))),1,0),IF(AND(O346+P346-Q346&gt;0,OR('Debt strategy'!$D$11&gt;'Debt strategy'!$D$10,AND('Debt strategy'!$D$11='Debt strategy'!$D$10,2&lt;1))),1,0),IF(AND(U346+V346-W346&gt;0,OR('Debt strategy'!$D$12&gt;'Debt strategy'!$D$10,AND('Debt strategy'!$D$12='Debt strategy'!$D$10,3&lt;1))),1,0),IF(AND(AA346+AB346-AC346&gt;0,OR('Debt strategy'!$D$13&gt;'Debt strategy'!$D$10,AND('Debt strategy'!$D$13='Debt strategy'!$D$10,4&lt;1))),1,0)))</x:f>
        <x:v>99</x:v>
      </x:c>
      <x:c r="M346" s="6" t="n">
        <x:f>IF('Debt strategy'!$C$16&gt;0,0,MIN(I346+J346-K346,MAX(0,'Debt strategy'!$C$5-SUM(E346,K346,Q346,W346,AC346)-SUM(IF(F346&lt;L346,C346+D346-E346,0),IF(R346&lt;L346,O346+P346-Q346,0),IF(X346&lt;L346,U346+V346-W346,0),IF(AD346&lt;L346,AA346+AB346-AC346,0)))))</x:f>
        <x:v>0</x:v>
      </x:c>
      <x:c r="N346" s="6" t="n">
        <x:f>ROUND(MAX(0,I346+J346-K346-M346),2)</x:f>
        <x:v>0</x:v>
      </x:c>
      <x:c r="O346" s="6" t="n">
        <x:f>T345</x:f>
        <x:v>0</x:v>
      </x:c>
      <x:c r="P346" s="6" t="n">
        <x:f>ROUND(O346*'Debt strategy'!$D$11/12,2)</x:f>
        <x:v>0</x:v>
      </x:c>
      <x:c r="Q346" s="6" t="n">
        <x:f>MIN(O346+P346,'Debt strategy'!$E$11)</x:f>
        <x:v>0</x:v>
      </x:c>
      <x:c r="R346" s="27" t="n">
        <x:f>IF(O346+P346-Q346&lt;=0,99,1+SUM(IF(AND(C346+D346-E346&gt;0,OR('Debt strategy'!$D$9&gt;'Debt strategy'!$D$11,AND('Debt strategy'!$D$9='Debt strategy'!$D$11,0&lt;2))),1,0),IF(AND(I346+J346-K346&gt;0,OR('Debt strategy'!$D$10&gt;'Debt strategy'!$D$11,AND('Debt strategy'!$D$10='Debt strategy'!$D$11,1&lt;2))),1,0),IF(AND(U346+V346-W346&gt;0,OR('Debt strategy'!$D$12&gt;'Debt strategy'!$D$11,AND('Debt strategy'!$D$12='Debt strategy'!$D$11,3&lt;2))),1,0),IF(AND(AA346+AB346-AC346&gt;0,OR('Debt strategy'!$D$13&gt;'Debt strategy'!$D$11,AND('Debt strategy'!$D$13='Debt strategy'!$D$11,4&lt;2))),1,0)))</x:f>
        <x:v>99</x:v>
      </x:c>
      <x:c r="S346" s="6" t="n">
        <x:f>IF('Debt strategy'!$C$16&gt;0,0,MIN(O346+P346-Q346,MAX(0,'Debt strategy'!$C$5-SUM(E346,K346,Q346,W346,AC346)-SUM(IF(F346&lt;R346,C346+D346-E346,0),IF(L346&lt;R346,I346+J346-K346,0),IF(X346&lt;R346,U346+V346-W346,0),IF(AD346&lt;R346,AA346+AB346-AC346,0)))))</x:f>
        <x:v>0</x:v>
      </x:c>
      <x:c r="T346" s="6" t="n">
        <x:f>ROUND(MAX(0,O346+P346-Q346-S346),2)</x:f>
        <x:v>0</x:v>
      </x:c>
      <x:c r="U346" s="6" t="n">
        <x:f>Z345</x:f>
        <x:v>0</x:v>
      </x:c>
      <x:c r="V346" s="6" t="n">
        <x:f>ROUND(U346*'Debt strategy'!$D$12/12,2)</x:f>
        <x:v>0</x:v>
      </x:c>
      <x:c r="W346" s="6" t="n">
        <x:f>MIN(U346+V346,'Debt strategy'!$E$12)</x:f>
        <x:v>0</x:v>
      </x:c>
      <x:c r="X346" s="27" t="n">
        <x:f>IF(U346+V346-W346&lt;=0,99,1+SUM(IF(AND(C346+D346-E346&gt;0,OR('Debt strategy'!$D$9&gt;'Debt strategy'!$D$12,AND('Debt strategy'!$D$9='Debt strategy'!$D$12,0&lt;3))),1,0),IF(AND(I346+J346-K346&gt;0,OR('Debt strategy'!$D$10&gt;'Debt strategy'!$D$12,AND('Debt strategy'!$D$10='Debt strategy'!$D$12,1&lt;3))),1,0),IF(AND(O346+P346-Q346&gt;0,OR('Debt strategy'!$D$11&gt;'Debt strategy'!$D$12,AND('Debt strategy'!$D$11='Debt strategy'!$D$12,2&lt;3))),1,0),IF(AND(AA346+AB346-AC346&gt;0,OR('Debt strategy'!$D$13&gt;'Debt strategy'!$D$12,AND('Debt strategy'!$D$13='Debt strategy'!$D$12,4&lt;3))),1,0)))</x:f>
        <x:v>99</x:v>
      </x:c>
      <x:c r="Y346" s="6" t="n">
        <x:f>IF('Debt strategy'!$C$16&gt;0,0,MIN(U346+V346-W346,MAX(0,'Debt strategy'!$C$5-SUM(E346,K346,Q346,W346,AC346)-SUM(IF(F346&lt;X346,C346+D346-E346,0),IF(L346&lt;X346,I346+J346-K346,0),IF(R346&lt;X346,O346+P346-Q346,0),IF(AD346&lt;X346,AA346+AB346-AC346,0)))))</x:f>
        <x:v>0</x:v>
      </x:c>
      <x:c r="Z346" s="6" t="n">
        <x:f>ROUND(MAX(0,U346+V346-W346-Y346),2)</x:f>
        <x:v>0</x:v>
      </x:c>
      <x:c r="AA346" s="6" t="n">
        <x:f>AF345</x:f>
        <x:v>0</x:v>
      </x:c>
      <x:c r="AB346" s="6" t="n">
        <x:f>ROUND(AA346*'Debt strategy'!$D$13/12,2)</x:f>
        <x:v>0</x:v>
      </x:c>
      <x:c r="AC346" s="6" t="n">
        <x:f>MIN(AA346+AB346,'Debt strategy'!$E$13)</x:f>
        <x:v>0</x:v>
      </x:c>
      <x:c r="AD346" s="27" t="n">
        <x:f>IF(AA346+AB346-AC346&lt;=0,99,1+SUM(IF(AND(C346+D346-E346&gt;0,OR('Debt strategy'!$D$9&gt;'Debt strategy'!$D$13,AND('Debt strategy'!$D$9='Debt strategy'!$D$13,0&lt;4))),1,0),IF(AND(I346+J346-K346&gt;0,OR('Debt strategy'!$D$10&gt;'Debt strategy'!$D$13,AND('Debt strategy'!$D$10='Debt strategy'!$D$13,1&lt;4))),1,0),IF(AND(O346+P346-Q346&gt;0,OR('Debt strategy'!$D$11&gt;'Debt strategy'!$D$13,AND('Debt strategy'!$D$11='Debt strategy'!$D$13,2&lt;4))),1,0),IF(AND(U346+V346-W346&gt;0,OR('Debt strategy'!$D$12&gt;'Debt strategy'!$D$13,AND('Debt strategy'!$D$12='Debt strategy'!$D$13,3&lt;4))),1,0)))</x:f>
        <x:v>99</x:v>
      </x:c>
      <x:c r="AE346" s="6" t="n">
        <x:f>IF('Debt strategy'!$C$16&gt;0,0,MIN(AA346+AB346-AC346,MAX(0,'Debt strategy'!$C$5-SUM(E346,K346,Q346,W346,AC346)-SUM(IF(F346&lt;AD346,C346+D346-E346,0),IF(L346&lt;AD346,I346+J346-K346,0),IF(R346&lt;AD346,O346+P346-Q346,0),IF(X346&lt;AD346,U346+V346-W346,0)))))</x:f>
        <x:v>0</x:v>
      </x:c>
      <x:c r="AF346" s="6" t="n">
        <x:f>ROUND(MAX(0,AA346+AB346-AC346-AE346),2)</x:f>
        <x:v>0</x:v>
      </x:c>
      <x:c r="AG346" s="6" t="n">
        <x:f>SUM(H346,N346,T346,Z346,AF346)</x:f>
        <x:v>0</x:v>
      </x:c>
      <x:c r="AH346" s="6" t="n">
        <x:f>SUM(D346,J346,P346,V346,AB346)+AH345</x:f>
        <x:v>1220.8400000000001</x:v>
      </x:c>
      <x:c r="AI346" s="2"/>
    </x:row>
    <x:row r="347" ht="23" customHeight="1">
      <x:c r="B347" s="2" t="n">
        <x:f>339</x:f>
        <x:v>339</x:v>
      </x:c>
      <x:c r="C347" s="6" t="n">
        <x:f>H346</x:f>
        <x:v>0</x:v>
      </x:c>
      <x:c r="D347" s="6" t="n">
        <x:f>ROUND(C347*'Debt strategy'!$D$9/12,2)</x:f>
        <x:v>0</x:v>
      </x:c>
      <x:c r="E347" s="6" t="n">
        <x:f>MIN(C347+D347,'Debt strategy'!$E$9)</x:f>
        <x:v>0</x:v>
      </x:c>
      <x:c r="F347" s="27" t="n">
        <x:f>IF(C347+D347-E347&lt;=0,99,1+SUM(IF(AND(I347+J347-K347&gt;0,OR('Debt strategy'!$D$10&gt;'Debt strategy'!$D$9,AND('Debt strategy'!$D$10='Debt strategy'!$D$9,1&lt;0))),1,0),IF(AND(O347+P347-Q347&gt;0,OR('Debt strategy'!$D$11&gt;'Debt strategy'!$D$9,AND('Debt strategy'!$D$11='Debt strategy'!$D$9,2&lt;0))),1,0),IF(AND(U347+V347-W347&gt;0,OR('Debt strategy'!$D$12&gt;'Debt strategy'!$D$9,AND('Debt strategy'!$D$12='Debt strategy'!$D$9,3&lt;0))),1,0),IF(AND(AA347+AB347-AC347&gt;0,OR('Debt strategy'!$D$13&gt;'Debt strategy'!$D$9,AND('Debt strategy'!$D$13='Debt strategy'!$D$9,4&lt;0))),1,0)))</x:f>
        <x:v>99</x:v>
      </x:c>
      <x:c r="G347" s="6" t="n">
        <x:f>IF('Debt strategy'!$C$16&gt;0,0,MIN(C347+D347-E347,MAX(0,'Debt strategy'!$C$5-SUM(E347,K347,Q347,W347,AC347)-SUM(IF(L347&lt;F347,I347+J347-K347,0),IF(R347&lt;F347,O347+P347-Q347,0),IF(X347&lt;F347,U347+V347-W347,0),IF(AD347&lt;F347,AA347+AB347-AC347,0)))))</x:f>
        <x:v>0</x:v>
      </x:c>
      <x:c r="H347" s="6" t="n">
        <x:f>ROUND(MAX(0,C347+D347-E347-G347),2)</x:f>
        <x:v>0</x:v>
      </x:c>
      <x:c r="I347" s="6" t="n">
        <x:f>N346</x:f>
        <x:v>0</x:v>
      </x:c>
      <x:c r="J347" s="6" t="n">
        <x:f>ROUND(I347*'Debt strategy'!$D$10/12,2)</x:f>
        <x:v>0</x:v>
      </x:c>
      <x:c r="K347" s="6" t="n">
        <x:f>MIN(I347+J347,'Debt strategy'!$E$10)</x:f>
        <x:v>0</x:v>
      </x:c>
      <x:c r="L347" s="27" t="n">
        <x:f>IF(I347+J347-K347&lt;=0,99,1+SUM(IF(AND(C347+D347-E347&gt;0,OR('Debt strategy'!$D$9&gt;'Debt strategy'!$D$10,AND('Debt strategy'!$D$9='Debt strategy'!$D$10,0&lt;1))),1,0),IF(AND(O347+P347-Q347&gt;0,OR('Debt strategy'!$D$11&gt;'Debt strategy'!$D$10,AND('Debt strategy'!$D$11='Debt strategy'!$D$10,2&lt;1))),1,0),IF(AND(U347+V347-W347&gt;0,OR('Debt strategy'!$D$12&gt;'Debt strategy'!$D$10,AND('Debt strategy'!$D$12='Debt strategy'!$D$10,3&lt;1))),1,0),IF(AND(AA347+AB347-AC347&gt;0,OR('Debt strategy'!$D$13&gt;'Debt strategy'!$D$10,AND('Debt strategy'!$D$13='Debt strategy'!$D$10,4&lt;1))),1,0)))</x:f>
        <x:v>99</x:v>
      </x:c>
      <x:c r="M347" s="6" t="n">
        <x:f>IF('Debt strategy'!$C$16&gt;0,0,MIN(I347+J347-K347,MAX(0,'Debt strategy'!$C$5-SUM(E347,K347,Q347,W347,AC347)-SUM(IF(F347&lt;L347,C347+D347-E347,0),IF(R347&lt;L347,O347+P347-Q347,0),IF(X347&lt;L347,U347+V347-W347,0),IF(AD347&lt;L347,AA347+AB347-AC347,0)))))</x:f>
        <x:v>0</x:v>
      </x:c>
      <x:c r="N347" s="6" t="n">
        <x:f>ROUND(MAX(0,I347+J347-K347-M347),2)</x:f>
        <x:v>0</x:v>
      </x:c>
      <x:c r="O347" s="6" t="n">
        <x:f>T346</x:f>
        <x:v>0</x:v>
      </x:c>
      <x:c r="P347" s="6" t="n">
        <x:f>ROUND(O347*'Debt strategy'!$D$11/12,2)</x:f>
        <x:v>0</x:v>
      </x:c>
      <x:c r="Q347" s="6" t="n">
        <x:f>MIN(O347+P347,'Debt strategy'!$E$11)</x:f>
        <x:v>0</x:v>
      </x:c>
      <x:c r="R347" s="27" t="n">
        <x:f>IF(O347+P347-Q347&lt;=0,99,1+SUM(IF(AND(C347+D347-E347&gt;0,OR('Debt strategy'!$D$9&gt;'Debt strategy'!$D$11,AND('Debt strategy'!$D$9='Debt strategy'!$D$11,0&lt;2))),1,0),IF(AND(I347+J347-K347&gt;0,OR('Debt strategy'!$D$10&gt;'Debt strategy'!$D$11,AND('Debt strategy'!$D$10='Debt strategy'!$D$11,1&lt;2))),1,0),IF(AND(U347+V347-W347&gt;0,OR('Debt strategy'!$D$12&gt;'Debt strategy'!$D$11,AND('Debt strategy'!$D$12='Debt strategy'!$D$11,3&lt;2))),1,0),IF(AND(AA347+AB347-AC347&gt;0,OR('Debt strategy'!$D$13&gt;'Debt strategy'!$D$11,AND('Debt strategy'!$D$13='Debt strategy'!$D$11,4&lt;2))),1,0)))</x:f>
        <x:v>99</x:v>
      </x:c>
      <x:c r="S347" s="6" t="n">
        <x:f>IF('Debt strategy'!$C$16&gt;0,0,MIN(O347+P347-Q347,MAX(0,'Debt strategy'!$C$5-SUM(E347,K347,Q347,W347,AC347)-SUM(IF(F347&lt;R347,C347+D347-E347,0),IF(L347&lt;R347,I347+J347-K347,0),IF(X347&lt;R347,U347+V347-W347,0),IF(AD347&lt;R347,AA347+AB347-AC347,0)))))</x:f>
        <x:v>0</x:v>
      </x:c>
      <x:c r="T347" s="6" t="n">
        <x:f>ROUND(MAX(0,O347+P347-Q347-S347),2)</x:f>
        <x:v>0</x:v>
      </x:c>
      <x:c r="U347" s="6" t="n">
        <x:f>Z346</x:f>
        <x:v>0</x:v>
      </x:c>
      <x:c r="V347" s="6" t="n">
        <x:f>ROUND(U347*'Debt strategy'!$D$12/12,2)</x:f>
        <x:v>0</x:v>
      </x:c>
      <x:c r="W347" s="6" t="n">
        <x:f>MIN(U347+V347,'Debt strategy'!$E$12)</x:f>
        <x:v>0</x:v>
      </x:c>
      <x:c r="X347" s="27" t="n">
        <x:f>IF(U347+V347-W347&lt;=0,99,1+SUM(IF(AND(C347+D347-E347&gt;0,OR('Debt strategy'!$D$9&gt;'Debt strategy'!$D$12,AND('Debt strategy'!$D$9='Debt strategy'!$D$12,0&lt;3))),1,0),IF(AND(I347+J347-K347&gt;0,OR('Debt strategy'!$D$10&gt;'Debt strategy'!$D$12,AND('Debt strategy'!$D$10='Debt strategy'!$D$12,1&lt;3))),1,0),IF(AND(O347+P347-Q347&gt;0,OR('Debt strategy'!$D$11&gt;'Debt strategy'!$D$12,AND('Debt strategy'!$D$11='Debt strategy'!$D$12,2&lt;3))),1,0),IF(AND(AA347+AB347-AC347&gt;0,OR('Debt strategy'!$D$13&gt;'Debt strategy'!$D$12,AND('Debt strategy'!$D$13='Debt strategy'!$D$12,4&lt;3))),1,0)))</x:f>
        <x:v>99</x:v>
      </x:c>
      <x:c r="Y347" s="6" t="n">
        <x:f>IF('Debt strategy'!$C$16&gt;0,0,MIN(U347+V347-W347,MAX(0,'Debt strategy'!$C$5-SUM(E347,K347,Q347,W347,AC347)-SUM(IF(F347&lt;X347,C347+D347-E347,0),IF(L347&lt;X347,I347+J347-K347,0),IF(R347&lt;X347,O347+P347-Q347,0),IF(AD347&lt;X347,AA347+AB347-AC347,0)))))</x:f>
        <x:v>0</x:v>
      </x:c>
      <x:c r="Z347" s="6" t="n">
        <x:f>ROUND(MAX(0,U347+V347-W347-Y347),2)</x:f>
        <x:v>0</x:v>
      </x:c>
      <x:c r="AA347" s="6" t="n">
        <x:f>AF346</x:f>
        <x:v>0</x:v>
      </x:c>
      <x:c r="AB347" s="6" t="n">
        <x:f>ROUND(AA347*'Debt strategy'!$D$13/12,2)</x:f>
        <x:v>0</x:v>
      </x:c>
      <x:c r="AC347" s="6" t="n">
        <x:f>MIN(AA347+AB347,'Debt strategy'!$E$13)</x:f>
        <x:v>0</x:v>
      </x:c>
      <x:c r="AD347" s="27" t="n">
        <x:f>IF(AA347+AB347-AC347&lt;=0,99,1+SUM(IF(AND(C347+D347-E347&gt;0,OR('Debt strategy'!$D$9&gt;'Debt strategy'!$D$13,AND('Debt strategy'!$D$9='Debt strategy'!$D$13,0&lt;4))),1,0),IF(AND(I347+J347-K347&gt;0,OR('Debt strategy'!$D$10&gt;'Debt strategy'!$D$13,AND('Debt strategy'!$D$10='Debt strategy'!$D$13,1&lt;4))),1,0),IF(AND(O347+P347-Q347&gt;0,OR('Debt strategy'!$D$11&gt;'Debt strategy'!$D$13,AND('Debt strategy'!$D$11='Debt strategy'!$D$13,2&lt;4))),1,0),IF(AND(U347+V347-W347&gt;0,OR('Debt strategy'!$D$12&gt;'Debt strategy'!$D$13,AND('Debt strategy'!$D$12='Debt strategy'!$D$13,3&lt;4))),1,0)))</x:f>
        <x:v>99</x:v>
      </x:c>
      <x:c r="AE347" s="6" t="n">
        <x:f>IF('Debt strategy'!$C$16&gt;0,0,MIN(AA347+AB347-AC347,MAX(0,'Debt strategy'!$C$5-SUM(E347,K347,Q347,W347,AC347)-SUM(IF(F347&lt;AD347,C347+D347-E347,0),IF(L347&lt;AD347,I347+J347-K347,0),IF(R347&lt;AD347,O347+P347-Q347,0),IF(X347&lt;AD347,U347+V347-W347,0)))))</x:f>
        <x:v>0</x:v>
      </x:c>
      <x:c r="AF347" s="6" t="n">
        <x:f>ROUND(MAX(0,AA347+AB347-AC347-AE347),2)</x:f>
        <x:v>0</x:v>
      </x:c>
      <x:c r="AG347" s="6" t="n">
        <x:f>SUM(H347,N347,T347,Z347,AF347)</x:f>
        <x:v>0</x:v>
      </x:c>
      <x:c r="AH347" s="6" t="n">
        <x:f>SUM(D347,J347,P347,V347,AB347)+AH346</x:f>
        <x:v>1220.8400000000001</x:v>
      </x:c>
      <x:c r="AI347" s="2"/>
    </x:row>
    <x:row r="348" ht="23" customHeight="1">
      <x:c r="B348" s="2" t="n">
        <x:f>340</x:f>
        <x:v>340</x:v>
      </x:c>
      <x:c r="C348" s="6" t="n">
        <x:f>H347</x:f>
        <x:v>0</x:v>
      </x:c>
      <x:c r="D348" s="6" t="n">
        <x:f>ROUND(C348*'Debt strategy'!$D$9/12,2)</x:f>
        <x:v>0</x:v>
      </x:c>
      <x:c r="E348" s="6" t="n">
        <x:f>MIN(C348+D348,'Debt strategy'!$E$9)</x:f>
        <x:v>0</x:v>
      </x:c>
      <x:c r="F348" s="27" t="n">
        <x:f>IF(C348+D348-E348&lt;=0,99,1+SUM(IF(AND(I348+J348-K348&gt;0,OR('Debt strategy'!$D$10&gt;'Debt strategy'!$D$9,AND('Debt strategy'!$D$10='Debt strategy'!$D$9,1&lt;0))),1,0),IF(AND(O348+P348-Q348&gt;0,OR('Debt strategy'!$D$11&gt;'Debt strategy'!$D$9,AND('Debt strategy'!$D$11='Debt strategy'!$D$9,2&lt;0))),1,0),IF(AND(U348+V348-W348&gt;0,OR('Debt strategy'!$D$12&gt;'Debt strategy'!$D$9,AND('Debt strategy'!$D$12='Debt strategy'!$D$9,3&lt;0))),1,0),IF(AND(AA348+AB348-AC348&gt;0,OR('Debt strategy'!$D$13&gt;'Debt strategy'!$D$9,AND('Debt strategy'!$D$13='Debt strategy'!$D$9,4&lt;0))),1,0)))</x:f>
        <x:v>99</x:v>
      </x:c>
      <x:c r="G348" s="6" t="n">
        <x:f>IF('Debt strategy'!$C$16&gt;0,0,MIN(C348+D348-E348,MAX(0,'Debt strategy'!$C$5-SUM(E348,K348,Q348,W348,AC348)-SUM(IF(L348&lt;F348,I348+J348-K348,0),IF(R348&lt;F348,O348+P348-Q348,0),IF(X348&lt;F348,U348+V348-W348,0),IF(AD348&lt;F348,AA348+AB348-AC348,0)))))</x:f>
        <x:v>0</x:v>
      </x:c>
      <x:c r="H348" s="6" t="n">
        <x:f>ROUND(MAX(0,C348+D348-E348-G348),2)</x:f>
        <x:v>0</x:v>
      </x:c>
      <x:c r="I348" s="6" t="n">
        <x:f>N347</x:f>
        <x:v>0</x:v>
      </x:c>
      <x:c r="J348" s="6" t="n">
        <x:f>ROUND(I348*'Debt strategy'!$D$10/12,2)</x:f>
        <x:v>0</x:v>
      </x:c>
      <x:c r="K348" s="6" t="n">
        <x:f>MIN(I348+J348,'Debt strategy'!$E$10)</x:f>
        <x:v>0</x:v>
      </x:c>
      <x:c r="L348" s="27" t="n">
        <x:f>IF(I348+J348-K348&lt;=0,99,1+SUM(IF(AND(C348+D348-E348&gt;0,OR('Debt strategy'!$D$9&gt;'Debt strategy'!$D$10,AND('Debt strategy'!$D$9='Debt strategy'!$D$10,0&lt;1))),1,0),IF(AND(O348+P348-Q348&gt;0,OR('Debt strategy'!$D$11&gt;'Debt strategy'!$D$10,AND('Debt strategy'!$D$11='Debt strategy'!$D$10,2&lt;1))),1,0),IF(AND(U348+V348-W348&gt;0,OR('Debt strategy'!$D$12&gt;'Debt strategy'!$D$10,AND('Debt strategy'!$D$12='Debt strategy'!$D$10,3&lt;1))),1,0),IF(AND(AA348+AB348-AC348&gt;0,OR('Debt strategy'!$D$13&gt;'Debt strategy'!$D$10,AND('Debt strategy'!$D$13='Debt strategy'!$D$10,4&lt;1))),1,0)))</x:f>
        <x:v>99</x:v>
      </x:c>
      <x:c r="M348" s="6" t="n">
        <x:f>IF('Debt strategy'!$C$16&gt;0,0,MIN(I348+J348-K348,MAX(0,'Debt strategy'!$C$5-SUM(E348,K348,Q348,W348,AC348)-SUM(IF(F348&lt;L348,C348+D348-E348,0),IF(R348&lt;L348,O348+P348-Q348,0),IF(X348&lt;L348,U348+V348-W348,0),IF(AD348&lt;L348,AA348+AB348-AC348,0)))))</x:f>
        <x:v>0</x:v>
      </x:c>
      <x:c r="N348" s="6" t="n">
        <x:f>ROUND(MAX(0,I348+J348-K348-M348),2)</x:f>
        <x:v>0</x:v>
      </x:c>
      <x:c r="O348" s="6" t="n">
        <x:f>T347</x:f>
        <x:v>0</x:v>
      </x:c>
      <x:c r="P348" s="6" t="n">
        <x:f>ROUND(O348*'Debt strategy'!$D$11/12,2)</x:f>
        <x:v>0</x:v>
      </x:c>
      <x:c r="Q348" s="6" t="n">
        <x:f>MIN(O348+P348,'Debt strategy'!$E$11)</x:f>
        <x:v>0</x:v>
      </x:c>
      <x:c r="R348" s="27" t="n">
        <x:f>IF(O348+P348-Q348&lt;=0,99,1+SUM(IF(AND(C348+D348-E348&gt;0,OR('Debt strategy'!$D$9&gt;'Debt strategy'!$D$11,AND('Debt strategy'!$D$9='Debt strategy'!$D$11,0&lt;2))),1,0),IF(AND(I348+J348-K348&gt;0,OR('Debt strategy'!$D$10&gt;'Debt strategy'!$D$11,AND('Debt strategy'!$D$10='Debt strategy'!$D$11,1&lt;2))),1,0),IF(AND(U348+V348-W348&gt;0,OR('Debt strategy'!$D$12&gt;'Debt strategy'!$D$11,AND('Debt strategy'!$D$12='Debt strategy'!$D$11,3&lt;2))),1,0),IF(AND(AA348+AB348-AC348&gt;0,OR('Debt strategy'!$D$13&gt;'Debt strategy'!$D$11,AND('Debt strategy'!$D$13='Debt strategy'!$D$11,4&lt;2))),1,0)))</x:f>
        <x:v>99</x:v>
      </x:c>
      <x:c r="S348" s="6" t="n">
        <x:f>IF('Debt strategy'!$C$16&gt;0,0,MIN(O348+P348-Q348,MAX(0,'Debt strategy'!$C$5-SUM(E348,K348,Q348,W348,AC348)-SUM(IF(F348&lt;R348,C348+D348-E348,0),IF(L348&lt;R348,I348+J348-K348,0),IF(X348&lt;R348,U348+V348-W348,0),IF(AD348&lt;R348,AA348+AB348-AC348,0)))))</x:f>
        <x:v>0</x:v>
      </x:c>
      <x:c r="T348" s="6" t="n">
        <x:f>ROUND(MAX(0,O348+P348-Q348-S348),2)</x:f>
        <x:v>0</x:v>
      </x:c>
      <x:c r="U348" s="6" t="n">
        <x:f>Z347</x:f>
        <x:v>0</x:v>
      </x:c>
      <x:c r="V348" s="6" t="n">
        <x:f>ROUND(U348*'Debt strategy'!$D$12/12,2)</x:f>
        <x:v>0</x:v>
      </x:c>
      <x:c r="W348" s="6" t="n">
        <x:f>MIN(U348+V348,'Debt strategy'!$E$12)</x:f>
        <x:v>0</x:v>
      </x:c>
      <x:c r="X348" s="27" t="n">
        <x:f>IF(U348+V348-W348&lt;=0,99,1+SUM(IF(AND(C348+D348-E348&gt;0,OR('Debt strategy'!$D$9&gt;'Debt strategy'!$D$12,AND('Debt strategy'!$D$9='Debt strategy'!$D$12,0&lt;3))),1,0),IF(AND(I348+J348-K348&gt;0,OR('Debt strategy'!$D$10&gt;'Debt strategy'!$D$12,AND('Debt strategy'!$D$10='Debt strategy'!$D$12,1&lt;3))),1,0),IF(AND(O348+P348-Q348&gt;0,OR('Debt strategy'!$D$11&gt;'Debt strategy'!$D$12,AND('Debt strategy'!$D$11='Debt strategy'!$D$12,2&lt;3))),1,0),IF(AND(AA348+AB348-AC348&gt;0,OR('Debt strategy'!$D$13&gt;'Debt strategy'!$D$12,AND('Debt strategy'!$D$13='Debt strategy'!$D$12,4&lt;3))),1,0)))</x:f>
        <x:v>99</x:v>
      </x:c>
      <x:c r="Y348" s="6" t="n">
        <x:f>IF('Debt strategy'!$C$16&gt;0,0,MIN(U348+V348-W348,MAX(0,'Debt strategy'!$C$5-SUM(E348,K348,Q348,W348,AC348)-SUM(IF(F348&lt;X348,C348+D348-E348,0),IF(L348&lt;X348,I348+J348-K348,0),IF(R348&lt;X348,O348+P348-Q348,0),IF(AD348&lt;X348,AA348+AB348-AC348,0)))))</x:f>
        <x:v>0</x:v>
      </x:c>
      <x:c r="Z348" s="6" t="n">
        <x:f>ROUND(MAX(0,U348+V348-W348-Y348),2)</x:f>
        <x:v>0</x:v>
      </x:c>
      <x:c r="AA348" s="6" t="n">
        <x:f>AF347</x:f>
        <x:v>0</x:v>
      </x:c>
      <x:c r="AB348" s="6" t="n">
        <x:f>ROUND(AA348*'Debt strategy'!$D$13/12,2)</x:f>
        <x:v>0</x:v>
      </x:c>
      <x:c r="AC348" s="6" t="n">
        <x:f>MIN(AA348+AB348,'Debt strategy'!$E$13)</x:f>
        <x:v>0</x:v>
      </x:c>
      <x:c r="AD348" s="27" t="n">
        <x:f>IF(AA348+AB348-AC348&lt;=0,99,1+SUM(IF(AND(C348+D348-E348&gt;0,OR('Debt strategy'!$D$9&gt;'Debt strategy'!$D$13,AND('Debt strategy'!$D$9='Debt strategy'!$D$13,0&lt;4))),1,0),IF(AND(I348+J348-K348&gt;0,OR('Debt strategy'!$D$10&gt;'Debt strategy'!$D$13,AND('Debt strategy'!$D$10='Debt strategy'!$D$13,1&lt;4))),1,0),IF(AND(O348+P348-Q348&gt;0,OR('Debt strategy'!$D$11&gt;'Debt strategy'!$D$13,AND('Debt strategy'!$D$11='Debt strategy'!$D$13,2&lt;4))),1,0),IF(AND(U348+V348-W348&gt;0,OR('Debt strategy'!$D$12&gt;'Debt strategy'!$D$13,AND('Debt strategy'!$D$12='Debt strategy'!$D$13,3&lt;4))),1,0)))</x:f>
        <x:v>99</x:v>
      </x:c>
      <x:c r="AE348" s="6" t="n">
        <x:f>IF('Debt strategy'!$C$16&gt;0,0,MIN(AA348+AB348-AC348,MAX(0,'Debt strategy'!$C$5-SUM(E348,K348,Q348,W348,AC348)-SUM(IF(F348&lt;AD348,C348+D348-E348,0),IF(L348&lt;AD348,I348+J348-K348,0),IF(R348&lt;AD348,O348+P348-Q348,0),IF(X348&lt;AD348,U348+V348-W348,0)))))</x:f>
        <x:v>0</x:v>
      </x:c>
      <x:c r="AF348" s="6" t="n">
        <x:f>ROUND(MAX(0,AA348+AB348-AC348-AE348),2)</x:f>
        <x:v>0</x:v>
      </x:c>
      <x:c r="AG348" s="6" t="n">
        <x:f>SUM(H348,N348,T348,Z348,AF348)</x:f>
        <x:v>0</x:v>
      </x:c>
      <x:c r="AH348" s="6" t="n">
        <x:f>SUM(D348,J348,P348,V348,AB348)+AH347</x:f>
        <x:v>1220.8400000000001</x:v>
      </x:c>
      <x:c r="AI348" s="2"/>
    </x:row>
    <x:row r="349" ht="23" customHeight="1">
      <x:c r="B349" s="2" t="n">
        <x:f>341</x:f>
        <x:v>341</x:v>
      </x:c>
      <x:c r="C349" s="6" t="n">
        <x:f>H348</x:f>
        <x:v>0</x:v>
      </x:c>
      <x:c r="D349" s="6" t="n">
        <x:f>ROUND(C349*'Debt strategy'!$D$9/12,2)</x:f>
        <x:v>0</x:v>
      </x:c>
      <x:c r="E349" s="6" t="n">
        <x:f>MIN(C349+D349,'Debt strategy'!$E$9)</x:f>
        <x:v>0</x:v>
      </x:c>
      <x:c r="F349" s="27" t="n">
        <x:f>IF(C349+D349-E349&lt;=0,99,1+SUM(IF(AND(I349+J349-K349&gt;0,OR('Debt strategy'!$D$10&gt;'Debt strategy'!$D$9,AND('Debt strategy'!$D$10='Debt strategy'!$D$9,1&lt;0))),1,0),IF(AND(O349+P349-Q349&gt;0,OR('Debt strategy'!$D$11&gt;'Debt strategy'!$D$9,AND('Debt strategy'!$D$11='Debt strategy'!$D$9,2&lt;0))),1,0),IF(AND(U349+V349-W349&gt;0,OR('Debt strategy'!$D$12&gt;'Debt strategy'!$D$9,AND('Debt strategy'!$D$12='Debt strategy'!$D$9,3&lt;0))),1,0),IF(AND(AA349+AB349-AC349&gt;0,OR('Debt strategy'!$D$13&gt;'Debt strategy'!$D$9,AND('Debt strategy'!$D$13='Debt strategy'!$D$9,4&lt;0))),1,0)))</x:f>
        <x:v>99</x:v>
      </x:c>
      <x:c r="G349" s="6" t="n">
        <x:f>IF('Debt strategy'!$C$16&gt;0,0,MIN(C349+D349-E349,MAX(0,'Debt strategy'!$C$5-SUM(E349,K349,Q349,W349,AC349)-SUM(IF(L349&lt;F349,I349+J349-K349,0),IF(R349&lt;F349,O349+P349-Q349,0),IF(X349&lt;F349,U349+V349-W349,0),IF(AD349&lt;F349,AA349+AB349-AC349,0)))))</x:f>
        <x:v>0</x:v>
      </x:c>
      <x:c r="H349" s="6" t="n">
        <x:f>ROUND(MAX(0,C349+D349-E349-G349),2)</x:f>
        <x:v>0</x:v>
      </x:c>
      <x:c r="I349" s="6" t="n">
        <x:f>N348</x:f>
        <x:v>0</x:v>
      </x:c>
      <x:c r="J349" s="6" t="n">
        <x:f>ROUND(I349*'Debt strategy'!$D$10/12,2)</x:f>
        <x:v>0</x:v>
      </x:c>
      <x:c r="K349" s="6" t="n">
        <x:f>MIN(I349+J349,'Debt strategy'!$E$10)</x:f>
        <x:v>0</x:v>
      </x:c>
      <x:c r="L349" s="27" t="n">
        <x:f>IF(I349+J349-K349&lt;=0,99,1+SUM(IF(AND(C349+D349-E349&gt;0,OR('Debt strategy'!$D$9&gt;'Debt strategy'!$D$10,AND('Debt strategy'!$D$9='Debt strategy'!$D$10,0&lt;1))),1,0),IF(AND(O349+P349-Q349&gt;0,OR('Debt strategy'!$D$11&gt;'Debt strategy'!$D$10,AND('Debt strategy'!$D$11='Debt strategy'!$D$10,2&lt;1))),1,0),IF(AND(U349+V349-W349&gt;0,OR('Debt strategy'!$D$12&gt;'Debt strategy'!$D$10,AND('Debt strategy'!$D$12='Debt strategy'!$D$10,3&lt;1))),1,0),IF(AND(AA349+AB349-AC349&gt;0,OR('Debt strategy'!$D$13&gt;'Debt strategy'!$D$10,AND('Debt strategy'!$D$13='Debt strategy'!$D$10,4&lt;1))),1,0)))</x:f>
        <x:v>99</x:v>
      </x:c>
      <x:c r="M349" s="6" t="n">
        <x:f>IF('Debt strategy'!$C$16&gt;0,0,MIN(I349+J349-K349,MAX(0,'Debt strategy'!$C$5-SUM(E349,K349,Q349,W349,AC349)-SUM(IF(F349&lt;L349,C349+D349-E349,0),IF(R349&lt;L349,O349+P349-Q349,0),IF(X349&lt;L349,U349+V349-W349,0),IF(AD349&lt;L349,AA349+AB349-AC349,0)))))</x:f>
        <x:v>0</x:v>
      </x:c>
      <x:c r="N349" s="6" t="n">
        <x:f>ROUND(MAX(0,I349+J349-K349-M349),2)</x:f>
        <x:v>0</x:v>
      </x:c>
      <x:c r="O349" s="6" t="n">
        <x:f>T348</x:f>
        <x:v>0</x:v>
      </x:c>
      <x:c r="P349" s="6" t="n">
        <x:f>ROUND(O349*'Debt strategy'!$D$11/12,2)</x:f>
        <x:v>0</x:v>
      </x:c>
      <x:c r="Q349" s="6" t="n">
        <x:f>MIN(O349+P349,'Debt strategy'!$E$11)</x:f>
        <x:v>0</x:v>
      </x:c>
      <x:c r="R349" s="27" t="n">
        <x:f>IF(O349+P349-Q349&lt;=0,99,1+SUM(IF(AND(C349+D349-E349&gt;0,OR('Debt strategy'!$D$9&gt;'Debt strategy'!$D$11,AND('Debt strategy'!$D$9='Debt strategy'!$D$11,0&lt;2))),1,0),IF(AND(I349+J349-K349&gt;0,OR('Debt strategy'!$D$10&gt;'Debt strategy'!$D$11,AND('Debt strategy'!$D$10='Debt strategy'!$D$11,1&lt;2))),1,0),IF(AND(U349+V349-W349&gt;0,OR('Debt strategy'!$D$12&gt;'Debt strategy'!$D$11,AND('Debt strategy'!$D$12='Debt strategy'!$D$11,3&lt;2))),1,0),IF(AND(AA349+AB349-AC349&gt;0,OR('Debt strategy'!$D$13&gt;'Debt strategy'!$D$11,AND('Debt strategy'!$D$13='Debt strategy'!$D$11,4&lt;2))),1,0)))</x:f>
        <x:v>99</x:v>
      </x:c>
      <x:c r="S349" s="6" t="n">
        <x:f>IF('Debt strategy'!$C$16&gt;0,0,MIN(O349+P349-Q349,MAX(0,'Debt strategy'!$C$5-SUM(E349,K349,Q349,W349,AC349)-SUM(IF(F349&lt;R349,C349+D349-E349,0),IF(L349&lt;R349,I349+J349-K349,0),IF(X349&lt;R349,U349+V349-W349,0),IF(AD349&lt;R349,AA349+AB349-AC349,0)))))</x:f>
        <x:v>0</x:v>
      </x:c>
      <x:c r="T349" s="6" t="n">
        <x:f>ROUND(MAX(0,O349+P349-Q349-S349),2)</x:f>
        <x:v>0</x:v>
      </x:c>
      <x:c r="U349" s="6" t="n">
        <x:f>Z348</x:f>
        <x:v>0</x:v>
      </x:c>
      <x:c r="V349" s="6" t="n">
        <x:f>ROUND(U349*'Debt strategy'!$D$12/12,2)</x:f>
        <x:v>0</x:v>
      </x:c>
      <x:c r="W349" s="6" t="n">
        <x:f>MIN(U349+V349,'Debt strategy'!$E$12)</x:f>
        <x:v>0</x:v>
      </x:c>
      <x:c r="X349" s="27" t="n">
        <x:f>IF(U349+V349-W349&lt;=0,99,1+SUM(IF(AND(C349+D349-E349&gt;0,OR('Debt strategy'!$D$9&gt;'Debt strategy'!$D$12,AND('Debt strategy'!$D$9='Debt strategy'!$D$12,0&lt;3))),1,0),IF(AND(I349+J349-K349&gt;0,OR('Debt strategy'!$D$10&gt;'Debt strategy'!$D$12,AND('Debt strategy'!$D$10='Debt strategy'!$D$12,1&lt;3))),1,0),IF(AND(O349+P349-Q349&gt;0,OR('Debt strategy'!$D$11&gt;'Debt strategy'!$D$12,AND('Debt strategy'!$D$11='Debt strategy'!$D$12,2&lt;3))),1,0),IF(AND(AA349+AB349-AC349&gt;0,OR('Debt strategy'!$D$13&gt;'Debt strategy'!$D$12,AND('Debt strategy'!$D$13='Debt strategy'!$D$12,4&lt;3))),1,0)))</x:f>
        <x:v>99</x:v>
      </x:c>
      <x:c r="Y349" s="6" t="n">
        <x:f>IF('Debt strategy'!$C$16&gt;0,0,MIN(U349+V349-W349,MAX(0,'Debt strategy'!$C$5-SUM(E349,K349,Q349,W349,AC349)-SUM(IF(F349&lt;X349,C349+D349-E349,0),IF(L349&lt;X349,I349+J349-K349,0),IF(R349&lt;X349,O349+P349-Q349,0),IF(AD349&lt;X349,AA349+AB349-AC349,0)))))</x:f>
        <x:v>0</x:v>
      </x:c>
      <x:c r="Z349" s="6" t="n">
        <x:f>ROUND(MAX(0,U349+V349-W349-Y349),2)</x:f>
        <x:v>0</x:v>
      </x:c>
      <x:c r="AA349" s="6" t="n">
        <x:f>AF348</x:f>
        <x:v>0</x:v>
      </x:c>
      <x:c r="AB349" s="6" t="n">
        <x:f>ROUND(AA349*'Debt strategy'!$D$13/12,2)</x:f>
        <x:v>0</x:v>
      </x:c>
      <x:c r="AC349" s="6" t="n">
        <x:f>MIN(AA349+AB349,'Debt strategy'!$E$13)</x:f>
        <x:v>0</x:v>
      </x:c>
      <x:c r="AD349" s="27" t="n">
        <x:f>IF(AA349+AB349-AC349&lt;=0,99,1+SUM(IF(AND(C349+D349-E349&gt;0,OR('Debt strategy'!$D$9&gt;'Debt strategy'!$D$13,AND('Debt strategy'!$D$9='Debt strategy'!$D$13,0&lt;4))),1,0),IF(AND(I349+J349-K349&gt;0,OR('Debt strategy'!$D$10&gt;'Debt strategy'!$D$13,AND('Debt strategy'!$D$10='Debt strategy'!$D$13,1&lt;4))),1,0),IF(AND(O349+P349-Q349&gt;0,OR('Debt strategy'!$D$11&gt;'Debt strategy'!$D$13,AND('Debt strategy'!$D$11='Debt strategy'!$D$13,2&lt;4))),1,0),IF(AND(U349+V349-W349&gt;0,OR('Debt strategy'!$D$12&gt;'Debt strategy'!$D$13,AND('Debt strategy'!$D$12='Debt strategy'!$D$13,3&lt;4))),1,0)))</x:f>
        <x:v>99</x:v>
      </x:c>
      <x:c r="AE349" s="6" t="n">
        <x:f>IF('Debt strategy'!$C$16&gt;0,0,MIN(AA349+AB349-AC349,MAX(0,'Debt strategy'!$C$5-SUM(E349,K349,Q349,W349,AC349)-SUM(IF(F349&lt;AD349,C349+D349-E349,0),IF(L349&lt;AD349,I349+J349-K349,0),IF(R349&lt;AD349,O349+P349-Q349,0),IF(X349&lt;AD349,U349+V349-W349,0)))))</x:f>
        <x:v>0</x:v>
      </x:c>
      <x:c r="AF349" s="6" t="n">
        <x:f>ROUND(MAX(0,AA349+AB349-AC349-AE349),2)</x:f>
        <x:v>0</x:v>
      </x:c>
      <x:c r="AG349" s="6" t="n">
        <x:f>SUM(H349,N349,T349,Z349,AF349)</x:f>
        <x:v>0</x:v>
      </x:c>
      <x:c r="AH349" s="6" t="n">
        <x:f>SUM(D349,J349,P349,V349,AB349)+AH348</x:f>
        <x:v>1220.8400000000001</x:v>
      </x:c>
      <x:c r="AI349" s="2"/>
    </x:row>
    <x:row r="350" ht="23" customHeight="1">
      <x:c r="B350" s="2" t="n">
        <x:f>342</x:f>
        <x:v>342</x:v>
      </x:c>
      <x:c r="C350" s="6" t="n">
        <x:f>H349</x:f>
        <x:v>0</x:v>
      </x:c>
      <x:c r="D350" s="6" t="n">
        <x:f>ROUND(C350*'Debt strategy'!$D$9/12,2)</x:f>
        <x:v>0</x:v>
      </x:c>
      <x:c r="E350" s="6" t="n">
        <x:f>MIN(C350+D350,'Debt strategy'!$E$9)</x:f>
        <x:v>0</x:v>
      </x:c>
      <x:c r="F350" s="27" t="n">
        <x:f>IF(C350+D350-E350&lt;=0,99,1+SUM(IF(AND(I350+J350-K350&gt;0,OR('Debt strategy'!$D$10&gt;'Debt strategy'!$D$9,AND('Debt strategy'!$D$10='Debt strategy'!$D$9,1&lt;0))),1,0),IF(AND(O350+P350-Q350&gt;0,OR('Debt strategy'!$D$11&gt;'Debt strategy'!$D$9,AND('Debt strategy'!$D$11='Debt strategy'!$D$9,2&lt;0))),1,0),IF(AND(U350+V350-W350&gt;0,OR('Debt strategy'!$D$12&gt;'Debt strategy'!$D$9,AND('Debt strategy'!$D$12='Debt strategy'!$D$9,3&lt;0))),1,0),IF(AND(AA350+AB350-AC350&gt;0,OR('Debt strategy'!$D$13&gt;'Debt strategy'!$D$9,AND('Debt strategy'!$D$13='Debt strategy'!$D$9,4&lt;0))),1,0)))</x:f>
        <x:v>99</x:v>
      </x:c>
      <x:c r="G350" s="6" t="n">
        <x:f>IF('Debt strategy'!$C$16&gt;0,0,MIN(C350+D350-E350,MAX(0,'Debt strategy'!$C$5-SUM(E350,K350,Q350,W350,AC350)-SUM(IF(L350&lt;F350,I350+J350-K350,0),IF(R350&lt;F350,O350+P350-Q350,0),IF(X350&lt;F350,U350+V350-W350,0),IF(AD350&lt;F350,AA350+AB350-AC350,0)))))</x:f>
        <x:v>0</x:v>
      </x:c>
      <x:c r="H350" s="6" t="n">
        <x:f>ROUND(MAX(0,C350+D350-E350-G350),2)</x:f>
        <x:v>0</x:v>
      </x:c>
      <x:c r="I350" s="6" t="n">
        <x:f>N349</x:f>
        <x:v>0</x:v>
      </x:c>
      <x:c r="J350" s="6" t="n">
        <x:f>ROUND(I350*'Debt strategy'!$D$10/12,2)</x:f>
        <x:v>0</x:v>
      </x:c>
      <x:c r="K350" s="6" t="n">
        <x:f>MIN(I350+J350,'Debt strategy'!$E$10)</x:f>
        <x:v>0</x:v>
      </x:c>
      <x:c r="L350" s="27" t="n">
        <x:f>IF(I350+J350-K350&lt;=0,99,1+SUM(IF(AND(C350+D350-E350&gt;0,OR('Debt strategy'!$D$9&gt;'Debt strategy'!$D$10,AND('Debt strategy'!$D$9='Debt strategy'!$D$10,0&lt;1))),1,0),IF(AND(O350+P350-Q350&gt;0,OR('Debt strategy'!$D$11&gt;'Debt strategy'!$D$10,AND('Debt strategy'!$D$11='Debt strategy'!$D$10,2&lt;1))),1,0),IF(AND(U350+V350-W350&gt;0,OR('Debt strategy'!$D$12&gt;'Debt strategy'!$D$10,AND('Debt strategy'!$D$12='Debt strategy'!$D$10,3&lt;1))),1,0),IF(AND(AA350+AB350-AC350&gt;0,OR('Debt strategy'!$D$13&gt;'Debt strategy'!$D$10,AND('Debt strategy'!$D$13='Debt strategy'!$D$10,4&lt;1))),1,0)))</x:f>
        <x:v>99</x:v>
      </x:c>
      <x:c r="M350" s="6" t="n">
        <x:f>IF('Debt strategy'!$C$16&gt;0,0,MIN(I350+J350-K350,MAX(0,'Debt strategy'!$C$5-SUM(E350,K350,Q350,W350,AC350)-SUM(IF(F350&lt;L350,C350+D350-E350,0),IF(R350&lt;L350,O350+P350-Q350,0),IF(X350&lt;L350,U350+V350-W350,0),IF(AD350&lt;L350,AA350+AB350-AC350,0)))))</x:f>
        <x:v>0</x:v>
      </x:c>
      <x:c r="N350" s="6" t="n">
        <x:f>ROUND(MAX(0,I350+J350-K350-M350),2)</x:f>
        <x:v>0</x:v>
      </x:c>
      <x:c r="O350" s="6" t="n">
        <x:f>T349</x:f>
        <x:v>0</x:v>
      </x:c>
      <x:c r="P350" s="6" t="n">
        <x:f>ROUND(O350*'Debt strategy'!$D$11/12,2)</x:f>
        <x:v>0</x:v>
      </x:c>
      <x:c r="Q350" s="6" t="n">
        <x:f>MIN(O350+P350,'Debt strategy'!$E$11)</x:f>
        <x:v>0</x:v>
      </x:c>
      <x:c r="R350" s="27" t="n">
        <x:f>IF(O350+P350-Q350&lt;=0,99,1+SUM(IF(AND(C350+D350-E350&gt;0,OR('Debt strategy'!$D$9&gt;'Debt strategy'!$D$11,AND('Debt strategy'!$D$9='Debt strategy'!$D$11,0&lt;2))),1,0),IF(AND(I350+J350-K350&gt;0,OR('Debt strategy'!$D$10&gt;'Debt strategy'!$D$11,AND('Debt strategy'!$D$10='Debt strategy'!$D$11,1&lt;2))),1,0),IF(AND(U350+V350-W350&gt;0,OR('Debt strategy'!$D$12&gt;'Debt strategy'!$D$11,AND('Debt strategy'!$D$12='Debt strategy'!$D$11,3&lt;2))),1,0),IF(AND(AA350+AB350-AC350&gt;0,OR('Debt strategy'!$D$13&gt;'Debt strategy'!$D$11,AND('Debt strategy'!$D$13='Debt strategy'!$D$11,4&lt;2))),1,0)))</x:f>
        <x:v>99</x:v>
      </x:c>
      <x:c r="S350" s="6" t="n">
        <x:f>IF('Debt strategy'!$C$16&gt;0,0,MIN(O350+P350-Q350,MAX(0,'Debt strategy'!$C$5-SUM(E350,K350,Q350,W350,AC350)-SUM(IF(F350&lt;R350,C350+D350-E350,0),IF(L350&lt;R350,I350+J350-K350,0),IF(X350&lt;R350,U350+V350-W350,0),IF(AD350&lt;R350,AA350+AB350-AC350,0)))))</x:f>
        <x:v>0</x:v>
      </x:c>
      <x:c r="T350" s="6" t="n">
        <x:f>ROUND(MAX(0,O350+P350-Q350-S350),2)</x:f>
        <x:v>0</x:v>
      </x:c>
      <x:c r="U350" s="6" t="n">
        <x:f>Z349</x:f>
        <x:v>0</x:v>
      </x:c>
      <x:c r="V350" s="6" t="n">
        <x:f>ROUND(U350*'Debt strategy'!$D$12/12,2)</x:f>
        <x:v>0</x:v>
      </x:c>
      <x:c r="W350" s="6" t="n">
        <x:f>MIN(U350+V350,'Debt strategy'!$E$12)</x:f>
        <x:v>0</x:v>
      </x:c>
      <x:c r="X350" s="27" t="n">
        <x:f>IF(U350+V350-W350&lt;=0,99,1+SUM(IF(AND(C350+D350-E350&gt;0,OR('Debt strategy'!$D$9&gt;'Debt strategy'!$D$12,AND('Debt strategy'!$D$9='Debt strategy'!$D$12,0&lt;3))),1,0),IF(AND(I350+J350-K350&gt;0,OR('Debt strategy'!$D$10&gt;'Debt strategy'!$D$12,AND('Debt strategy'!$D$10='Debt strategy'!$D$12,1&lt;3))),1,0),IF(AND(O350+P350-Q350&gt;0,OR('Debt strategy'!$D$11&gt;'Debt strategy'!$D$12,AND('Debt strategy'!$D$11='Debt strategy'!$D$12,2&lt;3))),1,0),IF(AND(AA350+AB350-AC350&gt;0,OR('Debt strategy'!$D$13&gt;'Debt strategy'!$D$12,AND('Debt strategy'!$D$13='Debt strategy'!$D$12,4&lt;3))),1,0)))</x:f>
        <x:v>99</x:v>
      </x:c>
      <x:c r="Y350" s="6" t="n">
        <x:f>IF('Debt strategy'!$C$16&gt;0,0,MIN(U350+V350-W350,MAX(0,'Debt strategy'!$C$5-SUM(E350,K350,Q350,W350,AC350)-SUM(IF(F350&lt;X350,C350+D350-E350,0),IF(L350&lt;X350,I350+J350-K350,0),IF(R350&lt;X350,O350+P350-Q350,0),IF(AD350&lt;X350,AA350+AB350-AC350,0)))))</x:f>
        <x:v>0</x:v>
      </x:c>
      <x:c r="Z350" s="6" t="n">
        <x:f>ROUND(MAX(0,U350+V350-W350-Y350),2)</x:f>
        <x:v>0</x:v>
      </x:c>
      <x:c r="AA350" s="6" t="n">
        <x:f>AF349</x:f>
        <x:v>0</x:v>
      </x:c>
      <x:c r="AB350" s="6" t="n">
        <x:f>ROUND(AA350*'Debt strategy'!$D$13/12,2)</x:f>
        <x:v>0</x:v>
      </x:c>
      <x:c r="AC350" s="6" t="n">
        <x:f>MIN(AA350+AB350,'Debt strategy'!$E$13)</x:f>
        <x:v>0</x:v>
      </x:c>
      <x:c r="AD350" s="27" t="n">
        <x:f>IF(AA350+AB350-AC350&lt;=0,99,1+SUM(IF(AND(C350+D350-E350&gt;0,OR('Debt strategy'!$D$9&gt;'Debt strategy'!$D$13,AND('Debt strategy'!$D$9='Debt strategy'!$D$13,0&lt;4))),1,0),IF(AND(I350+J350-K350&gt;0,OR('Debt strategy'!$D$10&gt;'Debt strategy'!$D$13,AND('Debt strategy'!$D$10='Debt strategy'!$D$13,1&lt;4))),1,0),IF(AND(O350+P350-Q350&gt;0,OR('Debt strategy'!$D$11&gt;'Debt strategy'!$D$13,AND('Debt strategy'!$D$11='Debt strategy'!$D$13,2&lt;4))),1,0),IF(AND(U350+V350-W350&gt;0,OR('Debt strategy'!$D$12&gt;'Debt strategy'!$D$13,AND('Debt strategy'!$D$12='Debt strategy'!$D$13,3&lt;4))),1,0)))</x:f>
        <x:v>99</x:v>
      </x:c>
      <x:c r="AE350" s="6" t="n">
        <x:f>IF('Debt strategy'!$C$16&gt;0,0,MIN(AA350+AB350-AC350,MAX(0,'Debt strategy'!$C$5-SUM(E350,K350,Q350,W350,AC350)-SUM(IF(F350&lt;AD350,C350+D350-E350,0),IF(L350&lt;AD350,I350+J350-K350,0),IF(R350&lt;AD350,O350+P350-Q350,0),IF(X350&lt;AD350,U350+V350-W350,0)))))</x:f>
        <x:v>0</x:v>
      </x:c>
      <x:c r="AF350" s="6" t="n">
        <x:f>ROUND(MAX(0,AA350+AB350-AC350-AE350),2)</x:f>
        <x:v>0</x:v>
      </x:c>
      <x:c r="AG350" s="6" t="n">
        <x:f>SUM(H350,N350,T350,Z350,AF350)</x:f>
        <x:v>0</x:v>
      </x:c>
      <x:c r="AH350" s="6" t="n">
        <x:f>SUM(D350,J350,P350,V350,AB350)+AH349</x:f>
        <x:v>1220.8400000000001</x:v>
      </x:c>
      <x:c r="AI350" s="2"/>
    </x:row>
    <x:row r="351" ht="23" customHeight="1">
      <x:c r="B351" s="2" t="n">
        <x:f>343</x:f>
        <x:v>343</x:v>
      </x:c>
      <x:c r="C351" s="6" t="n">
        <x:f>H350</x:f>
        <x:v>0</x:v>
      </x:c>
      <x:c r="D351" s="6" t="n">
        <x:f>ROUND(C351*'Debt strategy'!$D$9/12,2)</x:f>
        <x:v>0</x:v>
      </x:c>
      <x:c r="E351" s="6" t="n">
        <x:f>MIN(C351+D351,'Debt strategy'!$E$9)</x:f>
        <x:v>0</x:v>
      </x:c>
      <x:c r="F351" s="27" t="n">
        <x:f>IF(C351+D351-E351&lt;=0,99,1+SUM(IF(AND(I351+J351-K351&gt;0,OR('Debt strategy'!$D$10&gt;'Debt strategy'!$D$9,AND('Debt strategy'!$D$10='Debt strategy'!$D$9,1&lt;0))),1,0),IF(AND(O351+P351-Q351&gt;0,OR('Debt strategy'!$D$11&gt;'Debt strategy'!$D$9,AND('Debt strategy'!$D$11='Debt strategy'!$D$9,2&lt;0))),1,0),IF(AND(U351+V351-W351&gt;0,OR('Debt strategy'!$D$12&gt;'Debt strategy'!$D$9,AND('Debt strategy'!$D$12='Debt strategy'!$D$9,3&lt;0))),1,0),IF(AND(AA351+AB351-AC351&gt;0,OR('Debt strategy'!$D$13&gt;'Debt strategy'!$D$9,AND('Debt strategy'!$D$13='Debt strategy'!$D$9,4&lt;0))),1,0)))</x:f>
        <x:v>99</x:v>
      </x:c>
      <x:c r="G351" s="6" t="n">
        <x:f>IF('Debt strategy'!$C$16&gt;0,0,MIN(C351+D351-E351,MAX(0,'Debt strategy'!$C$5-SUM(E351,K351,Q351,W351,AC351)-SUM(IF(L351&lt;F351,I351+J351-K351,0),IF(R351&lt;F351,O351+P351-Q351,0),IF(X351&lt;F351,U351+V351-W351,0),IF(AD351&lt;F351,AA351+AB351-AC351,0)))))</x:f>
        <x:v>0</x:v>
      </x:c>
      <x:c r="H351" s="6" t="n">
        <x:f>ROUND(MAX(0,C351+D351-E351-G351),2)</x:f>
        <x:v>0</x:v>
      </x:c>
      <x:c r="I351" s="6" t="n">
        <x:f>N350</x:f>
        <x:v>0</x:v>
      </x:c>
      <x:c r="J351" s="6" t="n">
        <x:f>ROUND(I351*'Debt strategy'!$D$10/12,2)</x:f>
        <x:v>0</x:v>
      </x:c>
      <x:c r="K351" s="6" t="n">
        <x:f>MIN(I351+J351,'Debt strategy'!$E$10)</x:f>
        <x:v>0</x:v>
      </x:c>
      <x:c r="L351" s="27" t="n">
        <x:f>IF(I351+J351-K351&lt;=0,99,1+SUM(IF(AND(C351+D351-E351&gt;0,OR('Debt strategy'!$D$9&gt;'Debt strategy'!$D$10,AND('Debt strategy'!$D$9='Debt strategy'!$D$10,0&lt;1))),1,0),IF(AND(O351+P351-Q351&gt;0,OR('Debt strategy'!$D$11&gt;'Debt strategy'!$D$10,AND('Debt strategy'!$D$11='Debt strategy'!$D$10,2&lt;1))),1,0),IF(AND(U351+V351-W351&gt;0,OR('Debt strategy'!$D$12&gt;'Debt strategy'!$D$10,AND('Debt strategy'!$D$12='Debt strategy'!$D$10,3&lt;1))),1,0),IF(AND(AA351+AB351-AC351&gt;0,OR('Debt strategy'!$D$13&gt;'Debt strategy'!$D$10,AND('Debt strategy'!$D$13='Debt strategy'!$D$10,4&lt;1))),1,0)))</x:f>
        <x:v>99</x:v>
      </x:c>
      <x:c r="M351" s="6" t="n">
        <x:f>IF('Debt strategy'!$C$16&gt;0,0,MIN(I351+J351-K351,MAX(0,'Debt strategy'!$C$5-SUM(E351,K351,Q351,W351,AC351)-SUM(IF(F351&lt;L351,C351+D351-E351,0),IF(R351&lt;L351,O351+P351-Q351,0),IF(X351&lt;L351,U351+V351-W351,0),IF(AD351&lt;L351,AA351+AB351-AC351,0)))))</x:f>
        <x:v>0</x:v>
      </x:c>
      <x:c r="N351" s="6" t="n">
        <x:f>ROUND(MAX(0,I351+J351-K351-M351),2)</x:f>
        <x:v>0</x:v>
      </x:c>
      <x:c r="O351" s="6" t="n">
        <x:f>T350</x:f>
        <x:v>0</x:v>
      </x:c>
      <x:c r="P351" s="6" t="n">
        <x:f>ROUND(O351*'Debt strategy'!$D$11/12,2)</x:f>
        <x:v>0</x:v>
      </x:c>
      <x:c r="Q351" s="6" t="n">
        <x:f>MIN(O351+P351,'Debt strategy'!$E$11)</x:f>
        <x:v>0</x:v>
      </x:c>
      <x:c r="R351" s="27" t="n">
        <x:f>IF(O351+P351-Q351&lt;=0,99,1+SUM(IF(AND(C351+D351-E351&gt;0,OR('Debt strategy'!$D$9&gt;'Debt strategy'!$D$11,AND('Debt strategy'!$D$9='Debt strategy'!$D$11,0&lt;2))),1,0),IF(AND(I351+J351-K351&gt;0,OR('Debt strategy'!$D$10&gt;'Debt strategy'!$D$11,AND('Debt strategy'!$D$10='Debt strategy'!$D$11,1&lt;2))),1,0),IF(AND(U351+V351-W351&gt;0,OR('Debt strategy'!$D$12&gt;'Debt strategy'!$D$11,AND('Debt strategy'!$D$12='Debt strategy'!$D$11,3&lt;2))),1,0),IF(AND(AA351+AB351-AC351&gt;0,OR('Debt strategy'!$D$13&gt;'Debt strategy'!$D$11,AND('Debt strategy'!$D$13='Debt strategy'!$D$11,4&lt;2))),1,0)))</x:f>
        <x:v>99</x:v>
      </x:c>
      <x:c r="S351" s="6" t="n">
        <x:f>IF('Debt strategy'!$C$16&gt;0,0,MIN(O351+P351-Q351,MAX(0,'Debt strategy'!$C$5-SUM(E351,K351,Q351,W351,AC351)-SUM(IF(F351&lt;R351,C351+D351-E351,0),IF(L351&lt;R351,I351+J351-K351,0),IF(X351&lt;R351,U351+V351-W351,0),IF(AD351&lt;R351,AA351+AB351-AC351,0)))))</x:f>
        <x:v>0</x:v>
      </x:c>
      <x:c r="T351" s="6" t="n">
        <x:f>ROUND(MAX(0,O351+P351-Q351-S351),2)</x:f>
        <x:v>0</x:v>
      </x:c>
      <x:c r="U351" s="6" t="n">
        <x:f>Z350</x:f>
        <x:v>0</x:v>
      </x:c>
      <x:c r="V351" s="6" t="n">
        <x:f>ROUND(U351*'Debt strategy'!$D$12/12,2)</x:f>
        <x:v>0</x:v>
      </x:c>
      <x:c r="W351" s="6" t="n">
        <x:f>MIN(U351+V351,'Debt strategy'!$E$12)</x:f>
        <x:v>0</x:v>
      </x:c>
      <x:c r="X351" s="27" t="n">
        <x:f>IF(U351+V351-W351&lt;=0,99,1+SUM(IF(AND(C351+D351-E351&gt;0,OR('Debt strategy'!$D$9&gt;'Debt strategy'!$D$12,AND('Debt strategy'!$D$9='Debt strategy'!$D$12,0&lt;3))),1,0),IF(AND(I351+J351-K351&gt;0,OR('Debt strategy'!$D$10&gt;'Debt strategy'!$D$12,AND('Debt strategy'!$D$10='Debt strategy'!$D$12,1&lt;3))),1,0),IF(AND(O351+P351-Q351&gt;0,OR('Debt strategy'!$D$11&gt;'Debt strategy'!$D$12,AND('Debt strategy'!$D$11='Debt strategy'!$D$12,2&lt;3))),1,0),IF(AND(AA351+AB351-AC351&gt;0,OR('Debt strategy'!$D$13&gt;'Debt strategy'!$D$12,AND('Debt strategy'!$D$13='Debt strategy'!$D$12,4&lt;3))),1,0)))</x:f>
        <x:v>99</x:v>
      </x:c>
      <x:c r="Y351" s="6" t="n">
        <x:f>IF('Debt strategy'!$C$16&gt;0,0,MIN(U351+V351-W351,MAX(0,'Debt strategy'!$C$5-SUM(E351,K351,Q351,W351,AC351)-SUM(IF(F351&lt;X351,C351+D351-E351,0),IF(L351&lt;X351,I351+J351-K351,0),IF(R351&lt;X351,O351+P351-Q351,0),IF(AD351&lt;X351,AA351+AB351-AC351,0)))))</x:f>
        <x:v>0</x:v>
      </x:c>
      <x:c r="Z351" s="6" t="n">
        <x:f>ROUND(MAX(0,U351+V351-W351-Y351),2)</x:f>
        <x:v>0</x:v>
      </x:c>
      <x:c r="AA351" s="6" t="n">
        <x:f>AF350</x:f>
        <x:v>0</x:v>
      </x:c>
      <x:c r="AB351" s="6" t="n">
        <x:f>ROUND(AA351*'Debt strategy'!$D$13/12,2)</x:f>
        <x:v>0</x:v>
      </x:c>
      <x:c r="AC351" s="6" t="n">
        <x:f>MIN(AA351+AB351,'Debt strategy'!$E$13)</x:f>
        <x:v>0</x:v>
      </x:c>
      <x:c r="AD351" s="27" t="n">
        <x:f>IF(AA351+AB351-AC351&lt;=0,99,1+SUM(IF(AND(C351+D351-E351&gt;0,OR('Debt strategy'!$D$9&gt;'Debt strategy'!$D$13,AND('Debt strategy'!$D$9='Debt strategy'!$D$13,0&lt;4))),1,0),IF(AND(I351+J351-K351&gt;0,OR('Debt strategy'!$D$10&gt;'Debt strategy'!$D$13,AND('Debt strategy'!$D$10='Debt strategy'!$D$13,1&lt;4))),1,0),IF(AND(O351+P351-Q351&gt;0,OR('Debt strategy'!$D$11&gt;'Debt strategy'!$D$13,AND('Debt strategy'!$D$11='Debt strategy'!$D$13,2&lt;4))),1,0),IF(AND(U351+V351-W351&gt;0,OR('Debt strategy'!$D$12&gt;'Debt strategy'!$D$13,AND('Debt strategy'!$D$12='Debt strategy'!$D$13,3&lt;4))),1,0)))</x:f>
        <x:v>99</x:v>
      </x:c>
      <x:c r="AE351" s="6" t="n">
        <x:f>IF('Debt strategy'!$C$16&gt;0,0,MIN(AA351+AB351-AC351,MAX(0,'Debt strategy'!$C$5-SUM(E351,K351,Q351,W351,AC351)-SUM(IF(F351&lt;AD351,C351+D351-E351,0),IF(L351&lt;AD351,I351+J351-K351,0),IF(R351&lt;AD351,O351+P351-Q351,0),IF(X351&lt;AD351,U351+V351-W351,0)))))</x:f>
        <x:v>0</x:v>
      </x:c>
      <x:c r="AF351" s="6" t="n">
        <x:f>ROUND(MAX(0,AA351+AB351-AC351-AE351),2)</x:f>
        <x:v>0</x:v>
      </x:c>
      <x:c r="AG351" s="6" t="n">
        <x:f>SUM(H351,N351,T351,Z351,AF351)</x:f>
        <x:v>0</x:v>
      </x:c>
      <x:c r="AH351" s="6" t="n">
        <x:f>SUM(D351,J351,P351,V351,AB351)+AH350</x:f>
        <x:v>1220.8400000000001</x:v>
      </x:c>
      <x:c r="AI351" s="2"/>
    </x:row>
    <x:row r="352" ht="23" customHeight="1">
      <x:c r="B352" s="2" t="n">
        <x:f>344</x:f>
        <x:v>344</x:v>
      </x:c>
      <x:c r="C352" s="6" t="n">
        <x:f>H351</x:f>
        <x:v>0</x:v>
      </x:c>
      <x:c r="D352" s="6" t="n">
        <x:f>ROUND(C352*'Debt strategy'!$D$9/12,2)</x:f>
        <x:v>0</x:v>
      </x:c>
      <x:c r="E352" s="6" t="n">
        <x:f>MIN(C352+D352,'Debt strategy'!$E$9)</x:f>
        <x:v>0</x:v>
      </x:c>
      <x:c r="F352" s="27" t="n">
        <x:f>IF(C352+D352-E352&lt;=0,99,1+SUM(IF(AND(I352+J352-K352&gt;0,OR('Debt strategy'!$D$10&gt;'Debt strategy'!$D$9,AND('Debt strategy'!$D$10='Debt strategy'!$D$9,1&lt;0))),1,0),IF(AND(O352+P352-Q352&gt;0,OR('Debt strategy'!$D$11&gt;'Debt strategy'!$D$9,AND('Debt strategy'!$D$11='Debt strategy'!$D$9,2&lt;0))),1,0),IF(AND(U352+V352-W352&gt;0,OR('Debt strategy'!$D$12&gt;'Debt strategy'!$D$9,AND('Debt strategy'!$D$12='Debt strategy'!$D$9,3&lt;0))),1,0),IF(AND(AA352+AB352-AC352&gt;0,OR('Debt strategy'!$D$13&gt;'Debt strategy'!$D$9,AND('Debt strategy'!$D$13='Debt strategy'!$D$9,4&lt;0))),1,0)))</x:f>
        <x:v>99</x:v>
      </x:c>
      <x:c r="G352" s="6" t="n">
        <x:f>IF('Debt strategy'!$C$16&gt;0,0,MIN(C352+D352-E352,MAX(0,'Debt strategy'!$C$5-SUM(E352,K352,Q352,W352,AC352)-SUM(IF(L352&lt;F352,I352+J352-K352,0),IF(R352&lt;F352,O352+P352-Q352,0),IF(X352&lt;F352,U352+V352-W352,0),IF(AD352&lt;F352,AA352+AB352-AC352,0)))))</x:f>
        <x:v>0</x:v>
      </x:c>
      <x:c r="H352" s="6" t="n">
        <x:f>ROUND(MAX(0,C352+D352-E352-G352),2)</x:f>
        <x:v>0</x:v>
      </x:c>
      <x:c r="I352" s="6" t="n">
        <x:f>N351</x:f>
        <x:v>0</x:v>
      </x:c>
      <x:c r="J352" s="6" t="n">
        <x:f>ROUND(I352*'Debt strategy'!$D$10/12,2)</x:f>
        <x:v>0</x:v>
      </x:c>
      <x:c r="K352" s="6" t="n">
        <x:f>MIN(I352+J352,'Debt strategy'!$E$10)</x:f>
        <x:v>0</x:v>
      </x:c>
      <x:c r="L352" s="27" t="n">
        <x:f>IF(I352+J352-K352&lt;=0,99,1+SUM(IF(AND(C352+D352-E352&gt;0,OR('Debt strategy'!$D$9&gt;'Debt strategy'!$D$10,AND('Debt strategy'!$D$9='Debt strategy'!$D$10,0&lt;1))),1,0),IF(AND(O352+P352-Q352&gt;0,OR('Debt strategy'!$D$11&gt;'Debt strategy'!$D$10,AND('Debt strategy'!$D$11='Debt strategy'!$D$10,2&lt;1))),1,0),IF(AND(U352+V352-W352&gt;0,OR('Debt strategy'!$D$12&gt;'Debt strategy'!$D$10,AND('Debt strategy'!$D$12='Debt strategy'!$D$10,3&lt;1))),1,0),IF(AND(AA352+AB352-AC352&gt;0,OR('Debt strategy'!$D$13&gt;'Debt strategy'!$D$10,AND('Debt strategy'!$D$13='Debt strategy'!$D$10,4&lt;1))),1,0)))</x:f>
        <x:v>99</x:v>
      </x:c>
      <x:c r="M352" s="6" t="n">
        <x:f>IF('Debt strategy'!$C$16&gt;0,0,MIN(I352+J352-K352,MAX(0,'Debt strategy'!$C$5-SUM(E352,K352,Q352,W352,AC352)-SUM(IF(F352&lt;L352,C352+D352-E352,0),IF(R352&lt;L352,O352+P352-Q352,0),IF(X352&lt;L352,U352+V352-W352,0),IF(AD352&lt;L352,AA352+AB352-AC352,0)))))</x:f>
        <x:v>0</x:v>
      </x:c>
      <x:c r="N352" s="6" t="n">
        <x:f>ROUND(MAX(0,I352+J352-K352-M352),2)</x:f>
        <x:v>0</x:v>
      </x:c>
      <x:c r="O352" s="6" t="n">
        <x:f>T351</x:f>
        <x:v>0</x:v>
      </x:c>
      <x:c r="P352" s="6" t="n">
        <x:f>ROUND(O352*'Debt strategy'!$D$11/12,2)</x:f>
        <x:v>0</x:v>
      </x:c>
      <x:c r="Q352" s="6" t="n">
        <x:f>MIN(O352+P352,'Debt strategy'!$E$11)</x:f>
        <x:v>0</x:v>
      </x:c>
      <x:c r="R352" s="27" t="n">
        <x:f>IF(O352+P352-Q352&lt;=0,99,1+SUM(IF(AND(C352+D352-E352&gt;0,OR('Debt strategy'!$D$9&gt;'Debt strategy'!$D$11,AND('Debt strategy'!$D$9='Debt strategy'!$D$11,0&lt;2))),1,0),IF(AND(I352+J352-K352&gt;0,OR('Debt strategy'!$D$10&gt;'Debt strategy'!$D$11,AND('Debt strategy'!$D$10='Debt strategy'!$D$11,1&lt;2))),1,0),IF(AND(U352+V352-W352&gt;0,OR('Debt strategy'!$D$12&gt;'Debt strategy'!$D$11,AND('Debt strategy'!$D$12='Debt strategy'!$D$11,3&lt;2))),1,0),IF(AND(AA352+AB352-AC352&gt;0,OR('Debt strategy'!$D$13&gt;'Debt strategy'!$D$11,AND('Debt strategy'!$D$13='Debt strategy'!$D$11,4&lt;2))),1,0)))</x:f>
        <x:v>99</x:v>
      </x:c>
      <x:c r="S352" s="6" t="n">
        <x:f>IF('Debt strategy'!$C$16&gt;0,0,MIN(O352+P352-Q352,MAX(0,'Debt strategy'!$C$5-SUM(E352,K352,Q352,W352,AC352)-SUM(IF(F352&lt;R352,C352+D352-E352,0),IF(L352&lt;R352,I352+J352-K352,0),IF(X352&lt;R352,U352+V352-W352,0),IF(AD352&lt;R352,AA352+AB352-AC352,0)))))</x:f>
        <x:v>0</x:v>
      </x:c>
      <x:c r="T352" s="6" t="n">
        <x:f>ROUND(MAX(0,O352+P352-Q352-S352),2)</x:f>
        <x:v>0</x:v>
      </x:c>
      <x:c r="U352" s="6" t="n">
        <x:f>Z351</x:f>
        <x:v>0</x:v>
      </x:c>
      <x:c r="V352" s="6" t="n">
        <x:f>ROUND(U352*'Debt strategy'!$D$12/12,2)</x:f>
        <x:v>0</x:v>
      </x:c>
      <x:c r="W352" s="6" t="n">
        <x:f>MIN(U352+V352,'Debt strategy'!$E$12)</x:f>
        <x:v>0</x:v>
      </x:c>
      <x:c r="X352" s="27" t="n">
        <x:f>IF(U352+V352-W352&lt;=0,99,1+SUM(IF(AND(C352+D352-E352&gt;0,OR('Debt strategy'!$D$9&gt;'Debt strategy'!$D$12,AND('Debt strategy'!$D$9='Debt strategy'!$D$12,0&lt;3))),1,0),IF(AND(I352+J352-K352&gt;0,OR('Debt strategy'!$D$10&gt;'Debt strategy'!$D$12,AND('Debt strategy'!$D$10='Debt strategy'!$D$12,1&lt;3))),1,0),IF(AND(O352+P352-Q352&gt;0,OR('Debt strategy'!$D$11&gt;'Debt strategy'!$D$12,AND('Debt strategy'!$D$11='Debt strategy'!$D$12,2&lt;3))),1,0),IF(AND(AA352+AB352-AC352&gt;0,OR('Debt strategy'!$D$13&gt;'Debt strategy'!$D$12,AND('Debt strategy'!$D$13='Debt strategy'!$D$12,4&lt;3))),1,0)))</x:f>
        <x:v>99</x:v>
      </x:c>
      <x:c r="Y352" s="6" t="n">
        <x:f>IF('Debt strategy'!$C$16&gt;0,0,MIN(U352+V352-W352,MAX(0,'Debt strategy'!$C$5-SUM(E352,K352,Q352,W352,AC352)-SUM(IF(F352&lt;X352,C352+D352-E352,0),IF(L352&lt;X352,I352+J352-K352,0),IF(R352&lt;X352,O352+P352-Q352,0),IF(AD352&lt;X352,AA352+AB352-AC352,0)))))</x:f>
        <x:v>0</x:v>
      </x:c>
      <x:c r="Z352" s="6" t="n">
        <x:f>ROUND(MAX(0,U352+V352-W352-Y352),2)</x:f>
        <x:v>0</x:v>
      </x:c>
      <x:c r="AA352" s="6" t="n">
        <x:f>AF351</x:f>
        <x:v>0</x:v>
      </x:c>
      <x:c r="AB352" s="6" t="n">
        <x:f>ROUND(AA352*'Debt strategy'!$D$13/12,2)</x:f>
        <x:v>0</x:v>
      </x:c>
      <x:c r="AC352" s="6" t="n">
        <x:f>MIN(AA352+AB352,'Debt strategy'!$E$13)</x:f>
        <x:v>0</x:v>
      </x:c>
      <x:c r="AD352" s="27" t="n">
        <x:f>IF(AA352+AB352-AC352&lt;=0,99,1+SUM(IF(AND(C352+D352-E352&gt;0,OR('Debt strategy'!$D$9&gt;'Debt strategy'!$D$13,AND('Debt strategy'!$D$9='Debt strategy'!$D$13,0&lt;4))),1,0),IF(AND(I352+J352-K352&gt;0,OR('Debt strategy'!$D$10&gt;'Debt strategy'!$D$13,AND('Debt strategy'!$D$10='Debt strategy'!$D$13,1&lt;4))),1,0),IF(AND(O352+P352-Q352&gt;0,OR('Debt strategy'!$D$11&gt;'Debt strategy'!$D$13,AND('Debt strategy'!$D$11='Debt strategy'!$D$13,2&lt;4))),1,0),IF(AND(U352+V352-W352&gt;0,OR('Debt strategy'!$D$12&gt;'Debt strategy'!$D$13,AND('Debt strategy'!$D$12='Debt strategy'!$D$13,3&lt;4))),1,0)))</x:f>
        <x:v>99</x:v>
      </x:c>
      <x:c r="AE352" s="6" t="n">
        <x:f>IF('Debt strategy'!$C$16&gt;0,0,MIN(AA352+AB352-AC352,MAX(0,'Debt strategy'!$C$5-SUM(E352,K352,Q352,W352,AC352)-SUM(IF(F352&lt;AD352,C352+D352-E352,0),IF(L352&lt;AD352,I352+J352-K352,0),IF(R352&lt;AD352,O352+P352-Q352,0),IF(X352&lt;AD352,U352+V352-W352,0)))))</x:f>
        <x:v>0</x:v>
      </x:c>
      <x:c r="AF352" s="6" t="n">
        <x:f>ROUND(MAX(0,AA352+AB352-AC352-AE352),2)</x:f>
        <x:v>0</x:v>
      </x:c>
      <x:c r="AG352" s="6" t="n">
        <x:f>SUM(H352,N352,T352,Z352,AF352)</x:f>
        <x:v>0</x:v>
      </x:c>
      <x:c r="AH352" s="6" t="n">
        <x:f>SUM(D352,J352,P352,V352,AB352)+AH351</x:f>
        <x:v>1220.8400000000001</x:v>
      </x:c>
      <x:c r="AI352" s="2"/>
    </x:row>
    <x:row r="353" ht="23" customHeight="1">
      <x:c r="B353" s="2" t="n">
        <x:f>345</x:f>
        <x:v>345</x:v>
      </x:c>
      <x:c r="C353" s="6" t="n">
        <x:f>H352</x:f>
        <x:v>0</x:v>
      </x:c>
      <x:c r="D353" s="6" t="n">
        <x:f>ROUND(C353*'Debt strategy'!$D$9/12,2)</x:f>
        <x:v>0</x:v>
      </x:c>
      <x:c r="E353" s="6" t="n">
        <x:f>MIN(C353+D353,'Debt strategy'!$E$9)</x:f>
        <x:v>0</x:v>
      </x:c>
      <x:c r="F353" s="27" t="n">
        <x:f>IF(C353+D353-E353&lt;=0,99,1+SUM(IF(AND(I353+J353-K353&gt;0,OR('Debt strategy'!$D$10&gt;'Debt strategy'!$D$9,AND('Debt strategy'!$D$10='Debt strategy'!$D$9,1&lt;0))),1,0),IF(AND(O353+P353-Q353&gt;0,OR('Debt strategy'!$D$11&gt;'Debt strategy'!$D$9,AND('Debt strategy'!$D$11='Debt strategy'!$D$9,2&lt;0))),1,0),IF(AND(U353+V353-W353&gt;0,OR('Debt strategy'!$D$12&gt;'Debt strategy'!$D$9,AND('Debt strategy'!$D$12='Debt strategy'!$D$9,3&lt;0))),1,0),IF(AND(AA353+AB353-AC353&gt;0,OR('Debt strategy'!$D$13&gt;'Debt strategy'!$D$9,AND('Debt strategy'!$D$13='Debt strategy'!$D$9,4&lt;0))),1,0)))</x:f>
        <x:v>99</x:v>
      </x:c>
      <x:c r="G353" s="6" t="n">
        <x:f>IF('Debt strategy'!$C$16&gt;0,0,MIN(C353+D353-E353,MAX(0,'Debt strategy'!$C$5-SUM(E353,K353,Q353,W353,AC353)-SUM(IF(L353&lt;F353,I353+J353-K353,0),IF(R353&lt;F353,O353+P353-Q353,0),IF(X353&lt;F353,U353+V353-W353,0),IF(AD353&lt;F353,AA353+AB353-AC353,0)))))</x:f>
        <x:v>0</x:v>
      </x:c>
      <x:c r="H353" s="6" t="n">
        <x:f>ROUND(MAX(0,C353+D353-E353-G353),2)</x:f>
        <x:v>0</x:v>
      </x:c>
      <x:c r="I353" s="6" t="n">
        <x:f>N352</x:f>
        <x:v>0</x:v>
      </x:c>
      <x:c r="J353" s="6" t="n">
        <x:f>ROUND(I353*'Debt strategy'!$D$10/12,2)</x:f>
        <x:v>0</x:v>
      </x:c>
      <x:c r="K353" s="6" t="n">
        <x:f>MIN(I353+J353,'Debt strategy'!$E$10)</x:f>
        <x:v>0</x:v>
      </x:c>
      <x:c r="L353" s="27" t="n">
        <x:f>IF(I353+J353-K353&lt;=0,99,1+SUM(IF(AND(C353+D353-E353&gt;0,OR('Debt strategy'!$D$9&gt;'Debt strategy'!$D$10,AND('Debt strategy'!$D$9='Debt strategy'!$D$10,0&lt;1))),1,0),IF(AND(O353+P353-Q353&gt;0,OR('Debt strategy'!$D$11&gt;'Debt strategy'!$D$10,AND('Debt strategy'!$D$11='Debt strategy'!$D$10,2&lt;1))),1,0),IF(AND(U353+V353-W353&gt;0,OR('Debt strategy'!$D$12&gt;'Debt strategy'!$D$10,AND('Debt strategy'!$D$12='Debt strategy'!$D$10,3&lt;1))),1,0),IF(AND(AA353+AB353-AC353&gt;0,OR('Debt strategy'!$D$13&gt;'Debt strategy'!$D$10,AND('Debt strategy'!$D$13='Debt strategy'!$D$10,4&lt;1))),1,0)))</x:f>
        <x:v>99</x:v>
      </x:c>
      <x:c r="M353" s="6" t="n">
        <x:f>IF('Debt strategy'!$C$16&gt;0,0,MIN(I353+J353-K353,MAX(0,'Debt strategy'!$C$5-SUM(E353,K353,Q353,W353,AC353)-SUM(IF(F353&lt;L353,C353+D353-E353,0),IF(R353&lt;L353,O353+P353-Q353,0),IF(X353&lt;L353,U353+V353-W353,0),IF(AD353&lt;L353,AA353+AB353-AC353,0)))))</x:f>
        <x:v>0</x:v>
      </x:c>
      <x:c r="N353" s="6" t="n">
        <x:f>ROUND(MAX(0,I353+J353-K353-M353),2)</x:f>
        <x:v>0</x:v>
      </x:c>
      <x:c r="O353" s="6" t="n">
        <x:f>T352</x:f>
        <x:v>0</x:v>
      </x:c>
      <x:c r="P353" s="6" t="n">
        <x:f>ROUND(O353*'Debt strategy'!$D$11/12,2)</x:f>
        <x:v>0</x:v>
      </x:c>
      <x:c r="Q353" s="6" t="n">
        <x:f>MIN(O353+P353,'Debt strategy'!$E$11)</x:f>
        <x:v>0</x:v>
      </x:c>
      <x:c r="R353" s="27" t="n">
        <x:f>IF(O353+P353-Q353&lt;=0,99,1+SUM(IF(AND(C353+D353-E353&gt;0,OR('Debt strategy'!$D$9&gt;'Debt strategy'!$D$11,AND('Debt strategy'!$D$9='Debt strategy'!$D$11,0&lt;2))),1,0),IF(AND(I353+J353-K353&gt;0,OR('Debt strategy'!$D$10&gt;'Debt strategy'!$D$11,AND('Debt strategy'!$D$10='Debt strategy'!$D$11,1&lt;2))),1,0),IF(AND(U353+V353-W353&gt;0,OR('Debt strategy'!$D$12&gt;'Debt strategy'!$D$11,AND('Debt strategy'!$D$12='Debt strategy'!$D$11,3&lt;2))),1,0),IF(AND(AA353+AB353-AC353&gt;0,OR('Debt strategy'!$D$13&gt;'Debt strategy'!$D$11,AND('Debt strategy'!$D$13='Debt strategy'!$D$11,4&lt;2))),1,0)))</x:f>
        <x:v>99</x:v>
      </x:c>
      <x:c r="S353" s="6" t="n">
        <x:f>IF('Debt strategy'!$C$16&gt;0,0,MIN(O353+P353-Q353,MAX(0,'Debt strategy'!$C$5-SUM(E353,K353,Q353,W353,AC353)-SUM(IF(F353&lt;R353,C353+D353-E353,0),IF(L353&lt;R353,I353+J353-K353,0),IF(X353&lt;R353,U353+V353-W353,0),IF(AD353&lt;R353,AA353+AB353-AC353,0)))))</x:f>
        <x:v>0</x:v>
      </x:c>
      <x:c r="T353" s="6" t="n">
        <x:f>ROUND(MAX(0,O353+P353-Q353-S353),2)</x:f>
        <x:v>0</x:v>
      </x:c>
      <x:c r="U353" s="6" t="n">
        <x:f>Z352</x:f>
        <x:v>0</x:v>
      </x:c>
      <x:c r="V353" s="6" t="n">
        <x:f>ROUND(U353*'Debt strategy'!$D$12/12,2)</x:f>
        <x:v>0</x:v>
      </x:c>
      <x:c r="W353" s="6" t="n">
        <x:f>MIN(U353+V353,'Debt strategy'!$E$12)</x:f>
        <x:v>0</x:v>
      </x:c>
      <x:c r="X353" s="27" t="n">
        <x:f>IF(U353+V353-W353&lt;=0,99,1+SUM(IF(AND(C353+D353-E353&gt;0,OR('Debt strategy'!$D$9&gt;'Debt strategy'!$D$12,AND('Debt strategy'!$D$9='Debt strategy'!$D$12,0&lt;3))),1,0),IF(AND(I353+J353-K353&gt;0,OR('Debt strategy'!$D$10&gt;'Debt strategy'!$D$12,AND('Debt strategy'!$D$10='Debt strategy'!$D$12,1&lt;3))),1,0),IF(AND(O353+P353-Q353&gt;0,OR('Debt strategy'!$D$11&gt;'Debt strategy'!$D$12,AND('Debt strategy'!$D$11='Debt strategy'!$D$12,2&lt;3))),1,0),IF(AND(AA353+AB353-AC353&gt;0,OR('Debt strategy'!$D$13&gt;'Debt strategy'!$D$12,AND('Debt strategy'!$D$13='Debt strategy'!$D$12,4&lt;3))),1,0)))</x:f>
        <x:v>99</x:v>
      </x:c>
      <x:c r="Y353" s="6" t="n">
        <x:f>IF('Debt strategy'!$C$16&gt;0,0,MIN(U353+V353-W353,MAX(0,'Debt strategy'!$C$5-SUM(E353,K353,Q353,W353,AC353)-SUM(IF(F353&lt;X353,C353+D353-E353,0),IF(L353&lt;X353,I353+J353-K353,0),IF(R353&lt;X353,O353+P353-Q353,0),IF(AD353&lt;X353,AA353+AB353-AC353,0)))))</x:f>
        <x:v>0</x:v>
      </x:c>
      <x:c r="Z353" s="6" t="n">
        <x:f>ROUND(MAX(0,U353+V353-W353-Y353),2)</x:f>
        <x:v>0</x:v>
      </x:c>
      <x:c r="AA353" s="6" t="n">
        <x:f>AF352</x:f>
        <x:v>0</x:v>
      </x:c>
      <x:c r="AB353" s="6" t="n">
        <x:f>ROUND(AA353*'Debt strategy'!$D$13/12,2)</x:f>
        <x:v>0</x:v>
      </x:c>
      <x:c r="AC353" s="6" t="n">
        <x:f>MIN(AA353+AB353,'Debt strategy'!$E$13)</x:f>
        <x:v>0</x:v>
      </x:c>
      <x:c r="AD353" s="27" t="n">
        <x:f>IF(AA353+AB353-AC353&lt;=0,99,1+SUM(IF(AND(C353+D353-E353&gt;0,OR('Debt strategy'!$D$9&gt;'Debt strategy'!$D$13,AND('Debt strategy'!$D$9='Debt strategy'!$D$13,0&lt;4))),1,0),IF(AND(I353+J353-K353&gt;0,OR('Debt strategy'!$D$10&gt;'Debt strategy'!$D$13,AND('Debt strategy'!$D$10='Debt strategy'!$D$13,1&lt;4))),1,0),IF(AND(O353+P353-Q353&gt;0,OR('Debt strategy'!$D$11&gt;'Debt strategy'!$D$13,AND('Debt strategy'!$D$11='Debt strategy'!$D$13,2&lt;4))),1,0),IF(AND(U353+V353-W353&gt;0,OR('Debt strategy'!$D$12&gt;'Debt strategy'!$D$13,AND('Debt strategy'!$D$12='Debt strategy'!$D$13,3&lt;4))),1,0)))</x:f>
        <x:v>99</x:v>
      </x:c>
      <x:c r="AE353" s="6" t="n">
        <x:f>IF('Debt strategy'!$C$16&gt;0,0,MIN(AA353+AB353-AC353,MAX(0,'Debt strategy'!$C$5-SUM(E353,K353,Q353,W353,AC353)-SUM(IF(F353&lt;AD353,C353+D353-E353,0),IF(L353&lt;AD353,I353+J353-K353,0),IF(R353&lt;AD353,O353+P353-Q353,0),IF(X353&lt;AD353,U353+V353-W353,0)))))</x:f>
        <x:v>0</x:v>
      </x:c>
      <x:c r="AF353" s="6" t="n">
        <x:f>ROUND(MAX(0,AA353+AB353-AC353-AE353),2)</x:f>
        <x:v>0</x:v>
      </x:c>
      <x:c r="AG353" s="6" t="n">
        <x:f>SUM(H353,N353,T353,Z353,AF353)</x:f>
        <x:v>0</x:v>
      </x:c>
      <x:c r="AH353" s="6" t="n">
        <x:f>SUM(D353,J353,P353,V353,AB353)+AH352</x:f>
        <x:v>1220.8400000000001</x:v>
      </x:c>
      <x:c r="AI353" s="2"/>
    </x:row>
    <x:row r="354" ht="23" customHeight="1">
      <x:c r="B354" s="2" t="n">
        <x:f>346</x:f>
        <x:v>346</x:v>
      </x:c>
      <x:c r="C354" s="6" t="n">
        <x:f>H353</x:f>
        <x:v>0</x:v>
      </x:c>
      <x:c r="D354" s="6" t="n">
        <x:f>ROUND(C354*'Debt strategy'!$D$9/12,2)</x:f>
        <x:v>0</x:v>
      </x:c>
      <x:c r="E354" s="6" t="n">
        <x:f>MIN(C354+D354,'Debt strategy'!$E$9)</x:f>
        <x:v>0</x:v>
      </x:c>
      <x:c r="F354" s="27" t="n">
        <x:f>IF(C354+D354-E354&lt;=0,99,1+SUM(IF(AND(I354+J354-K354&gt;0,OR('Debt strategy'!$D$10&gt;'Debt strategy'!$D$9,AND('Debt strategy'!$D$10='Debt strategy'!$D$9,1&lt;0))),1,0),IF(AND(O354+P354-Q354&gt;0,OR('Debt strategy'!$D$11&gt;'Debt strategy'!$D$9,AND('Debt strategy'!$D$11='Debt strategy'!$D$9,2&lt;0))),1,0),IF(AND(U354+V354-W354&gt;0,OR('Debt strategy'!$D$12&gt;'Debt strategy'!$D$9,AND('Debt strategy'!$D$12='Debt strategy'!$D$9,3&lt;0))),1,0),IF(AND(AA354+AB354-AC354&gt;0,OR('Debt strategy'!$D$13&gt;'Debt strategy'!$D$9,AND('Debt strategy'!$D$13='Debt strategy'!$D$9,4&lt;0))),1,0)))</x:f>
        <x:v>99</x:v>
      </x:c>
      <x:c r="G354" s="6" t="n">
        <x:f>IF('Debt strategy'!$C$16&gt;0,0,MIN(C354+D354-E354,MAX(0,'Debt strategy'!$C$5-SUM(E354,K354,Q354,W354,AC354)-SUM(IF(L354&lt;F354,I354+J354-K354,0),IF(R354&lt;F354,O354+P354-Q354,0),IF(X354&lt;F354,U354+V354-W354,0),IF(AD354&lt;F354,AA354+AB354-AC354,0)))))</x:f>
        <x:v>0</x:v>
      </x:c>
      <x:c r="H354" s="6" t="n">
        <x:f>ROUND(MAX(0,C354+D354-E354-G354),2)</x:f>
        <x:v>0</x:v>
      </x:c>
      <x:c r="I354" s="6" t="n">
        <x:f>N353</x:f>
        <x:v>0</x:v>
      </x:c>
      <x:c r="J354" s="6" t="n">
        <x:f>ROUND(I354*'Debt strategy'!$D$10/12,2)</x:f>
        <x:v>0</x:v>
      </x:c>
      <x:c r="K354" s="6" t="n">
        <x:f>MIN(I354+J354,'Debt strategy'!$E$10)</x:f>
        <x:v>0</x:v>
      </x:c>
      <x:c r="L354" s="27" t="n">
        <x:f>IF(I354+J354-K354&lt;=0,99,1+SUM(IF(AND(C354+D354-E354&gt;0,OR('Debt strategy'!$D$9&gt;'Debt strategy'!$D$10,AND('Debt strategy'!$D$9='Debt strategy'!$D$10,0&lt;1))),1,0),IF(AND(O354+P354-Q354&gt;0,OR('Debt strategy'!$D$11&gt;'Debt strategy'!$D$10,AND('Debt strategy'!$D$11='Debt strategy'!$D$10,2&lt;1))),1,0),IF(AND(U354+V354-W354&gt;0,OR('Debt strategy'!$D$12&gt;'Debt strategy'!$D$10,AND('Debt strategy'!$D$12='Debt strategy'!$D$10,3&lt;1))),1,0),IF(AND(AA354+AB354-AC354&gt;0,OR('Debt strategy'!$D$13&gt;'Debt strategy'!$D$10,AND('Debt strategy'!$D$13='Debt strategy'!$D$10,4&lt;1))),1,0)))</x:f>
        <x:v>99</x:v>
      </x:c>
      <x:c r="M354" s="6" t="n">
        <x:f>IF('Debt strategy'!$C$16&gt;0,0,MIN(I354+J354-K354,MAX(0,'Debt strategy'!$C$5-SUM(E354,K354,Q354,W354,AC354)-SUM(IF(F354&lt;L354,C354+D354-E354,0),IF(R354&lt;L354,O354+P354-Q354,0),IF(X354&lt;L354,U354+V354-W354,0),IF(AD354&lt;L354,AA354+AB354-AC354,0)))))</x:f>
        <x:v>0</x:v>
      </x:c>
      <x:c r="N354" s="6" t="n">
        <x:f>ROUND(MAX(0,I354+J354-K354-M354),2)</x:f>
        <x:v>0</x:v>
      </x:c>
      <x:c r="O354" s="6" t="n">
        <x:f>T353</x:f>
        <x:v>0</x:v>
      </x:c>
      <x:c r="P354" s="6" t="n">
        <x:f>ROUND(O354*'Debt strategy'!$D$11/12,2)</x:f>
        <x:v>0</x:v>
      </x:c>
      <x:c r="Q354" s="6" t="n">
        <x:f>MIN(O354+P354,'Debt strategy'!$E$11)</x:f>
        <x:v>0</x:v>
      </x:c>
      <x:c r="R354" s="27" t="n">
        <x:f>IF(O354+P354-Q354&lt;=0,99,1+SUM(IF(AND(C354+D354-E354&gt;0,OR('Debt strategy'!$D$9&gt;'Debt strategy'!$D$11,AND('Debt strategy'!$D$9='Debt strategy'!$D$11,0&lt;2))),1,0),IF(AND(I354+J354-K354&gt;0,OR('Debt strategy'!$D$10&gt;'Debt strategy'!$D$11,AND('Debt strategy'!$D$10='Debt strategy'!$D$11,1&lt;2))),1,0),IF(AND(U354+V354-W354&gt;0,OR('Debt strategy'!$D$12&gt;'Debt strategy'!$D$11,AND('Debt strategy'!$D$12='Debt strategy'!$D$11,3&lt;2))),1,0),IF(AND(AA354+AB354-AC354&gt;0,OR('Debt strategy'!$D$13&gt;'Debt strategy'!$D$11,AND('Debt strategy'!$D$13='Debt strategy'!$D$11,4&lt;2))),1,0)))</x:f>
        <x:v>99</x:v>
      </x:c>
      <x:c r="S354" s="6" t="n">
        <x:f>IF('Debt strategy'!$C$16&gt;0,0,MIN(O354+P354-Q354,MAX(0,'Debt strategy'!$C$5-SUM(E354,K354,Q354,W354,AC354)-SUM(IF(F354&lt;R354,C354+D354-E354,0),IF(L354&lt;R354,I354+J354-K354,0),IF(X354&lt;R354,U354+V354-W354,0),IF(AD354&lt;R354,AA354+AB354-AC354,0)))))</x:f>
        <x:v>0</x:v>
      </x:c>
      <x:c r="T354" s="6" t="n">
        <x:f>ROUND(MAX(0,O354+P354-Q354-S354),2)</x:f>
        <x:v>0</x:v>
      </x:c>
      <x:c r="U354" s="6" t="n">
        <x:f>Z353</x:f>
        <x:v>0</x:v>
      </x:c>
      <x:c r="V354" s="6" t="n">
        <x:f>ROUND(U354*'Debt strategy'!$D$12/12,2)</x:f>
        <x:v>0</x:v>
      </x:c>
      <x:c r="W354" s="6" t="n">
        <x:f>MIN(U354+V354,'Debt strategy'!$E$12)</x:f>
        <x:v>0</x:v>
      </x:c>
      <x:c r="X354" s="27" t="n">
        <x:f>IF(U354+V354-W354&lt;=0,99,1+SUM(IF(AND(C354+D354-E354&gt;0,OR('Debt strategy'!$D$9&gt;'Debt strategy'!$D$12,AND('Debt strategy'!$D$9='Debt strategy'!$D$12,0&lt;3))),1,0),IF(AND(I354+J354-K354&gt;0,OR('Debt strategy'!$D$10&gt;'Debt strategy'!$D$12,AND('Debt strategy'!$D$10='Debt strategy'!$D$12,1&lt;3))),1,0),IF(AND(O354+P354-Q354&gt;0,OR('Debt strategy'!$D$11&gt;'Debt strategy'!$D$12,AND('Debt strategy'!$D$11='Debt strategy'!$D$12,2&lt;3))),1,0),IF(AND(AA354+AB354-AC354&gt;0,OR('Debt strategy'!$D$13&gt;'Debt strategy'!$D$12,AND('Debt strategy'!$D$13='Debt strategy'!$D$12,4&lt;3))),1,0)))</x:f>
        <x:v>99</x:v>
      </x:c>
      <x:c r="Y354" s="6" t="n">
        <x:f>IF('Debt strategy'!$C$16&gt;0,0,MIN(U354+V354-W354,MAX(0,'Debt strategy'!$C$5-SUM(E354,K354,Q354,W354,AC354)-SUM(IF(F354&lt;X354,C354+D354-E354,0),IF(L354&lt;X354,I354+J354-K354,0),IF(R354&lt;X354,O354+P354-Q354,0),IF(AD354&lt;X354,AA354+AB354-AC354,0)))))</x:f>
        <x:v>0</x:v>
      </x:c>
      <x:c r="Z354" s="6" t="n">
        <x:f>ROUND(MAX(0,U354+V354-W354-Y354),2)</x:f>
        <x:v>0</x:v>
      </x:c>
      <x:c r="AA354" s="6" t="n">
        <x:f>AF353</x:f>
        <x:v>0</x:v>
      </x:c>
      <x:c r="AB354" s="6" t="n">
        <x:f>ROUND(AA354*'Debt strategy'!$D$13/12,2)</x:f>
        <x:v>0</x:v>
      </x:c>
      <x:c r="AC354" s="6" t="n">
        <x:f>MIN(AA354+AB354,'Debt strategy'!$E$13)</x:f>
        <x:v>0</x:v>
      </x:c>
      <x:c r="AD354" s="27" t="n">
        <x:f>IF(AA354+AB354-AC354&lt;=0,99,1+SUM(IF(AND(C354+D354-E354&gt;0,OR('Debt strategy'!$D$9&gt;'Debt strategy'!$D$13,AND('Debt strategy'!$D$9='Debt strategy'!$D$13,0&lt;4))),1,0),IF(AND(I354+J354-K354&gt;0,OR('Debt strategy'!$D$10&gt;'Debt strategy'!$D$13,AND('Debt strategy'!$D$10='Debt strategy'!$D$13,1&lt;4))),1,0),IF(AND(O354+P354-Q354&gt;0,OR('Debt strategy'!$D$11&gt;'Debt strategy'!$D$13,AND('Debt strategy'!$D$11='Debt strategy'!$D$13,2&lt;4))),1,0),IF(AND(U354+V354-W354&gt;0,OR('Debt strategy'!$D$12&gt;'Debt strategy'!$D$13,AND('Debt strategy'!$D$12='Debt strategy'!$D$13,3&lt;4))),1,0)))</x:f>
        <x:v>99</x:v>
      </x:c>
      <x:c r="AE354" s="6" t="n">
        <x:f>IF('Debt strategy'!$C$16&gt;0,0,MIN(AA354+AB354-AC354,MAX(0,'Debt strategy'!$C$5-SUM(E354,K354,Q354,W354,AC354)-SUM(IF(F354&lt;AD354,C354+D354-E354,0),IF(L354&lt;AD354,I354+J354-K354,0),IF(R354&lt;AD354,O354+P354-Q354,0),IF(X354&lt;AD354,U354+V354-W354,0)))))</x:f>
        <x:v>0</x:v>
      </x:c>
      <x:c r="AF354" s="6" t="n">
        <x:f>ROUND(MAX(0,AA354+AB354-AC354-AE354),2)</x:f>
        <x:v>0</x:v>
      </x:c>
      <x:c r="AG354" s="6" t="n">
        <x:f>SUM(H354,N354,T354,Z354,AF354)</x:f>
        <x:v>0</x:v>
      </x:c>
      <x:c r="AH354" s="6" t="n">
        <x:f>SUM(D354,J354,P354,V354,AB354)+AH353</x:f>
        <x:v>1220.8400000000001</x:v>
      </x:c>
      <x:c r="AI354" s="2"/>
    </x:row>
    <x:row r="355" ht="23" customHeight="1">
      <x:c r="B355" s="2" t="n">
        <x:f>347</x:f>
        <x:v>347</x:v>
      </x:c>
      <x:c r="C355" s="6" t="n">
        <x:f>H354</x:f>
        <x:v>0</x:v>
      </x:c>
      <x:c r="D355" s="6" t="n">
        <x:f>ROUND(C355*'Debt strategy'!$D$9/12,2)</x:f>
        <x:v>0</x:v>
      </x:c>
      <x:c r="E355" s="6" t="n">
        <x:f>MIN(C355+D355,'Debt strategy'!$E$9)</x:f>
        <x:v>0</x:v>
      </x:c>
      <x:c r="F355" s="27" t="n">
        <x:f>IF(C355+D355-E355&lt;=0,99,1+SUM(IF(AND(I355+J355-K355&gt;0,OR('Debt strategy'!$D$10&gt;'Debt strategy'!$D$9,AND('Debt strategy'!$D$10='Debt strategy'!$D$9,1&lt;0))),1,0),IF(AND(O355+P355-Q355&gt;0,OR('Debt strategy'!$D$11&gt;'Debt strategy'!$D$9,AND('Debt strategy'!$D$11='Debt strategy'!$D$9,2&lt;0))),1,0),IF(AND(U355+V355-W355&gt;0,OR('Debt strategy'!$D$12&gt;'Debt strategy'!$D$9,AND('Debt strategy'!$D$12='Debt strategy'!$D$9,3&lt;0))),1,0),IF(AND(AA355+AB355-AC355&gt;0,OR('Debt strategy'!$D$13&gt;'Debt strategy'!$D$9,AND('Debt strategy'!$D$13='Debt strategy'!$D$9,4&lt;0))),1,0)))</x:f>
        <x:v>99</x:v>
      </x:c>
      <x:c r="G355" s="6" t="n">
        <x:f>IF('Debt strategy'!$C$16&gt;0,0,MIN(C355+D355-E355,MAX(0,'Debt strategy'!$C$5-SUM(E355,K355,Q355,W355,AC355)-SUM(IF(L355&lt;F355,I355+J355-K355,0),IF(R355&lt;F355,O355+P355-Q355,0),IF(X355&lt;F355,U355+V355-W355,0),IF(AD355&lt;F355,AA355+AB355-AC355,0)))))</x:f>
        <x:v>0</x:v>
      </x:c>
      <x:c r="H355" s="6" t="n">
        <x:f>ROUND(MAX(0,C355+D355-E355-G355),2)</x:f>
        <x:v>0</x:v>
      </x:c>
      <x:c r="I355" s="6" t="n">
        <x:f>N354</x:f>
        <x:v>0</x:v>
      </x:c>
      <x:c r="J355" s="6" t="n">
        <x:f>ROUND(I355*'Debt strategy'!$D$10/12,2)</x:f>
        <x:v>0</x:v>
      </x:c>
      <x:c r="K355" s="6" t="n">
        <x:f>MIN(I355+J355,'Debt strategy'!$E$10)</x:f>
        <x:v>0</x:v>
      </x:c>
      <x:c r="L355" s="27" t="n">
        <x:f>IF(I355+J355-K355&lt;=0,99,1+SUM(IF(AND(C355+D355-E355&gt;0,OR('Debt strategy'!$D$9&gt;'Debt strategy'!$D$10,AND('Debt strategy'!$D$9='Debt strategy'!$D$10,0&lt;1))),1,0),IF(AND(O355+P355-Q355&gt;0,OR('Debt strategy'!$D$11&gt;'Debt strategy'!$D$10,AND('Debt strategy'!$D$11='Debt strategy'!$D$10,2&lt;1))),1,0),IF(AND(U355+V355-W355&gt;0,OR('Debt strategy'!$D$12&gt;'Debt strategy'!$D$10,AND('Debt strategy'!$D$12='Debt strategy'!$D$10,3&lt;1))),1,0),IF(AND(AA355+AB355-AC355&gt;0,OR('Debt strategy'!$D$13&gt;'Debt strategy'!$D$10,AND('Debt strategy'!$D$13='Debt strategy'!$D$10,4&lt;1))),1,0)))</x:f>
        <x:v>99</x:v>
      </x:c>
      <x:c r="M355" s="6" t="n">
        <x:f>IF('Debt strategy'!$C$16&gt;0,0,MIN(I355+J355-K355,MAX(0,'Debt strategy'!$C$5-SUM(E355,K355,Q355,W355,AC355)-SUM(IF(F355&lt;L355,C355+D355-E355,0),IF(R355&lt;L355,O355+P355-Q355,0),IF(X355&lt;L355,U355+V355-W355,0),IF(AD355&lt;L355,AA355+AB355-AC355,0)))))</x:f>
        <x:v>0</x:v>
      </x:c>
      <x:c r="N355" s="6" t="n">
        <x:f>ROUND(MAX(0,I355+J355-K355-M355),2)</x:f>
        <x:v>0</x:v>
      </x:c>
      <x:c r="O355" s="6" t="n">
        <x:f>T354</x:f>
        <x:v>0</x:v>
      </x:c>
      <x:c r="P355" s="6" t="n">
        <x:f>ROUND(O355*'Debt strategy'!$D$11/12,2)</x:f>
        <x:v>0</x:v>
      </x:c>
      <x:c r="Q355" s="6" t="n">
        <x:f>MIN(O355+P355,'Debt strategy'!$E$11)</x:f>
        <x:v>0</x:v>
      </x:c>
      <x:c r="R355" s="27" t="n">
        <x:f>IF(O355+P355-Q355&lt;=0,99,1+SUM(IF(AND(C355+D355-E355&gt;0,OR('Debt strategy'!$D$9&gt;'Debt strategy'!$D$11,AND('Debt strategy'!$D$9='Debt strategy'!$D$11,0&lt;2))),1,0),IF(AND(I355+J355-K355&gt;0,OR('Debt strategy'!$D$10&gt;'Debt strategy'!$D$11,AND('Debt strategy'!$D$10='Debt strategy'!$D$11,1&lt;2))),1,0),IF(AND(U355+V355-W355&gt;0,OR('Debt strategy'!$D$12&gt;'Debt strategy'!$D$11,AND('Debt strategy'!$D$12='Debt strategy'!$D$11,3&lt;2))),1,0),IF(AND(AA355+AB355-AC355&gt;0,OR('Debt strategy'!$D$13&gt;'Debt strategy'!$D$11,AND('Debt strategy'!$D$13='Debt strategy'!$D$11,4&lt;2))),1,0)))</x:f>
        <x:v>99</x:v>
      </x:c>
      <x:c r="S355" s="6" t="n">
        <x:f>IF('Debt strategy'!$C$16&gt;0,0,MIN(O355+P355-Q355,MAX(0,'Debt strategy'!$C$5-SUM(E355,K355,Q355,W355,AC355)-SUM(IF(F355&lt;R355,C355+D355-E355,0),IF(L355&lt;R355,I355+J355-K355,0),IF(X355&lt;R355,U355+V355-W355,0),IF(AD355&lt;R355,AA355+AB355-AC355,0)))))</x:f>
        <x:v>0</x:v>
      </x:c>
      <x:c r="T355" s="6" t="n">
        <x:f>ROUND(MAX(0,O355+P355-Q355-S355),2)</x:f>
        <x:v>0</x:v>
      </x:c>
      <x:c r="U355" s="6" t="n">
        <x:f>Z354</x:f>
        <x:v>0</x:v>
      </x:c>
      <x:c r="V355" s="6" t="n">
        <x:f>ROUND(U355*'Debt strategy'!$D$12/12,2)</x:f>
        <x:v>0</x:v>
      </x:c>
      <x:c r="W355" s="6" t="n">
        <x:f>MIN(U355+V355,'Debt strategy'!$E$12)</x:f>
        <x:v>0</x:v>
      </x:c>
      <x:c r="X355" s="27" t="n">
        <x:f>IF(U355+V355-W355&lt;=0,99,1+SUM(IF(AND(C355+D355-E355&gt;0,OR('Debt strategy'!$D$9&gt;'Debt strategy'!$D$12,AND('Debt strategy'!$D$9='Debt strategy'!$D$12,0&lt;3))),1,0),IF(AND(I355+J355-K355&gt;0,OR('Debt strategy'!$D$10&gt;'Debt strategy'!$D$12,AND('Debt strategy'!$D$10='Debt strategy'!$D$12,1&lt;3))),1,0),IF(AND(O355+P355-Q355&gt;0,OR('Debt strategy'!$D$11&gt;'Debt strategy'!$D$12,AND('Debt strategy'!$D$11='Debt strategy'!$D$12,2&lt;3))),1,0),IF(AND(AA355+AB355-AC355&gt;0,OR('Debt strategy'!$D$13&gt;'Debt strategy'!$D$12,AND('Debt strategy'!$D$13='Debt strategy'!$D$12,4&lt;3))),1,0)))</x:f>
        <x:v>99</x:v>
      </x:c>
      <x:c r="Y355" s="6" t="n">
        <x:f>IF('Debt strategy'!$C$16&gt;0,0,MIN(U355+V355-W355,MAX(0,'Debt strategy'!$C$5-SUM(E355,K355,Q355,W355,AC355)-SUM(IF(F355&lt;X355,C355+D355-E355,0),IF(L355&lt;X355,I355+J355-K355,0),IF(R355&lt;X355,O355+P355-Q355,0),IF(AD355&lt;X355,AA355+AB355-AC355,0)))))</x:f>
        <x:v>0</x:v>
      </x:c>
      <x:c r="Z355" s="6" t="n">
        <x:f>ROUND(MAX(0,U355+V355-W355-Y355),2)</x:f>
        <x:v>0</x:v>
      </x:c>
      <x:c r="AA355" s="6" t="n">
        <x:f>AF354</x:f>
        <x:v>0</x:v>
      </x:c>
      <x:c r="AB355" s="6" t="n">
        <x:f>ROUND(AA355*'Debt strategy'!$D$13/12,2)</x:f>
        <x:v>0</x:v>
      </x:c>
      <x:c r="AC355" s="6" t="n">
        <x:f>MIN(AA355+AB355,'Debt strategy'!$E$13)</x:f>
        <x:v>0</x:v>
      </x:c>
      <x:c r="AD355" s="27" t="n">
        <x:f>IF(AA355+AB355-AC355&lt;=0,99,1+SUM(IF(AND(C355+D355-E355&gt;0,OR('Debt strategy'!$D$9&gt;'Debt strategy'!$D$13,AND('Debt strategy'!$D$9='Debt strategy'!$D$13,0&lt;4))),1,0),IF(AND(I355+J355-K355&gt;0,OR('Debt strategy'!$D$10&gt;'Debt strategy'!$D$13,AND('Debt strategy'!$D$10='Debt strategy'!$D$13,1&lt;4))),1,0),IF(AND(O355+P355-Q355&gt;0,OR('Debt strategy'!$D$11&gt;'Debt strategy'!$D$13,AND('Debt strategy'!$D$11='Debt strategy'!$D$13,2&lt;4))),1,0),IF(AND(U355+V355-W355&gt;0,OR('Debt strategy'!$D$12&gt;'Debt strategy'!$D$13,AND('Debt strategy'!$D$12='Debt strategy'!$D$13,3&lt;4))),1,0)))</x:f>
        <x:v>99</x:v>
      </x:c>
      <x:c r="AE355" s="6" t="n">
        <x:f>IF('Debt strategy'!$C$16&gt;0,0,MIN(AA355+AB355-AC355,MAX(0,'Debt strategy'!$C$5-SUM(E355,K355,Q355,W355,AC355)-SUM(IF(F355&lt;AD355,C355+D355-E355,0),IF(L355&lt;AD355,I355+J355-K355,0),IF(R355&lt;AD355,O355+P355-Q355,0),IF(X355&lt;AD355,U355+V355-W355,0)))))</x:f>
        <x:v>0</x:v>
      </x:c>
      <x:c r="AF355" s="6" t="n">
        <x:f>ROUND(MAX(0,AA355+AB355-AC355-AE355),2)</x:f>
        <x:v>0</x:v>
      </x:c>
      <x:c r="AG355" s="6" t="n">
        <x:f>SUM(H355,N355,T355,Z355,AF355)</x:f>
        <x:v>0</x:v>
      </x:c>
      <x:c r="AH355" s="6" t="n">
        <x:f>SUM(D355,J355,P355,V355,AB355)+AH354</x:f>
        <x:v>1220.8400000000001</x:v>
      </x:c>
      <x:c r="AI355" s="2"/>
    </x:row>
    <x:row r="356" ht="23" customHeight="1">
      <x:c r="B356" s="2" t="n">
        <x:f>348</x:f>
        <x:v>348</x:v>
      </x:c>
      <x:c r="C356" s="6" t="n">
        <x:f>H355</x:f>
        <x:v>0</x:v>
      </x:c>
      <x:c r="D356" s="6" t="n">
        <x:f>ROUND(C356*'Debt strategy'!$D$9/12,2)</x:f>
        <x:v>0</x:v>
      </x:c>
      <x:c r="E356" s="6" t="n">
        <x:f>MIN(C356+D356,'Debt strategy'!$E$9)</x:f>
        <x:v>0</x:v>
      </x:c>
      <x:c r="F356" s="27" t="n">
        <x:f>IF(C356+D356-E356&lt;=0,99,1+SUM(IF(AND(I356+J356-K356&gt;0,OR('Debt strategy'!$D$10&gt;'Debt strategy'!$D$9,AND('Debt strategy'!$D$10='Debt strategy'!$D$9,1&lt;0))),1,0),IF(AND(O356+P356-Q356&gt;0,OR('Debt strategy'!$D$11&gt;'Debt strategy'!$D$9,AND('Debt strategy'!$D$11='Debt strategy'!$D$9,2&lt;0))),1,0),IF(AND(U356+V356-W356&gt;0,OR('Debt strategy'!$D$12&gt;'Debt strategy'!$D$9,AND('Debt strategy'!$D$12='Debt strategy'!$D$9,3&lt;0))),1,0),IF(AND(AA356+AB356-AC356&gt;0,OR('Debt strategy'!$D$13&gt;'Debt strategy'!$D$9,AND('Debt strategy'!$D$13='Debt strategy'!$D$9,4&lt;0))),1,0)))</x:f>
        <x:v>99</x:v>
      </x:c>
      <x:c r="G356" s="6" t="n">
        <x:f>IF('Debt strategy'!$C$16&gt;0,0,MIN(C356+D356-E356,MAX(0,'Debt strategy'!$C$5-SUM(E356,K356,Q356,W356,AC356)-SUM(IF(L356&lt;F356,I356+J356-K356,0),IF(R356&lt;F356,O356+P356-Q356,0),IF(X356&lt;F356,U356+V356-W356,0),IF(AD356&lt;F356,AA356+AB356-AC356,0)))))</x:f>
        <x:v>0</x:v>
      </x:c>
      <x:c r="H356" s="6" t="n">
        <x:f>ROUND(MAX(0,C356+D356-E356-G356),2)</x:f>
        <x:v>0</x:v>
      </x:c>
      <x:c r="I356" s="6" t="n">
        <x:f>N355</x:f>
        <x:v>0</x:v>
      </x:c>
      <x:c r="J356" s="6" t="n">
        <x:f>ROUND(I356*'Debt strategy'!$D$10/12,2)</x:f>
        <x:v>0</x:v>
      </x:c>
      <x:c r="K356" s="6" t="n">
        <x:f>MIN(I356+J356,'Debt strategy'!$E$10)</x:f>
        <x:v>0</x:v>
      </x:c>
      <x:c r="L356" s="27" t="n">
        <x:f>IF(I356+J356-K356&lt;=0,99,1+SUM(IF(AND(C356+D356-E356&gt;0,OR('Debt strategy'!$D$9&gt;'Debt strategy'!$D$10,AND('Debt strategy'!$D$9='Debt strategy'!$D$10,0&lt;1))),1,0),IF(AND(O356+P356-Q356&gt;0,OR('Debt strategy'!$D$11&gt;'Debt strategy'!$D$10,AND('Debt strategy'!$D$11='Debt strategy'!$D$10,2&lt;1))),1,0),IF(AND(U356+V356-W356&gt;0,OR('Debt strategy'!$D$12&gt;'Debt strategy'!$D$10,AND('Debt strategy'!$D$12='Debt strategy'!$D$10,3&lt;1))),1,0),IF(AND(AA356+AB356-AC356&gt;0,OR('Debt strategy'!$D$13&gt;'Debt strategy'!$D$10,AND('Debt strategy'!$D$13='Debt strategy'!$D$10,4&lt;1))),1,0)))</x:f>
        <x:v>99</x:v>
      </x:c>
      <x:c r="M356" s="6" t="n">
        <x:f>IF('Debt strategy'!$C$16&gt;0,0,MIN(I356+J356-K356,MAX(0,'Debt strategy'!$C$5-SUM(E356,K356,Q356,W356,AC356)-SUM(IF(F356&lt;L356,C356+D356-E356,0),IF(R356&lt;L356,O356+P356-Q356,0),IF(X356&lt;L356,U356+V356-W356,0),IF(AD356&lt;L356,AA356+AB356-AC356,0)))))</x:f>
        <x:v>0</x:v>
      </x:c>
      <x:c r="N356" s="6" t="n">
        <x:f>ROUND(MAX(0,I356+J356-K356-M356),2)</x:f>
        <x:v>0</x:v>
      </x:c>
      <x:c r="O356" s="6" t="n">
        <x:f>T355</x:f>
        <x:v>0</x:v>
      </x:c>
      <x:c r="P356" s="6" t="n">
        <x:f>ROUND(O356*'Debt strategy'!$D$11/12,2)</x:f>
        <x:v>0</x:v>
      </x:c>
      <x:c r="Q356" s="6" t="n">
        <x:f>MIN(O356+P356,'Debt strategy'!$E$11)</x:f>
        <x:v>0</x:v>
      </x:c>
      <x:c r="R356" s="27" t="n">
        <x:f>IF(O356+P356-Q356&lt;=0,99,1+SUM(IF(AND(C356+D356-E356&gt;0,OR('Debt strategy'!$D$9&gt;'Debt strategy'!$D$11,AND('Debt strategy'!$D$9='Debt strategy'!$D$11,0&lt;2))),1,0),IF(AND(I356+J356-K356&gt;0,OR('Debt strategy'!$D$10&gt;'Debt strategy'!$D$11,AND('Debt strategy'!$D$10='Debt strategy'!$D$11,1&lt;2))),1,0),IF(AND(U356+V356-W356&gt;0,OR('Debt strategy'!$D$12&gt;'Debt strategy'!$D$11,AND('Debt strategy'!$D$12='Debt strategy'!$D$11,3&lt;2))),1,0),IF(AND(AA356+AB356-AC356&gt;0,OR('Debt strategy'!$D$13&gt;'Debt strategy'!$D$11,AND('Debt strategy'!$D$13='Debt strategy'!$D$11,4&lt;2))),1,0)))</x:f>
        <x:v>99</x:v>
      </x:c>
      <x:c r="S356" s="6" t="n">
        <x:f>IF('Debt strategy'!$C$16&gt;0,0,MIN(O356+P356-Q356,MAX(0,'Debt strategy'!$C$5-SUM(E356,K356,Q356,W356,AC356)-SUM(IF(F356&lt;R356,C356+D356-E356,0),IF(L356&lt;R356,I356+J356-K356,0),IF(X356&lt;R356,U356+V356-W356,0),IF(AD356&lt;R356,AA356+AB356-AC356,0)))))</x:f>
        <x:v>0</x:v>
      </x:c>
      <x:c r="T356" s="6" t="n">
        <x:f>ROUND(MAX(0,O356+P356-Q356-S356),2)</x:f>
        <x:v>0</x:v>
      </x:c>
      <x:c r="U356" s="6" t="n">
        <x:f>Z355</x:f>
        <x:v>0</x:v>
      </x:c>
      <x:c r="V356" s="6" t="n">
        <x:f>ROUND(U356*'Debt strategy'!$D$12/12,2)</x:f>
        <x:v>0</x:v>
      </x:c>
      <x:c r="W356" s="6" t="n">
        <x:f>MIN(U356+V356,'Debt strategy'!$E$12)</x:f>
        <x:v>0</x:v>
      </x:c>
      <x:c r="X356" s="27" t="n">
        <x:f>IF(U356+V356-W356&lt;=0,99,1+SUM(IF(AND(C356+D356-E356&gt;0,OR('Debt strategy'!$D$9&gt;'Debt strategy'!$D$12,AND('Debt strategy'!$D$9='Debt strategy'!$D$12,0&lt;3))),1,0),IF(AND(I356+J356-K356&gt;0,OR('Debt strategy'!$D$10&gt;'Debt strategy'!$D$12,AND('Debt strategy'!$D$10='Debt strategy'!$D$12,1&lt;3))),1,0),IF(AND(O356+P356-Q356&gt;0,OR('Debt strategy'!$D$11&gt;'Debt strategy'!$D$12,AND('Debt strategy'!$D$11='Debt strategy'!$D$12,2&lt;3))),1,0),IF(AND(AA356+AB356-AC356&gt;0,OR('Debt strategy'!$D$13&gt;'Debt strategy'!$D$12,AND('Debt strategy'!$D$13='Debt strategy'!$D$12,4&lt;3))),1,0)))</x:f>
        <x:v>99</x:v>
      </x:c>
      <x:c r="Y356" s="6" t="n">
        <x:f>IF('Debt strategy'!$C$16&gt;0,0,MIN(U356+V356-W356,MAX(0,'Debt strategy'!$C$5-SUM(E356,K356,Q356,W356,AC356)-SUM(IF(F356&lt;X356,C356+D356-E356,0),IF(L356&lt;X356,I356+J356-K356,0),IF(R356&lt;X356,O356+P356-Q356,0),IF(AD356&lt;X356,AA356+AB356-AC356,0)))))</x:f>
        <x:v>0</x:v>
      </x:c>
      <x:c r="Z356" s="6" t="n">
        <x:f>ROUND(MAX(0,U356+V356-W356-Y356),2)</x:f>
        <x:v>0</x:v>
      </x:c>
      <x:c r="AA356" s="6" t="n">
        <x:f>AF355</x:f>
        <x:v>0</x:v>
      </x:c>
      <x:c r="AB356" s="6" t="n">
        <x:f>ROUND(AA356*'Debt strategy'!$D$13/12,2)</x:f>
        <x:v>0</x:v>
      </x:c>
      <x:c r="AC356" s="6" t="n">
        <x:f>MIN(AA356+AB356,'Debt strategy'!$E$13)</x:f>
        <x:v>0</x:v>
      </x:c>
      <x:c r="AD356" s="27" t="n">
        <x:f>IF(AA356+AB356-AC356&lt;=0,99,1+SUM(IF(AND(C356+D356-E356&gt;0,OR('Debt strategy'!$D$9&gt;'Debt strategy'!$D$13,AND('Debt strategy'!$D$9='Debt strategy'!$D$13,0&lt;4))),1,0),IF(AND(I356+J356-K356&gt;0,OR('Debt strategy'!$D$10&gt;'Debt strategy'!$D$13,AND('Debt strategy'!$D$10='Debt strategy'!$D$13,1&lt;4))),1,0),IF(AND(O356+P356-Q356&gt;0,OR('Debt strategy'!$D$11&gt;'Debt strategy'!$D$13,AND('Debt strategy'!$D$11='Debt strategy'!$D$13,2&lt;4))),1,0),IF(AND(U356+V356-W356&gt;0,OR('Debt strategy'!$D$12&gt;'Debt strategy'!$D$13,AND('Debt strategy'!$D$12='Debt strategy'!$D$13,3&lt;4))),1,0)))</x:f>
        <x:v>99</x:v>
      </x:c>
      <x:c r="AE356" s="6" t="n">
        <x:f>IF('Debt strategy'!$C$16&gt;0,0,MIN(AA356+AB356-AC356,MAX(0,'Debt strategy'!$C$5-SUM(E356,K356,Q356,W356,AC356)-SUM(IF(F356&lt;AD356,C356+D356-E356,0),IF(L356&lt;AD356,I356+J356-K356,0),IF(R356&lt;AD356,O356+P356-Q356,0),IF(X356&lt;AD356,U356+V356-W356,0)))))</x:f>
        <x:v>0</x:v>
      </x:c>
      <x:c r="AF356" s="6" t="n">
        <x:f>ROUND(MAX(0,AA356+AB356-AC356-AE356),2)</x:f>
        <x:v>0</x:v>
      </x:c>
      <x:c r="AG356" s="6" t="n">
        <x:f>SUM(H356,N356,T356,Z356,AF356)</x:f>
        <x:v>0</x:v>
      </x:c>
      <x:c r="AH356" s="6" t="n">
        <x:f>SUM(D356,J356,P356,V356,AB356)+AH355</x:f>
        <x:v>1220.8400000000001</x:v>
      </x:c>
      <x:c r="AI356" s="2"/>
    </x:row>
    <x:row r="357" ht="23" customHeight="1">
      <x:c r="B357" s="2" t="n">
        <x:f>349</x:f>
        <x:v>349</x:v>
      </x:c>
      <x:c r="C357" s="6" t="n">
        <x:f>H356</x:f>
        <x:v>0</x:v>
      </x:c>
      <x:c r="D357" s="6" t="n">
        <x:f>ROUND(C357*'Debt strategy'!$D$9/12,2)</x:f>
        <x:v>0</x:v>
      </x:c>
      <x:c r="E357" s="6" t="n">
        <x:f>MIN(C357+D357,'Debt strategy'!$E$9)</x:f>
        <x:v>0</x:v>
      </x:c>
      <x:c r="F357" s="27" t="n">
        <x:f>IF(C357+D357-E357&lt;=0,99,1+SUM(IF(AND(I357+J357-K357&gt;0,OR('Debt strategy'!$D$10&gt;'Debt strategy'!$D$9,AND('Debt strategy'!$D$10='Debt strategy'!$D$9,1&lt;0))),1,0),IF(AND(O357+P357-Q357&gt;0,OR('Debt strategy'!$D$11&gt;'Debt strategy'!$D$9,AND('Debt strategy'!$D$11='Debt strategy'!$D$9,2&lt;0))),1,0),IF(AND(U357+V357-W357&gt;0,OR('Debt strategy'!$D$12&gt;'Debt strategy'!$D$9,AND('Debt strategy'!$D$12='Debt strategy'!$D$9,3&lt;0))),1,0),IF(AND(AA357+AB357-AC357&gt;0,OR('Debt strategy'!$D$13&gt;'Debt strategy'!$D$9,AND('Debt strategy'!$D$13='Debt strategy'!$D$9,4&lt;0))),1,0)))</x:f>
        <x:v>99</x:v>
      </x:c>
      <x:c r="G357" s="6" t="n">
        <x:f>IF('Debt strategy'!$C$16&gt;0,0,MIN(C357+D357-E357,MAX(0,'Debt strategy'!$C$5-SUM(E357,K357,Q357,W357,AC357)-SUM(IF(L357&lt;F357,I357+J357-K357,0),IF(R357&lt;F357,O357+P357-Q357,0),IF(X357&lt;F357,U357+V357-W357,0),IF(AD357&lt;F357,AA357+AB357-AC357,0)))))</x:f>
        <x:v>0</x:v>
      </x:c>
      <x:c r="H357" s="6" t="n">
        <x:f>ROUND(MAX(0,C357+D357-E357-G357),2)</x:f>
        <x:v>0</x:v>
      </x:c>
      <x:c r="I357" s="6" t="n">
        <x:f>N356</x:f>
        <x:v>0</x:v>
      </x:c>
      <x:c r="J357" s="6" t="n">
        <x:f>ROUND(I357*'Debt strategy'!$D$10/12,2)</x:f>
        <x:v>0</x:v>
      </x:c>
      <x:c r="K357" s="6" t="n">
        <x:f>MIN(I357+J357,'Debt strategy'!$E$10)</x:f>
        <x:v>0</x:v>
      </x:c>
      <x:c r="L357" s="27" t="n">
        <x:f>IF(I357+J357-K357&lt;=0,99,1+SUM(IF(AND(C357+D357-E357&gt;0,OR('Debt strategy'!$D$9&gt;'Debt strategy'!$D$10,AND('Debt strategy'!$D$9='Debt strategy'!$D$10,0&lt;1))),1,0),IF(AND(O357+P357-Q357&gt;0,OR('Debt strategy'!$D$11&gt;'Debt strategy'!$D$10,AND('Debt strategy'!$D$11='Debt strategy'!$D$10,2&lt;1))),1,0),IF(AND(U357+V357-W357&gt;0,OR('Debt strategy'!$D$12&gt;'Debt strategy'!$D$10,AND('Debt strategy'!$D$12='Debt strategy'!$D$10,3&lt;1))),1,0),IF(AND(AA357+AB357-AC357&gt;0,OR('Debt strategy'!$D$13&gt;'Debt strategy'!$D$10,AND('Debt strategy'!$D$13='Debt strategy'!$D$10,4&lt;1))),1,0)))</x:f>
        <x:v>99</x:v>
      </x:c>
      <x:c r="M357" s="6" t="n">
        <x:f>IF('Debt strategy'!$C$16&gt;0,0,MIN(I357+J357-K357,MAX(0,'Debt strategy'!$C$5-SUM(E357,K357,Q357,W357,AC357)-SUM(IF(F357&lt;L357,C357+D357-E357,0),IF(R357&lt;L357,O357+P357-Q357,0),IF(X357&lt;L357,U357+V357-W357,0),IF(AD357&lt;L357,AA357+AB357-AC357,0)))))</x:f>
        <x:v>0</x:v>
      </x:c>
      <x:c r="N357" s="6" t="n">
        <x:f>ROUND(MAX(0,I357+J357-K357-M357),2)</x:f>
        <x:v>0</x:v>
      </x:c>
      <x:c r="O357" s="6" t="n">
        <x:f>T356</x:f>
        <x:v>0</x:v>
      </x:c>
      <x:c r="P357" s="6" t="n">
        <x:f>ROUND(O357*'Debt strategy'!$D$11/12,2)</x:f>
        <x:v>0</x:v>
      </x:c>
      <x:c r="Q357" s="6" t="n">
        <x:f>MIN(O357+P357,'Debt strategy'!$E$11)</x:f>
        <x:v>0</x:v>
      </x:c>
      <x:c r="R357" s="27" t="n">
        <x:f>IF(O357+P357-Q357&lt;=0,99,1+SUM(IF(AND(C357+D357-E357&gt;0,OR('Debt strategy'!$D$9&gt;'Debt strategy'!$D$11,AND('Debt strategy'!$D$9='Debt strategy'!$D$11,0&lt;2))),1,0),IF(AND(I357+J357-K357&gt;0,OR('Debt strategy'!$D$10&gt;'Debt strategy'!$D$11,AND('Debt strategy'!$D$10='Debt strategy'!$D$11,1&lt;2))),1,0),IF(AND(U357+V357-W357&gt;0,OR('Debt strategy'!$D$12&gt;'Debt strategy'!$D$11,AND('Debt strategy'!$D$12='Debt strategy'!$D$11,3&lt;2))),1,0),IF(AND(AA357+AB357-AC357&gt;0,OR('Debt strategy'!$D$13&gt;'Debt strategy'!$D$11,AND('Debt strategy'!$D$13='Debt strategy'!$D$11,4&lt;2))),1,0)))</x:f>
        <x:v>99</x:v>
      </x:c>
      <x:c r="S357" s="6" t="n">
        <x:f>IF('Debt strategy'!$C$16&gt;0,0,MIN(O357+P357-Q357,MAX(0,'Debt strategy'!$C$5-SUM(E357,K357,Q357,W357,AC357)-SUM(IF(F357&lt;R357,C357+D357-E357,0),IF(L357&lt;R357,I357+J357-K357,0),IF(X357&lt;R357,U357+V357-W357,0),IF(AD357&lt;R357,AA357+AB357-AC357,0)))))</x:f>
        <x:v>0</x:v>
      </x:c>
      <x:c r="T357" s="6" t="n">
        <x:f>ROUND(MAX(0,O357+P357-Q357-S357),2)</x:f>
        <x:v>0</x:v>
      </x:c>
      <x:c r="U357" s="6" t="n">
        <x:f>Z356</x:f>
        <x:v>0</x:v>
      </x:c>
      <x:c r="V357" s="6" t="n">
        <x:f>ROUND(U357*'Debt strategy'!$D$12/12,2)</x:f>
        <x:v>0</x:v>
      </x:c>
      <x:c r="W357" s="6" t="n">
        <x:f>MIN(U357+V357,'Debt strategy'!$E$12)</x:f>
        <x:v>0</x:v>
      </x:c>
      <x:c r="X357" s="27" t="n">
        <x:f>IF(U357+V357-W357&lt;=0,99,1+SUM(IF(AND(C357+D357-E357&gt;0,OR('Debt strategy'!$D$9&gt;'Debt strategy'!$D$12,AND('Debt strategy'!$D$9='Debt strategy'!$D$12,0&lt;3))),1,0),IF(AND(I357+J357-K357&gt;0,OR('Debt strategy'!$D$10&gt;'Debt strategy'!$D$12,AND('Debt strategy'!$D$10='Debt strategy'!$D$12,1&lt;3))),1,0),IF(AND(O357+P357-Q357&gt;0,OR('Debt strategy'!$D$11&gt;'Debt strategy'!$D$12,AND('Debt strategy'!$D$11='Debt strategy'!$D$12,2&lt;3))),1,0),IF(AND(AA357+AB357-AC357&gt;0,OR('Debt strategy'!$D$13&gt;'Debt strategy'!$D$12,AND('Debt strategy'!$D$13='Debt strategy'!$D$12,4&lt;3))),1,0)))</x:f>
        <x:v>99</x:v>
      </x:c>
      <x:c r="Y357" s="6" t="n">
        <x:f>IF('Debt strategy'!$C$16&gt;0,0,MIN(U357+V357-W357,MAX(0,'Debt strategy'!$C$5-SUM(E357,K357,Q357,W357,AC357)-SUM(IF(F357&lt;X357,C357+D357-E357,0),IF(L357&lt;X357,I357+J357-K357,0),IF(R357&lt;X357,O357+P357-Q357,0),IF(AD357&lt;X357,AA357+AB357-AC357,0)))))</x:f>
        <x:v>0</x:v>
      </x:c>
      <x:c r="Z357" s="6" t="n">
        <x:f>ROUND(MAX(0,U357+V357-W357-Y357),2)</x:f>
        <x:v>0</x:v>
      </x:c>
      <x:c r="AA357" s="6" t="n">
        <x:f>AF356</x:f>
        <x:v>0</x:v>
      </x:c>
      <x:c r="AB357" s="6" t="n">
        <x:f>ROUND(AA357*'Debt strategy'!$D$13/12,2)</x:f>
        <x:v>0</x:v>
      </x:c>
      <x:c r="AC357" s="6" t="n">
        <x:f>MIN(AA357+AB357,'Debt strategy'!$E$13)</x:f>
        <x:v>0</x:v>
      </x:c>
      <x:c r="AD357" s="27" t="n">
        <x:f>IF(AA357+AB357-AC357&lt;=0,99,1+SUM(IF(AND(C357+D357-E357&gt;0,OR('Debt strategy'!$D$9&gt;'Debt strategy'!$D$13,AND('Debt strategy'!$D$9='Debt strategy'!$D$13,0&lt;4))),1,0),IF(AND(I357+J357-K357&gt;0,OR('Debt strategy'!$D$10&gt;'Debt strategy'!$D$13,AND('Debt strategy'!$D$10='Debt strategy'!$D$13,1&lt;4))),1,0),IF(AND(O357+P357-Q357&gt;0,OR('Debt strategy'!$D$11&gt;'Debt strategy'!$D$13,AND('Debt strategy'!$D$11='Debt strategy'!$D$13,2&lt;4))),1,0),IF(AND(U357+V357-W357&gt;0,OR('Debt strategy'!$D$12&gt;'Debt strategy'!$D$13,AND('Debt strategy'!$D$12='Debt strategy'!$D$13,3&lt;4))),1,0)))</x:f>
        <x:v>99</x:v>
      </x:c>
      <x:c r="AE357" s="6" t="n">
        <x:f>IF('Debt strategy'!$C$16&gt;0,0,MIN(AA357+AB357-AC357,MAX(0,'Debt strategy'!$C$5-SUM(E357,K357,Q357,W357,AC357)-SUM(IF(F357&lt;AD357,C357+D357-E357,0),IF(L357&lt;AD357,I357+J357-K357,0),IF(R357&lt;AD357,O357+P357-Q357,0),IF(X357&lt;AD357,U357+V357-W357,0)))))</x:f>
        <x:v>0</x:v>
      </x:c>
      <x:c r="AF357" s="6" t="n">
        <x:f>ROUND(MAX(0,AA357+AB357-AC357-AE357),2)</x:f>
        <x:v>0</x:v>
      </x:c>
      <x:c r="AG357" s="6" t="n">
        <x:f>SUM(H357,N357,T357,Z357,AF357)</x:f>
        <x:v>0</x:v>
      </x:c>
      <x:c r="AH357" s="6" t="n">
        <x:f>SUM(D357,J357,P357,V357,AB357)+AH356</x:f>
        <x:v>1220.8400000000001</x:v>
      </x:c>
      <x:c r="AI357" s="2"/>
    </x:row>
    <x:row r="358" ht="23" customHeight="1">
      <x:c r="B358" s="2" t="n">
        <x:f>350</x:f>
        <x:v>350</x:v>
      </x:c>
      <x:c r="C358" s="6" t="n">
        <x:f>H357</x:f>
        <x:v>0</x:v>
      </x:c>
      <x:c r="D358" s="6" t="n">
        <x:f>ROUND(C358*'Debt strategy'!$D$9/12,2)</x:f>
        <x:v>0</x:v>
      </x:c>
      <x:c r="E358" s="6" t="n">
        <x:f>MIN(C358+D358,'Debt strategy'!$E$9)</x:f>
        <x:v>0</x:v>
      </x:c>
      <x:c r="F358" s="27" t="n">
        <x:f>IF(C358+D358-E358&lt;=0,99,1+SUM(IF(AND(I358+J358-K358&gt;0,OR('Debt strategy'!$D$10&gt;'Debt strategy'!$D$9,AND('Debt strategy'!$D$10='Debt strategy'!$D$9,1&lt;0))),1,0),IF(AND(O358+P358-Q358&gt;0,OR('Debt strategy'!$D$11&gt;'Debt strategy'!$D$9,AND('Debt strategy'!$D$11='Debt strategy'!$D$9,2&lt;0))),1,0),IF(AND(U358+V358-W358&gt;0,OR('Debt strategy'!$D$12&gt;'Debt strategy'!$D$9,AND('Debt strategy'!$D$12='Debt strategy'!$D$9,3&lt;0))),1,0),IF(AND(AA358+AB358-AC358&gt;0,OR('Debt strategy'!$D$13&gt;'Debt strategy'!$D$9,AND('Debt strategy'!$D$13='Debt strategy'!$D$9,4&lt;0))),1,0)))</x:f>
        <x:v>99</x:v>
      </x:c>
      <x:c r="G358" s="6" t="n">
        <x:f>IF('Debt strategy'!$C$16&gt;0,0,MIN(C358+D358-E358,MAX(0,'Debt strategy'!$C$5-SUM(E358,K358,Q358,W358,AC358)-SUM(IF(L358&lt;F358,I358+J358-K358,0),IF(R358&lt;F358,O358+P358-Q358,0),IF(X358&lt;F358,U358+V358-W358,0),IF(AD358&lt;F358,AA358+AB358-AC358,0)))))</x:f>
        <x:v>0</x:v>
      </x:c>
      <x:c r="H358" s="6" t="n">
        <x:f>ROUND(MAX(0,C358+D358-E358-G358),2)</x:f>
        <x:v>0</x:v>
      </x:c>
      <x:c r="I358" s="6" t="n">
        <x:f>N357</x:f>
        <x:v>0</x:v>
      </x:c>
      <x:c r="J358" s="6" t="n">
        <x:f>ROUND(I358*'Debt strategy'!$D$10/12,2)</x:f>
        <x:v>0</x:v>
      </x:c>
      <x:c r="K358" s="6" t="n">
        <x:f>MIN(I358+J358,'Debt strategy'!$E$10)</x:f>
        <x:v>0</x:v>
      </x:c>
      <x:c r="L358" s="27" t="n">
        <x:f>IF(I358+J358-K358&lt;=0,99,1+SUM(IF(AND(C358+D358-E358&gt;0,OR('Debt strategy'!$D$9&gt;'Debt strategy'!$D$10,AND('Debt strategy'!$D$9='Debt strategy'!$D$10,0&lt;1))),1,0),IF(AND(O358+P358-Q358&gt;0,OR('Debt strategy'!$D$11&gt;'Debt strategy'!$D$10,AND('Debt strategy'!$D$11='Debt strategy'!$D$10,2&lt;1))),1,0),IF(AND(U358+V358-W358&gt;0,OR('Debt strategy'!$D$12&gt;'Debt strategy'!$D$10,AND('Debt strategy'!$D$12='Debt strategy'!$D$10,3&lt;1))),1,0),IF(AND(AA358+AB358-AC358&gt;0,OR('Debt strategy'!$D$13&gt;'Debt strategy'!$D$10,AND('Debt strategy'!$D$13='Debt strategy'!$D$10,4&lt;1))),1,0)))</x:f>
        <x:v>99</x:v>
      </x:c>
      <x:c r="M358" s="6" t="n">
        <x:f>IF('Debt strategy'!$C$16&gt;0,0,MIN(I358+J358-K358,MAX(0,'Debt strategy'!$C$5-SUM(E358,K358,Q358,W358,AC358)-SUM(IF(F358&lt;L358,C358+D358-E358,0),IF(R358&lt;L358,O358+P358-Q358,0),IF(X358&lt;L358,U358+V358-W358,0),IF(AD358&lt;L358,AA358+AB358-AC358,0)))))</x:f>
        <x:v>0</x:v>
      </x:c>
      <x:c r="N358" s="6" t="n">
        <x:f>ROUND(MAX(0,I358+J358-K358-M358),2)</x:f>
        <x:v>0</x:v>
      </x:c>
      <x:c r="O358" s="6" t="n">
        <x:f>T357</x:f>
        <x:v>0</x:v>
      </x:c>
      <x:c r="P358" s="6" t="n">
        <x:f>ROUND(O358*'Debt strategy'!$D$11/12,2)</x:f>
        <x:v>0</x:v>
      </x:c>
      <x:c r="Q358" s="6" t="n">
        <x:f>MIN(O358+P358,'Debt strategy'!$E$11)</x:f>
        <x:v>0</x:v>
      </x:c>
      <x:c r="R358" s="27" t="n">
        <x:f>IF(O358+P358-Q358&lt;=0,99,1+SUM(IF(AND(C358+D358-E358&gt;0,OR('Debt strategy'!$D$9&gt;'Debt strategy'!$D$11,AND('Debt strategy'!$D$9='Debt strategy'!$D$11,0&lt;2))),1,0),IF(AND(I358+J358-K358&gt;0,OR('Debt strategy'!$D$10&gt;'Debt strategy'!$D$11,AND('Debt strategy'!$D$10='Debt strategy'!$D$11,1&lt;2))),1,0),IF(AND(U358+V358-W358&gt;0,OR('Debt strategy'!$D$12&gt;'Debt strategy'!$D$11,AND('Debt strategy'!$D$12='Debt strategy'!$D$11,3&lt;2))),1,0),IF(AND(AA358+AB358-AC358&gt;0,OR('Debt strategy'!$D$13&gt;'Debt strategy'!$D$11,AND('Debt strategy'!$D$13='Debt strategy'!$D$11,4&lt;2))),1,0)))</x:f>
        <x:v>99</x:v>
      </x:c>
      <x:c r="S358" s="6" t="n">
        <x:f>IF('Debt strategy'!$C$16&gt;0,0,MIN(O358+P358-Q358,MAX(0,'Debt strategy'!$C$5-SUM(E358,K358,Q358,W358,AC358)-SUM(IF(F358&lt;R358,C358+D358-E358,0),IF(L358&lt;R358,I358+J358-K358,0),IF(X358&lt;R358,U358+V358-W358,0),IF(AD358&lt;R358,AA358+AB358-AC358,0)))))</x:f>
        <x:v>0</x:v>
      </x:c>
      <x:c r="T358" s="6" t="n">
        <x:f>ROUND(MAX(0,O358+P358-Q358-S358),2)</x:f>
        <x:v>0</x:v>
      </x:c>
      <x:c r="U358" s="6" t="n">
        <x:f>Z357</x:f>
        <x:v>0</x:v>
      </x:c>
      <x:c r="V358" s="6" t="n">
        <x:f>ROUND(U358*'Debt strategy'!$D$12/12,2)</x:f>
        <x:v>0</x:v>
      </x:c>
      <x:c r="W358" s="6" t="n">
        <x:f>MIN(U358+V358,'Debt strategy'!$E$12)</x:f>
        <x:v>0</x:v>
      </x:c>
      <x:c r="X358" s="27" t="n">
        <x:f>IF(U358+V358-W358&lt;=0,99,1+SUM(IF(AND(C358+D358-E358&gt;0,OR('Debt strategy'!$D$9&gt;'Debt strategy'!$D$12,AND('Debt strategy'!$D$9='Debt strategy'!$D$12,0&lt;3))),1,0),IF(AND(I358+J358-K358&gt;0,OR('Debt strategy'!$D$10&gt;'Debt strategy'!$D$12,AND('Debt strategy'!$D$10='Debt strategy'!$D$12,1&lt;3))),1,0),IF(AND(O358+P358-Q358&gt;0,OR('Debt strategy'!$D$11&gt;'Debt strategy'!$D$12,AND('Debt strategy'!$D$11='Debt strategy'!$D$12,2&lt;3))),1,0),IF(AND(AA358+AB358-AC358&gt;0,OR('Debt strategy'!$D$13&gt;'Debt strategy'!$D$12,AND('Debt strategy'!$D$13='Debt strategy'!$D$12,4&lt;3))),1,0)))</x:f>
        <x:v>99</x:v>
      </x:c>
      <x:c r="Y358" s="6" t="n">
        <x:f>IF('Debt strategy'!$C$16&gt;0,0,MIN(U358+V358-W358,MAX(0,'Debt strategy'!$C$5-SUM(E358,K358,Q358,W358,AC358)-SUM(IF(F358&lt;X358,C358+D358-E358,0),IF(L358&lt;X358,I358+J358-K358,0),IF(R358&lt;X358,O358+P358-Q358,0),IF(AD358&lt;X358,AA358+AB358-AC358,0)))))</x:f>
        <x:v>0</x:v>
      </x:c>
      <x:c r="Z358" s="6" t="n">
        <x:f>ROUND(MAX(0,U358+V358-W358-Y358),2)</x:f>
        <x:v>0</x:v>
      </x:c>
      <x:c r="AA358" s="6" t="n">
        <x:f>AF357</x:f>
        <x:v>0</x:v>
      </x:c>
      <x:c r="AB358" s="6" t="n">
        <x:f>ROUND(AA358*'Debt strategy'!$D$13/12,2)</x:f>
        <x:v>0</x:v>
      </x:c>
      <x:c r="AC358" s="6" t="n">
        <x:f>MIN(AA358+AB358,'Debt strategy'!$E$13)</x:f>
        <x:v>0</x:v>
      </x:c>
      <x:c r="AD358" s="27" t="n">
        <x:f>IF(AA358+AB358-AC358&lt;=0,99,1+SUM(IF(AND(C358+D358-E358&gt;0,OR('Debt strategy'!$D$9&gt;'Debt strategy'!$D$13,AND('Debt strategy'!$D$9='Debt strategy'!$D$13,0&lt;4))),1,0),IF(AND(I358+J358-K358&gt;0,OR('Debt strategy'!$D$10&gt;'Debt strategy'!$D$13,AND('Debt strategy'!$D$10='Debt strategy'!$D$13,1&lt;4))),1,0),IF(AND(O358+P358-Q358&gt;0,OR('Debt strategy'!$D$11&gt;'Debt strategy'!$D$13,AND('Debt strategy'!$D$11='Debt strategy'!$D$13,2&lt;4))),1,0),IF(AND(U358+V358-W358&gt;0,OR('Debt strategy'!$D$12&gt;'Debt strategy'!$D$13,AND('Debt strategy'!$D$12='Debt strategy'!$D$13,3&lt;4))),1,0)))</x:f>
        <x:v>99</x:v>
      </x:c>
      <x:c r="AE358" s="6" t="n">
        <x:f>IF('Debt strategy'!$C$16&gt;0,0,MIN(AA358+AB358-AC358,MAX(0,'Debt strategy'!$C$5-SUM(E358,K358,Q358,W358,AC358)-SUM(IF(F358&lt;AD358,C358+D358-E358,0),IF(L358&lt;AD358,I358+J358-K358,0),IF(R358&lt;AD358,O358+P358-Q358,0),IF(X358&lt;AD358,U358+V358-W358,0)))))</x:f>
        <x:v>0</x:v>
      </x:c>
      <x:c r="AF358" s="6" t="n">
        <x:f>ROUND(MAX(0,AA358+AB358-AC358-AE358),2)</x:f>
        <x:v>0</x:v>
      </x:c>
      <x:c r="AG358" s="6" t="n">
        <x:f>SUM(H358,N358,T358,Z358,AF358)</x:f>
        <x:v>0</x:v>
      </x:c>
      <x:c r="AH358" s="6" t="n">
        <x:f>SUM(D358,J358,P358,V358,AB358)+AH357</x:f>
        <x:v>1220.8400000000001</x:v>
      </x:c>
      <x:c r="AI358" s="2"/>
    </x:row>
    <x:row r="359" ht="23" customHeight="1">
      <x:c r="B359" s="2" t="n">
        <x:f>351</x:f>
        <x:v>351</x:v>
      </x:c>
      <x:c r="C359" s="6" t="n">
        <x:f>H358</x:f>
        <x:v>0</x:v>
      </x:c>
      <x:c r="D359" s="6" t="n">
        <x:f>ROUND(C359*'Debt strategy'!$D$9/12,2)</x:f>
        <x:v>0</x:v>
      </x:c>
      <x:c r="E359" s="6" t="n">
        <x:f>MIN(C359+D359,'Debt strategy'!$E$9)</x:f>
        <x:v>0</x:v>
      </x:c>
      <x:c r="F359" s="27" t="n">
        <x:f>IF(C359+D359-E359&lt;=0,99,1+SUM(IF(AND(I359+J359-K359&gt;0,OR('Debt strategy'!$D$10&gt;'Debt strategy'!$D$9,AND('Debt strategy'!$D$10='Debt strategy'!$D$9,1&lt;0))),1,0),IF(AND(O359+P359-Q359&gt;0,OR('Debt strategy'!$D$11&gt;'Debt strategy'!$D$9,AND('Debt strategy'!$D$11='Debt strategy'!$D$9,2&lt;0))),1,0),IF(AND(U359+V359-W359&gt;0,OR('Debt strategy'!$D$12&gt;'Debt strategy'!$D$9,AND('Debt strategy'!$D$12='Debt strategy'!$D$9,3&lt;0))),1,0),IF(AND(AA359+AB359-AC359&gt;0,OR('Debt strategy'!$D$13&gt;'Debt strategy'!$D$9,AND('Debt strategy'!$D$13='Debt strategy'!$D$9,4&lt;0))),1,0)))</x:f>
        <x:v>99</x:v>
      </x:c>
      <x:c r="G359" s="6" t="n">
        <x:f>IF('Debt strategy'!$C$16&gt;0,0,MIN(C359+D359-E359,MAX(0,'Debt strategy'!$C$5-SUM(E359,K359,Q359,W359,AC359)-SUM(IF(L359&lt;F359,I359+J359-K359,0),IF(R359&lt;F359,O359+P359-Q359,0),IF(X359&lt;F359,U359+V359-W359,0),IF(AD359&lt;F359,AA359+AB359-AC359,0)))))</x:f>
        <x:v>0</x:v>
      </x:c>
      <x:c r="H359" s="6" t="n">
        <x:f>ROUND(MAX(0,C359+D359-E359-G359),2)</x:f>
        <x:v>0</x:v>
      </x:c>
      <x:c r="I359" s="6" t="n">
        <x:f>N358</x:f>
        <x:v>0</x:v>
      </x:c>
      <x:c r="J359" s="6" t="n">
        <x:f>ROUND(I359*'Debt strategy'!$D$10/12,2)</x:f>
        <x:v>0</x:v>
      </x:c>
      <x:c r="K359" s="6" t="n">
        <x:f>MIN(I359+J359,'Debt strategy'!$E$10)</x:f>
        <x:v>0</x:v>
      </x:c>
      <x:c r="L359" s="27" t="n">
        <x:f>IF(I359+J359-K359&lt;=0,99,1+SUM(IF(AND(C359+D359-E359&gt;0,OR('Debt strategy'!$D$9&gt;'Debt strategy'!$D$10,AND('Debt strategy'!$D$9='Debt strategy'!$D$10,0&lt;1))),1,0),IF(AND(O359+P359-Q359&gt;0,OR('Debt strategy'!$D$11&gt;'Debt strategy'!$D$10,AND('Debt strategy'!$D$11='Debt strategy'!$D$10,2&lt;1))),1,0),IF(AND(U359+V359-W359&gt;0,OR('Debt strategy'!$D$12&gt;'Debt strategy'!$D$10,AND('Debt strategy'!$D$12='Debt strategy'!$D$10,3&lt;1))),1,0),IF(AND(AA359+AB359-AC359&gt;0,OR('Debt strategy'!$D$13&gt;'Debt strategy'!$D$10,AND('Debt strategy'!$D$13='Debt strategy'!$D$10,4&lt;1))),1,0)))</x:f>
        <x:v>99</x:v>
      </x:c>
      <x:c r="M359" s="6" t="n">
        <x:f>IF('Debt strategy'!$C$16&gt;0,0,MIN(I359+J359-K359,MAX(0,'Debt strategy'!$C$5-SUM(E359,K359,Q359,W359,AC359)-SUM(IF(F359&lt;L359,C359+D359-E359,0),IF(R359&lt;L359,O359+P359-Q359,0),IF(X359&lt;L359,U359+V359-W359,0),IF(AD359&lt;L359,AA359+AB359-AC359,0)))))</x:f>
        <x:v>0</x:v>
      </x:c>
      <x:c r="N359" s="6" t="n">
        <x:f>ROUND(MAX(0,I359+J359-K359-M359),2)</x:f>
        <x:v>0</x:v>
      </x:c>
      <x:c r="O359" s="6" t="n">
        <x:f>T358</x:f>
        <x:v>0</x:v>
      </x:c>
      <x:c r="P359" s="6" t="n">
        <x:f>ROUND(O359*'Debt strategy'!$D$11/12,2)</x:f>
        <x:v>0</x:v>
      </x:c>
      <x:c r="Q359" s="6" t="n">
        <x:f>MIN(O359+P359,'Debt strategy'!$E$11)</x:f>
        <x:v>0</x:v>
      </x:c>
      <x:c r="R359" s="27" t="n">
        <x:f>IF(O359+P359-Q359&lt;=0,99,1+SUM(IF(AND(C359+D359-E359&gt;0,OR('Debt strategy'!$D$9&gt;'Debt strategy'!$D$11,AND('Debt strategy'!$D$9='Debt strategy'!$D$11,0&lt;2))),1,0),IF(AND(I359+J359-K359&gt;0,OR('Debt strategy'!$D$10&gt;'Debt strategy'!$D$11,AND('Debt strategy'!$D$10='Debt strategy'!$D$11,1&lt;2))),1,0),IF(AND(U359+V359-W359&gt;0,OR('Debt strategy'!$D$12&gt;'Debt strategy'!$D$11,AND('Debt strategy'!$D$12='Debt strategy'!$D$11,3&lt;2))),1,0),IF(AND(AA359+AB359-AC359&gt;0,OR('Debt strategy'!$D$13&gt;'Debt strategy'!$D$11,AND('Debt strategy'!$D$13='Debt strategy'!$D$11,4&lt;2))),1,0)))</x:f>
        <x:v>99</x:v>
      </x:c>
      <x:c r="S359" s="6" t="n">
        <x:f>IF('Debt strategy'!$C$16&gt;0,0,MIN(O359+P359-Q359,MAX(0,'Debt strategy'!$C$5-SUM(E359,K359,Q359,W359,AC359)-SUM(IF(F359&lt;R359,C359+D359-E359,0),IF(L359&lt;R359,I359+J359-K359,0),IF(X359&lt;R359,U359+V359-W359,0),IF(AD359&lt;R359,AA359+AB359-AC359,0)))))</x:f>
        <x:v>0</x:v>
      </x:c>
      <x:c r="T359" s="6" t="n">
        <x:f>ROUND(MAX(0,O359+P359-Q359-S359),2)</x:f>
        <x:v>0</x:v>
      </x:c>
      <x:c r="U359" s="6" t="n">
        <x:f>Z358</x:f>
        <x:v>0</x:v>
      </x:c>
      <x:c r="V359" s="6" t="n">
        <x:f>ROUND(U359*'Debt strategy'!$D$12/12,2)</x:f>
        <x:v>0</x:v>
      </x:c>
      <x:c r="W359" s="6" t="n">
        <x:f>MIN(U359+V359,'Debt strategy'!$E$12)</x:f>
        <x:v>0</x:v>
      </x:c>
      <x:c r="X359" s="27" t="n">
        <x:f>IF(U359+V359-W359&lt;=0,99,1+SUM(IF(AND(C359+D359-E359&gt;0,OR('Debt strategy'!$D$9&gt;'Debt strategy'!$D$12,AND('Debt strategy'!$D$9='Debt strategy'!$D$12,0&lt;3))),1,0),IF(AND(I359+J359-K359&gt;0,OR('Debt strategy'!$D$10&gt;'Debt strategy'!$D$12,AND('Debt strategy'!$D$10='Debt strategy'!$D$12,1&lt;3))),1,0),IF(AND(O359+P359-Q359&gt;0,OR('Debt strategy'!$D$11&gt;'Debt strategy'!$D$12,AND('Debt strategy'!$D$11='Debt strategy'!$D$12,2&lt;3))),1,0),IF(AND(AA359+AB359-AC359&gt;0,OR('Debt strategy'!$D$13&gt;'Debt strategy'!$D$12,AND('Debt strategy'!$D$13='Debt strategy'!$D$12,4&lt;3))),1,0)))</x:f>
        <x:v>99</x:v>
      </x:c>
      <x:c r="Y359" s="6" t="n">
        <x:f>IF('Debt strategy'!$C$16&gt;0,0,MIN(U359+V359-W359,MAX(0,'Debt strategy'!$C$5-SUM(E359,K359,Q359,W359,AC359)-SUM(IF(F359&lt;X359,C359+D359-E359,0),IF(L359&lt;X359,I359+J359-K359,0),IF(R359&lt;X359,O359+P359-Q359,0),IF(AD359&lt;X359,AA359+AB359-AC359,0)))))</x:f>
        <x:v>0</x:v>
      </x:c>
      <x:c r="Z359" s="6" t="n">
        <x:f>ROUND(MAX(0,U359+V359-W359-Y359),2)</x:f>
        <x:v>0</x:v>
      </x:c>
      <x:c r="AA359" s="6" t="n">
        <x:f>AF358</x:f>
        <x:v>0</x:v>
      </x:c>
      <x:c r="AB359" s="6" t="n">
        <x:f>ROUND(AA359*'Debt strategy'!$D$13/12,2)</x:f>
        <x:v>0</x:v>
      </x:c>
      <x:c r="AC359" s="6" t="n">
        <x:f>MIN(AA359+AB359,'Debt strategy'!$E$13)</x:f>
        <x:v>0</x:v>
      </x:c>
      <x:c r="AD359" s="27" t="n">
        <x:f>IF(AA359+AB359-AC359&lt;=0,99,1+SUM(IF(AND(C359+D359-E359&gt;0,OR('Debt strategy'!$D$9&gt;'Debt strategy'!$D$13,AND('Debt strategy'!$D$9='Debt strategy'!$D$13,0&lt;4))),1,0),IF(AND(I359+J359-K359&gt;0,OR('Debt strategy'!$D$10&gt;'Debt strategy'!$D$13,AND('Debt strategy'!$D$10='Debt strategy'!$D$13,1&lt;4))),1,0),IF(AND(O359+P359-Q359&gt;0,OR('Debt strategy'!$D$11&gt;'Debt strategy'!$D$13,AND('Debt strategy'!$D$11='Debt strategy'!$D$13,2&lt;4))),1,0),IF(AND(U359+V359-W359&gt;0,OR('Debt strategy'!$D$12&gt;'Debt strategy'!$D$13,AND('Debt strategy'!$D$12='Debt strategy'!$D$13,3&lt;4))),1,0)))</x:f>
        <x:v>99</x:v>
      </x:c>
      <x:c r="AE359" s="6" t="n">
        <x:f>IF('Debt strategy'!$C$16&gt;0,0,MIN(AA359+AB359-AC359,MAX(0,'Debt strategy'!$C$5-SUM(E359,K359,Q359,W359,AC359)-SUM(IF(F359&lt;AD359,C359+D359-E359,0),IF(L359&lt;AD359,I359+J359-K359,0),IF(R359&lt;AD359,O359+P359-Q359,0),IF(X359&lt;AD359,U359+V359-W359,0)))))</x:f>
        <x:v>0</x:v>
      </x:c>
      <x:c r="AF359" s="6" t="n">
        <x:f>ROUND(MAX(0,AA359+AB359-AC359-AE359),2)</x:f>
        <x:v>0</x:v>
      </x:c>
      <x:c r="AG359" s="6" t="n">
        <x:f>SUM(H359,N359,T359,Z359,AF359)</x:f>
        <x:v>0</x:v>
      </x:c>
      <x:c r="AH359" s="6" t="n">
        <x:f>SUM(D359,J359,P359,V359,AB359)+AH358</x:f>
        <x:v>1220.8400000000001</x:v>
      </x:c>
      <x:c r="AI359" s="2"/>
    </x:row>
    <x:row r="360" ht="23" customHeight="1">
      <x:c r="B360" s="2" t="n">
        <x:f>352</x:f>
        <x:v>352</x:v>
      </x:c>
      <x:c r="C360" s="6" t="n">
        <x:f>H359</x:f>
        <x:v>0</x:v>
      </x:c>
      <x:c r="D360" s="6" t="n">
        <x:f>ROUND(C360*'Debt strategy'!$D$9/12,2)</x:f>
        <x:v>0</x:v>
      </x:c>
      <x:c r="E360" s="6" t="n">
        <x:f>MIN(C360+D360,'Debt strategy'!$E$9)</x:f>
        <x:v>0</x:v>
      </x:c>
      <x:c r="F360" s="27" t="n">
        <x:f>IF(C360+D360-E360&lt;=0,99,1+SUM(IF(AND(I360+J360-K360&gt;0,OR('Debt strategy'!$D$10&gt;'Debt strategy'!$D$9,AND('Debt strategy'!$D$10='Debt strategy'!$D$9,1&lt;0))),1,0),IF(AND(O360+P360-Q360&gt;0,OR('Debt strategy'!$D$11&gt;'Debt strategy'!$D$9,AND('Debt strategy'!$D$11='Debt strategy'!$D$9,2&lt;0))),1,0),IF(AND(U360+V360-W360&gt;0,OR('Debt strategy'!$D$12&gt;'Debt strategy'!$D$9,AND('Debt strategy'!$D$12='Debt strategy'!$D$9,3&lt;0))),1,0),IF(AND(AA360+AB360-AC360&gt;0,OR('Debt strategy'!$D$13&gt;'Debt strategy'!$D$9,AND('Debt strategy'!$D$13='Debt strategy'!$D$9,4&lt;0))),1,0)))</x:f>
        <x:v>99</x:v>
      </x:c>
      <x:c r="G360" s="6" t="n">
        <x:f>IF('Debt strategy'!$C$16&gt;0,0,MIN(C360+D360-E360,MAX(0,'Debt strategy'!$C$5-SUM(E360,K360,Q360,W360,AC360)-SUM(IF(L360&lt;F360,I360+J360-K360,0),IF(R360&lt;F360,O360+P360-Q360,0),IF(X360&lt;F360,U360+V360-W360,0),IF(AD360&lt;F360,AA360+AB360-AC360,0)))))</x:f>
        <x:v>0</x:v>
      </x:c>
      <x:c r="H360" s="6" t="n">
        <x:f>ROUND(MAX(0,C360+D360-E360-G360),2)</x:f>
        <x:v>0</x:v>
      </x:c>
      <x:c r="I360" s="6" t="n">
        <x:f>N359</x:f>
        <x:v>0</x:v>
      </x:c>
      <x:c r="J360" s="6" t="n">
        <x:f>ROUND(I360*'Debt strategy'!$D$10/12,2)</x:f>
        <x:v>0</x:v>
      </x:c>
      <x:c r="K360" s="6" t="n">
        <x:f>MIN(I360+J360,'Debt strategy'!$E$10)</x:f>
        <x:v>0</x:v>
      </x:c>
      <x:c r="L360" s="27" t="n">
        <x:f>IF(I360+J360-K360&lt;=0,99,1+SUM(IF(AND(C360+D360-E360&gt;0,OR('Debt strategy'!$D$9&gt;'Debt strategy'!$D$10,AND('Debt strategy'!$D$9='Debt strategy'!$D$10,0&lt;1))),1,0),IF(AND(O360+P360-Q360&gt;0,OR('Debt strategy'!$D$11&gt;'Debt strategy'!$D$10,AND('Debt strategy'!$D$11='Debt strategy'!$D$10,2&lt;1))),1,0),IF(AND(U360+V360-W360&gt;0,OR('Debt strategy'!$D$12&gt;'Debt strategy'!$D$10,AND('Debt strategy'!$D$12='Debt strategy'!$D$10,3&lt;1))),1,0),IF(AND(AA360+AB360-AC360&gt;0,OR('Debt strategy'!$D$13&gt;'Debt strategy'!$D$10,AND('Debt strategy'!$D$13='Debt strategy'!$D$10,4&lt;1))),1,0)))</x:f>
        <x:v>99</x:v>
      </x:c>
      <x:c r="M360" s="6" t="n">
        <x:f>IF('Debt strategy'!$C$16&gt;0,0,MIN(I360+J360-K360,MAX(0,'Debt strategy'!$C$5-SUM(E360,K360,Q360,W360,AC360)-SUM(IF(F360&lt;L360,C360+D360-E360,0),IF(R360&lt;L360,O360+P360-Q360,0),IF(X360&lt;L360,U360+V360-W360,0),IF(AD360&lt;L360,AA360+AB360-AC360,0)))))</x:f>
        <x:v>0</x:v>
      </x:c>
      <x:c r="N360" s="6" t="n">
        <x:f>ROUND(MAX(0,I360+J360-K360-M360),2)</x:f>
        <x:v>0</x:v>
      </x:c>
      <x:c r="O360" s="6" t="n">
        <x:f>T359</x:f>
        <x:v>0</x:v>
      </x:c>
      <x:c r="P360" s="6" t="n">
        <x:f>ROUND(O360*'Debt strategy'!$D$11/12,2)</x:f>
        <x:v>0</x:v>
      </x:c>
      <x:c r="Q360" s="6" t="n">
        <x:f>MIN(O360+P360,'Debt strategy'!$E$11)</x:f>
        <x:v>0</x:v>
      </x:c>
      <x:c r="R360" s="27" t="n">
        <x:f>IF(O360+P360-Q360&lt;=0,99,1+SUM(IF(AND(C360+D360-E360&gt;0,OR('Debt strategy'!$D$9&gt;'Debt strategy'!$D$11,AND('Debt strategy'!$D$9='Debt strategy'!$D$11,0&lt;2))),1,0),IF(AND(I360+J360-K360&gt;0,OR('Debt strategy'!$D$10&gt;'Debt strategy'!$D$11,AND('Debt strategy'!$D$10='Debt strategy'!$D$11,1&lt;2))),1,0),IF(AND(U360+V360-W360&gt;0,OR('Debt strategy'!$D$12&gt;'Debt strategy'!$D$11,AND('Debt strategy'!$D$12='Debt strategy'!$D$11,3&lt;2))),1,0),IF(AND(AA360+AB360-AC360&gt;0,OR('Debt strategy'!$D$13&gt;'Debt strategy'!$D$11,AND('Debt strategy'!$D$13='Debt strategy'!$D$11,4&lt;2))),1,0)))</x:f>
        <x:v>99</x:v>
      </x:c>
      <x:c r="S360" s="6" t="n">
        <x:f>IF('Debt strategy'!$C$16&gt;0,0,MIN(O360+P360-Q360,MAX(0,'Debt strategy'!$C$5-SUM(E360,K360,Q360,W360,AC360)-SUM(IF(F360&lt;R360,C360+D360-E360,0),IF(L360&lt;R360,I360+J360-K360,0),IF(X360&lt;R360,U360+V360-W360,0),IF(AD360&lt;R360,AA360+AB360-AC360,0)))))</x:f>
        <x:v>0</x:v>
      </x:c>
      <x:c r="T360" s="6" t="n">
        <x:f>ROUND(MAX(0,O360+P360-Q360-S360),2)</x:f>
        <x:v>0</x:v>
      </x:c>
      <x:c r="U360" s="6" t="n">
        <x:f>Z359</x:f>
        <x:v>0</x:v>
      </x:c>
      <x:c r="V360" s="6" t="n">
        <x:f>ROUND(U360*'Debt strategy'!$D$12/12,2)</x:f>
        <x:v>0</x:v>
      </x:c>
      <x:c r="W360" s="6" t="n">
        <x:f>MIN(U360+V360,'Debt strategy'!$E$12)</x:f>
        <x:v>0</x:v>
      </x:c>
      <x:c r="X360" s="27" t="n">
        <x:f>IF(U360+V360-W360&lt;=0,99,1+SUM(IF(AND(C360+D360-E360&gt;0,OR('Debt strategy'!$D$9&gt;'Debt strategy'!$D$12,AND('Debt strategy'!$D$9='Debt strategy'!$D$12,0&lt;3))),1,0),IF(AND(I360+J360-K360&gt;0,OR('Debt strategy'!$D$10&gt;'Debt strategy'!$D$12,AND('Debt strategy'!$D$10='Debt strategy'!$D$12,1&lt;3))),1,0),IF(AND(O360+P360-Q360&gt;0,OR('Debt strategy'!$D$11&gt;'Debt strategy'!$D$12,AND('Debt strategy'!$D$11='Debt strategy'!$D$12,2&lt;3))),1,0),IF(AND(AA360+AB360-AC360&gt;0,OR('Debt strategy'!$D$13&gt;'Debt strategy'!$D$12,AND('Debt strategy'!$D$13='Debt strategy'!$D$12,4&lt;3))),1,0)))</x:f>
        <x:v>99</x:v>
      </x:c>
      <x:c r="Y360" s="6" t="n">
        <x:f>IF('Debt strategy'!$C$16&gt;0,0,MIN(U360+V360-W360,MAX(0,'Debt strategy'!$C$5-SUM(E360,K360,Q360,W360,AC360)-SUM(IF(F360&lt;X360,C360+D360-E360,0),IF(L360&lt;X360,I360+J360-K360,0),IF(R360&lt;X360,O360+P360-Q360,0),IF(AD360&lt;X360,AA360+AB360-AC360,0)))))</x:f>
        <x:v>0</x:v>
      </x:c>
      <x:c r="Z360" s="6" t="n">
        <x:f>ROUND(MAX(0,U360+V360-W360-Y360),2)</x:f>
        <x:v>0</x:v>
      </x:c>
      <x:c r="AA360" s="6" t="n">
        <x:f>AF359</x:f>
        <x:v>0</x:v>
      </x:c>
      <x:c r="AB360" s="6" t="n">
        <x:f>ROUND(AA360*'Debt strategy'!$D$13/12,2)</x:f>
        <x:v>0</x:v>
      </x:c>
      <x:c r="AC360" s="6" t="n">
        <x:f>MIN(AA360+AB360,'Debt strategy'!$E$13)</x:f>
        <x:v>0</x:v>
      </x:c>
      <x:c r="AD360" s="27" t="n">
        <x:f>IF(AA360+AB360-AC360&lt;=0,99,1+SUM(IF(AND(C360+D360-E360&gt;0,OR('Debt strategy'!$D$9&gt;'Debt strategy'!$D$13,AND('Debt strategy'!$D$9='Debt strategy'!$D$13,0&lt;4))),1,0),IF(AND(I360+J360-K360&gt;0,OR('Debt strategy'!$D$10&gt;'Debt strategy'!$D$13,AND('Debt strategy'!$D$10='Debt strategy'!$D$13,1&lt;4))),1,0),IF(AND(O360+P360-Q360&gt;0,OR('Debt strategy'!$D$11&gt;'Debt strategy'!$D$13,AND('Debt strategy'!$D$11='Debt strategy'!$D$13,2&lt;4))),1,0),IF(AND(U360+V360-W360&gt;0,OR('Debt strategy'!$D$12&gt;'Debt strategy'!$D$13,AND('Debt strategy'!$D$12='Debt strategy'!$D$13,3&lt;4))),1,0)))</x:f>
        <x:v>99</x:v>
      </x:c>
      <x:c r="AE360" s="6" t="n">
        <x:f>IF('Debt strategy'!$C$16&gt;0,0,MIN(AA360+AB360-AC360,MAX(0,'Debt strategy'!$C$5-SUM(E360,K360,Q360,W360,AC360)-SUM(IF(F360&lt;AD360,C360+D360-E360,0),IF(L360&lt;AD360,I360+J360-K360,0),IF(R360&lt;AD360,O360+P360-Q360,0),IF(X360&lt;AD360,U360+V360-W360,0)))))</x:f>
        <x:v>0</x:v>
      </x:c>
      <x:c r="AF360" s="6" t="n">
        <x:f>ROUND(MAX(0,AA360+AB360-AC360-AE360),2)</x:f>
        <x:v>0</x:v>
      </x:c>
      <x:c r="AG360" s="6" t="n">
        <x:f>SUM(H360,N360,T360,Z360,AF360)</x:f>
        <x:v>0</x:v>
      </x:c>
      <x:c r="AH360" s="6" t="n">
        <x:f>SUM(D360,J360,P360,V360,AB360)+AH359</x:f>
        <x:v>1220.8400000000001</x:v>
      </x:c>
      <x:c r="AI360" s="2"/>
    </x:row>
    <x:row r="361" ht="23" customHeight="1">
      <x:c r="B361" s="2" t="n">
        <x:f>353</x:f>
        <x:v>353</x:v>
      </x:c>
      <x:c r="C361" s="6" t="n">
        <x:f>H360</x:f>
        <x:v>0</x:v>
      </x:c>
      <x:c r="D361" s="6" t="n">
        <x:f>ROUND(C361*'Debt strategy'!$D$9/12,2)</x:f>
        <x:v>0</x:v>
      </x:c>
      <x:c r="E361" s="6" t="n">
        <x:f>MIN(C361+D361,'Debt strategy'!$E$9)</x:f>
        <x:v>0</x:v>
      </x:c>
      <x:c r="F361" s="27" t="n">
        <x:f>IF(C361+D361-E361&lt;=0,99,1+SUM(IF(AND(I361+J361-K361&gt;0,OR('Debt strategy'!$D$10&gt;'Debt strategy'!$D$9,AND('Debt strategy'!$D$10='Debt strategy'!$D$9,1&lt;0))),1,0),IF(AND(O361+P361-Q361&gt;0,OR('Debt strategy'!$D$11&gt;'Debt strategy'!$D$9,AND('Debt strategy'!$D$11='Debt strategy'!$D$9,2&lt;0))),1,0),IF(AND(U361+V361-W361&gt;0,OR('Debt strategy'!$D$12&gt;'Debt strategy'!$D$9,AND('Debt strategy'!$D$12='Debt strategy'!$D$9,3&lt;0))),1,0),IF(AND(AA361+AB361-AC361&gt;0,OR('Debt strategy'!$D$13&gt;'Debt strategy'!$D$9,AND('Debt strategy'!$D$13='Debt strategy'!$D$9,4&lt;0))),1,0)))</x:f>
        <x:v>99</x:v>
      </x:c>
      <x:c r="G361" s="6" t="n">
        <x:f>IF('Debt strategy'!$C$16&gt;0,0,MIN(C361+D361-E361,MAX(0,'Debt strategy'!$C$5-SUM(E361,K361,Q361,W361,AC361)-SUM(IF(L361&lt;F361,I361+J361-K361,0),IF(R361&lt;F361,O361+P361-Q361,0),IF(X361&lt;F361,U361+V361-W361,0),IF(AD361&lt;F361,AA361+AB361-AC361,0)))))</x:f>
        <x:v>0</x:v>
      </x:c>
      <x:c r="H361" s="6" t="n">
        <x:f>ROUND(MAX(0,C361+D361-E361-G361),2)</x:f>
        <x:v>0</x:v>
      </x:c>
      <x:c r="I361" s="6" t="n">
        <x:f>N360</x:f>
        <x:v>0</x:v>
      </x:c>
      <x:c r="J361" s="6" t="n">
        <x:f>ROUND(I361*'Debt strategy'!$D$10/12,2)</x:f>
        <x:v>0</x:v>
      </x:c>
      <x:c r="K361" s="6" t="n">
        <x:f>MIN(I361+J361,'Debt strategy'!$E$10)</x:f>
        <x:v>0</x:v>
      </x:c>
      <x:c r="L361" s="27" t="n">
        <x:f>IF(I361+J361-K361&lt;=0,99,1+SUM(IF(AND(C361+D361-E361&gt;0,OR('Debt strategy'!$D$9&gt;'Debt strategy'!$D$10,AND('Debt strategy'!$D$9='Debt strategy'!$D$10,0&lt;1))),1,0),IF(AND(O361+P361-Q361&gt;0,OR('Debt strategy'!$D$11&gt;'Debt strategy'!$D$10,AND('Debt strategy'!$D$11='Debt strategy'!$D$10,2&lt;1))),1,0),IF(AND(U361+V361-W361&gt;0,OR('Debt strategy'!$D$12&gt;'Debt strategy'!$D$10,AND('Debt strategy'!$D$12='Debt strategy'!$D$10,3&lt;1))),1,0),IF(AND(AA361+AB361-AC361&gt;0,OR('Debt strategy'!$D$13&gt;'Debt strategy'!$D$10,AND('Debt strategy'!$D$13='Debt strategy'!$D$10,4&lt;1))),1,0)))</x:f>
        <x:v>99</x:v>
      </x:c>
      <x:c r="M361" s="6" t="n">
        <x:f>IF('Debt strategy'!$C$16&gt;0,0,MIN(I361+J361-K361,MAX(0,'Debt strategy'!$C$5-SUM(E361,K361,Q361,W361,AC361)-SUM(IF(F361&lt;L361,C361+D361-E361,0),IF(R361&lt;L361,O361+P361-Q361,0),IF(X361&lt;L361,U361+V361-W361,0),IF(AD361&lt;L361,AA361+AB361-AC361,0)))))</x:f>
        <x:v>0</x:v>
      </x:c>
      <x:c r="N361" s="6" t="n">
        <x:f>ROUND(MAX(0,I361+J361-K361-M361),2)</x:f>
        <x:v>0</x:v>
      </x:c>
      <x:c r="O361" s="6" t="n">
        <x:f>T360</x:f>
        <x:v>0</x:v>
      </x:c>
      <x:c r="P361" s="6" t="n">
        <x:f>ROUND(O361*'Debt strategy'!$D$11/12,2)</x:f>
        <x:v>0</x:v>
      </x:c>
      <x:c r="Q361" s="6" t="n">
        <x:f>MIN(O361+P361,'Debt strategy'!$E$11)</x:f>
        <x:v>0</x:v>
      </x:c>
      <x:c r="R361" s="27" t="n">
        <x:f>IF(O361+P361-Q361&lt;=0,99,1+SUM(IF(AND(C361+D361-E361&gt;0,OR('Debt strategy'!$D$9&gt;'Debt strategy'!$D$11,AND('Debt strategy'!$D$9='Debt strategy'!$D$11,0&lt;2))),1,0),IF(AND(I361+J361-K361&gt;0,OR('Debt strategy'!$D$10&gt;'Debt strategy'!$D$11,AND('Debt strategy'!$D$10='Debt strategy'!$D$11,1&lt;2))),1,0),IF(AND(U361+V361-W361&gt;0,OR('Debt strategy'!$D$12&gt;'Debt strategy'!$D$11,AND('Debt strategy'!$D$12='Debt strategy'!$D$11,3&lt;2))),1,0),IF(AND(AA361+AB361-AC361&gt;0,OR('Debt strategy'!$D$13&gt;'Debt strategy'!$D$11,AND('Debt strategy'!$D$13='Debt strategy'!$D$11,4&lt;2))),1,0)))</x:f>
        <x:v>99</x:v>
      </x:c>
      <x:c r="S361" s="6" t="n">
        <x:f>IF('Debt strategy'!$C$16&gt;0,0,MIN(O361+P361-Q361,MAX(0,'Debt strategy'!$C$5-SUM(E361,K361,Q361,W361,AC361)-SUM(IF(F361&lt;R361,C361+D361-E361,0),IF(L361&lt;R361,I361+J361-K361,0),IF(X361&lt;R361,U361+V361-W361,0),IF(AD361&lt;R361,AA361+AB361-AC361,0)))))</x:f>
        <x:v>0</x:v>
      </x:c>
      <x:c r="T361" s="6" t="n">
        <x:f>ROUND(MAX(0,O361+P361-Q361-S361),2)</x:f>
        <x:v>0</x:v>
      </x:c>
      <x:c r="U361" s="6" t="n">
        <x:f>Z360</x:f>
        <x:v>0</x:v>
      </x:c>
      <x:c r="V361" s="6" t="n">
        <x:f>ROUND(U361*'Debt strategy'!$D$12/12,2)</x:f>
        <x:v>0</x:v>
      </x:c>
      <x:c r="W361" s="6" t="n">
        <x:f>MIN(U361+V361,'Debt strategy'!$E$12)</x:f>
        <x:v>0</x:v>
      </x:c>
      <x:c r="X361" s="27" t="n">
        <x:f>IF(U361+V361-W361&lt;=0,99,1+SUM(IF(AND(C361+D361-E361&gt;0,OR('Debt strategy'!$D$9&gt;'Debt strategy'!$D$12,AND('Debt strategy'!$D$9='Debt strategy'!$D$12,0&lt;3))),1,0),IF(AND(I361+J361-K361&gt;0,OR('Debt strategy'!$D$10&gt;'Debt strategy'!$D$12,AND('Debt strategy'!$D$10='Debt strategy'!$D$12,1&lt;3))),1,0),IF(AND(O361+P361-Q361&gt;0,OR('Debt strategy'!$D$11&gt;'Debt strategy'!$D$12,AND('Debt strategy'!$D$11='Debt strategy'!$D$12,2&lt;3))),1,0),IF(AND(AA361+AB361-AC361&gt;0,OR('Debt strategy'!$D$13&gt;'Debt strategy'!$D$12,AND('Debt strategy'!$D$13='Debt strategy'!$D$12,4&lt;3))),1,0)))</x:f>
        <x:v>99</x:v>
      </x:c>
      <x:c r="Y361" s="6" t="n">
        <x:f>IF('Debt strategy'!$C$16&gt;0,0,MIN(U361+V361-W361,MAX(0,'Debt strategy'!$C$5-SUM(E361,K361,Q361,W361,AC361)-SUM(IF(F361&lt;X361,C361+D361-E361,0),IF(L361&lt;X361,I361+J361-K361,0),IF(R361&lt;X361,O361+P361-Q361,0),IF(AD361&lt;X361,AA361+AB361-AC361,0)))))</x:f>
        <x:v>0</x:v>
      </x:c>
      <x:c r="Z361" s="6" t="n">
        <x:f>ROUND(MAX(0,U361+V361-W361-Y361),2)</x:f>
        <x:v>0</x:v>
      </x:c>
      <x:c r="AA361" s="6" t="n">
        <x:f>AF360</x:f>
        <x:v>0</x:v>
      </x:c>
      <x:c r="AB361" s="6" t="n">
        <x:f>ROUND(AA361*'Debt strategy'!$D$13/12,2)</x:f>
        <x:v>0</x:v>
      </x:c>
      <x:c r="AC361" s="6" t="n">
        <x:f>MIN(AA361+AB361,'Debt strategy'!$E$13)</x:f>
        <x:v>0</x:v>
      </x:c>
      <x:c r="AD361" s="27" t="n">
        <x:f>IF(AA361+AB361-AC361&lt;=0,99,1+SUM(IF(AND(C361+D361-E361&gt;0,OR('Debt strategy'!$D$9&gt;'Debt strategy'!$D$13,AND('Debt strategy'!$D$9='Debt strategy'!$D$13,0&lt;4))),1,0),IF(AND(I361+J361-K361&gt;0,OR('Debt strategy'!$D$10&gt;'Debt strategy'!$D$13,AND('Debt strategy'!$D$10='Debt strategy'!$D$13,1&lt;4))),1,0),IF(AND(O361+P361-Q361&gt;0,OR('Debt strategy'!$D$11&gt;'Debt strategy'!$D$13,AND('Debt strategy'!$D$11='Debt strategy'!$D$13,2&lt;4))),1,0),IF(AND(U361+V361-W361&gt;0,OR('Debt strategy'!$D$12&gt;'Debt strategy'!$D$13,AND('Debt strategy'!$D$12='Debt strategy'!$D$13,3&lt;4))),1,0)))</x:f>
        <x:v>99</x:v>
      </x:c>
      <x:c r="AE361" s="6" t="n">
        <x:f>IF('Debt strategy'!$C$16&gt;0,0,MIN(AA361+AB361-AC361,MAX(0,'Debt strategy'!$C$5-SUM(E361,K361,Q361,W361,AC361)-SUM(IF(F361&lt;AD361,C361+D361-E361,0),IF(L361&lt;AD361,I361+J361-K361,0),IF(R361&lt;AD361,O361+P361-Q361,0),IF(X361&lt;AD361,U361+V361-W361,0)))))</x:f>
        <x:v>0</x:v>
      </x:c>
      <x:c r="AF361" s="6" t="n">
        <x:f>ROUND(MAX(0,AA361+AB361-AC361-AE361),2)</x:f>
        <x:v>0</x:v>
      </x:c>
      <x:c r="AG361" s="6" t="n">
        <x:f>SUM(H361,N361,T361,Z361,AF361)</x:f>
        <x:v>0</x:v>
      </x:c>
      <x:c r="AH361" s="6" t="n">
        <x:f>SUM(D361,J361,P361,V361,AB361)+AH360</x:f>
        <x:v>1220.8400000000001</x:v>
      </x:c>
      <x:c r="AI361" s="2"/>
    </x:row>
    <x:row r="362" ht="23" customHeight="1">
      <x:c r="B362" s="2" t="n">
        <x:f>354</x:f>
        <x:v>354</x:v>
      </x:c>
      <x:c r="C362" s="6" t="n">
        <x:f>H361</x:f>
        <x:v>0</x:v>
      </x:c>
      <x:c r="D362" s="6" t="n">
        <x:f>ROUND(C362*'Debt strategy'!$D$9/12,2)</x:f>
        <x:v>0</x:v>
      </x:c>
      <x:c r="E362" s="6" t="n">
        <x:f>MIN(C362+D362,'Debt strategy'!$E$9)</x:f>
        <x:v>0</x:v>
      </x:c>
      <x:c r="F362" s="27" t="n">
        <x:f>IF(C362+D362-E362&lt;=0,99,1+SUM(IF(AND(I362+J362-K362&gt;0,OR('Debt strategy'!$D$10&gt;'Debt strategy'!$D$9,AND('Debt strategy'!$D$10='Debt strategy'!$D$9,1&lt;0))),1,0),IF(AND(O362+P362-Q362&gt;0,OR('Debt strategy'!$D$11&gt;'Debt strategy'!$D$9,AND('Debt strategy'!$D$11='Debt strategy'!$D$9,2&lt;0))),1,0),IF(AND(U362+V362-W362&gt;0,OR('Debt strategy'!$D$12&gt;'Debt strategy'!$D$9,AND('Debt strategy'!$D$12='Debt strategy'!$D$9,3&lt;0))),1,0),IF(AND(AA362+AB362-AC362&gt;0,OR('Debt strategy'!$D$13&gt;'Debt strategy'!$D$9,AND('Debt strategy'!$D$13='Debt strategy'!$D$9,4&lt;0))),1,0)))</x:f>
        <x:v>99</x:v>
      </x:c>
      <x:c r="G362" s="6" t="n">
        <x:f>IF('Debt strategy'!$C$16&gt;0,0,MIN(C362+D362-E362,MAX(0,'Debt strategy'!$C$5-SUM(E362,K362,Q362,W362,AC362)-SUM(IF(L362&lt;F362,I362+J362-K362,0),IF(R362&lt;F362,O362+P362-Q362,0),IF(X362&lt;F362,U362+V362-W362,0),IF(AD362&lt;F362,AA362+AB362-AC362,0)))))</x:f>
        <x:v>0</x:v>
      </x:c>
      <x:c r="H362" s="6" t="n">
        <x:f>ROUND(MAX(0,C362+D362-E362-G362),2)</x:f>
        <x:v>0</x:v>
      </x:c>
      <x:c r="I362" s="6" t="n">
        <x:f>N361</x:f>
        <x:v>0</x:v>
      </x:c>
      <x:c r="J362" s="6" t="n">
        <x:f>ROUND(I362*'Debt strategy'!$D$10/12,2)</x:f>
        <x:v>0</x:v>
      </x:c>
      <x:c r="K362" s="6" t="n">
        <x:f>MIN(I362+J362,'Debt strategy'!$E$10)</x:f>
        <x:v>0</x:v>
      </x:c>
      <x:c r="L362" s="27" t="n">
        <x:f>IF(I362+J362-K362&lt;=0,99,1+SUM(IF(AND(C362+D362-E362&gt;0,OR('Debt strategy'!$D$9&gt;'Debt strategy'!$D$10,AND('Debt strategy'!$D$9='Debt strategy'!$D$10,0&lt;1))),1,0),IF(AND(O362+P362-Q362&gt;0,OR('Debt strategy'!$D$11&gt;'Debt strategy'!$D$10,AND('Debt strategy'!$D$11='Debt strategy'!$D$10,2&lt;1))),1,0),IF(AND(U362+V362-W362&gt;0,OR('Debt strategy'!$D$12&gt;'Debt strategy'!$D$10,AND('Debt strategy'!$D$12='Debt strategy'!$D$10,3&lt;1))),1,0),IF(AND(AA362+AB362-AC362&gt;0,OR('Debt strategy'!$D$13&gt;'Debt strategy'!$D$10,AND('Debt strategy'!$D$13='Debt strategy'!$D$10,4&lt;1))),1,0)))</x:f>
        <x:v>99</x:v>
      </x:c>
      <x:c r="M362" s="6" t="n">
        <x:f>IF('Debt strategy'!$C$16&gt;0,0,MIN(I362+J362-K362,MAX(0,'Debt strategy'!$C$5-SUM(E362,K362,Q362,W362,AC362)-SUM(IF(F362&lt;L362,C362+D362-E362,0),IF(R362&lt;L362,O362+P362-Q362,0),IF(X362&lt;L362,U362+V362-W362,0),IF(AD362&lt;L362,AA362+AB362-AC362,0)))))</x:f>
        <x:v>0</x:v>
      </x:c>
      <x:c r="N362" s="6" t="n">
        <x:f>ROUND(MAX(0,I362+J362-K362-M362),2)</x:f>
        <x:v>0</x:v>
      </x:c>
      <x:c r="O362" s="6" t="n">
        <x:f>T361</x:f>
        <x:v>0</x:v>
      </x:c>
      <x:c r="P362" s="6" t="n">
        <x:f>ROUND(O362*'Debt strategy'!$D$11/12,2)</x:f>
        <x:v>0</x:v>
      </x:c>
      <x:c r="Q362" s="6" t="n">
        <x:f>MIN(O362+P362,'Debt strategy'!$E$11)</x:f>
        <x:v>0</x:v>
      </x:c>
      <x:c r="R362" s="27" t="n">
        <x:f>IF(O362+P362-Q362&lt;=0,99,1+SUM(IF(AND(C362+D362-E362&gt;0,OR('Debt strategy'!$D$9&gt;'Debt strategy'!$D$11,AND('Debt strategy'!$D$9='Debt strategy'!$D$11,0&lt;2))),1,0),IF(AND(I362+J362-K362&gt;0,OR('Debt strategy'!$D$10&gt;'Debt strategy'!$D$11,AND('Debt strategy'!$D$10='Debt strategy'!$D$11,1&lt;2))),1,0),IF(AND(U362+V362-W362&gt;0,OR('Debt strategy'!$D$12&gt;'Debt strategy'!$D$11,AND('Debt strategy'!$D$12='Debt strategy'!$D$11,3&lt;2))),1,0),IF(AND(AA362+AB362-AC362&gt;0,OR('Debt strategy'!$D$13&gt;'Debt strategy'!$D$11,AND('Debt strategy'!$D$13='Debt strategy'!$D$11,4&lt;2))),1,0)))</x:f>
        <x:v>99</x:v>
      </x:c>
      <x:c r="S362" s="6" t="n">
        <x:f>IF('Debt strategy'!$C$16&gt;0,0,MIN(O362+P362-Q362,MAX(0,'Debt strategy'!$C$5-SUM(E362,K362,Q362,W362,AC362)-SUM(IF(F362&lt;R362,C362+D362-E362,0),IF(L362&lt;R362,I362+J362-K362,0),IF(X362&lt;R362,U362+V362-W362,0),IF(AD362&lt;R362,AA362+AB362-AC362,0)))))</x:f>
        <x:v>0</x:v>
      </x:c>
      <x:c r="T362" s="6" t="n">
        <x:f>ROUND(MAX(0,O362+P362-Q362-S362),2)</x:f>
        <x:v>0</x:v>
      </x:c>
      <x:c r="U362" s="6" t="n">
        <x:f>Z361</x:f>
        <x:v>0</x:v>
      </x:c>
      <x:c r="V362" s="6" t="n">
        <x:f>ROUND(U362*'Debt strategy'!$D$12/12,2)</x:f>
        <x:v>0</x:v>
      </x:c>
      <x:c r="W362" s="6" t="n">
        <x:f>MIN(U362+V362,'Debt strategy'!$E$12)</x:f>
        <x:v>0</x:v>
      </x:c>
      <x:c r="X362" s="27" t="n">
        <x:f>IF(U362+V362-W362&lt;=0,99,1+SUM(IF(AND(C362+D362-E362&gt;0,OR('Debt strategy'!$D$9&gt;'Debt strategy'!$D$12,AND('Debt strategy'!$D$9='Debt strategy'!$D$12,0&lt;3))),1,0),IF(AND(I362+J362-K362&gt;0,OR('Debt strategy'!$D$10&gt;'Debt strategy'!$D$12,AND('Debt strategy'!$D$10='Debt strategy'!$D$12,1&lt;3))),1,0),IF(AND(O362+P362-Q362&gt;0,OR('Debt strategy'!$D$11&gt;'Debt strategy'!$D$12,AND('Debt strategy'!$D$11='Debt strategy'!$D$12,2&lt;3))),1,0),IF(AND(AA362+AB362-AC362&gt;0,OR('Debt strategy'!$D$13&gt;'Debt strategy'!$D$12,AND('Debt strategy'!$D$13='Debt strategy'!$D$12,4&lt;3))),1,0)))</x:f>
        <x:v>99</x:v>
      </x:c>
      <x:c r="Y362" s="6" t="n">
        <x:f>IF('Debt strategy'!$C$16&gt;0,0,MIN(U362+V362-W362,MAX(0,'Debt strategy'!$C$5-SUM(E362,K362,Q362,W362,AC362)-SUM(IF(F362&lt;X362,C362+D362-E362,0),IF(L362&lt;X362,I362+J362-K362,0),IF(R362&lt;X362,O362+P362-Q362,0),IF(AD362&lt;X362,AA362+AB362-AC362,0)))))</x:f>
        <x:v>0</x:v>
      </x:c>
      <x:c r="Z362" s="6" t="n">
        <x:f>ROUND(MAX(0,U362+V362-W362-Y362),2)</x:f>
        <x:v>0</x:v>
      </x:c>
      <x:c r="AA362" s="6" t="n">
        <x:f>AF361</x:f>
        <x:v>0</x:v>
      </x:c>
      <x:c r="AB362" s="6" t="n">
        <x:f>ROUND(AA362*'Debt strategy'!$D$13/12,2)</x:f>
        <x:v>0</x:v>
      </x:c>
      <x:c r="AC362" s="6" t="n">
        <x:f>MIN(AA362+AB362,'Debt strategy'!$E$13)</x:f>
        <x:v>0</x:v>
      </x:c>
      <x:c r="AD362" s="27" t="n">
        <x:f>IF(AA362+AB362-AC362&lt;=0,99,1+SUM(IF(AND(C362+D362-E362&gt;0,OR('Debt strategy'!$D$9&gt;'Debt strategy'!$D$13,AND('Debt strategy'!$D$9='Debt strategy'!$D$13,0&lt;4))),1,0),IF(AND(I362+J362-K362&gt;0,OR('Debt strategy'!$D$10&gt;'Debt strategy'!$D$13,AND('Debt strategy'!$D$10='Debt strategy'!$D$13,1&lt;4))),1,0),IF(AND(O362+P362-Q362&gt;0,OR('Debt strategy'!$D$11&gt;'Debt strategy'!$D$13,AND('Debt strategy'!$D$11='Debt strategy'!$D$13,2&lt;4))),1,0),IF(AND(U362+V362-W362&gt;0,OR('Debt strategy'!$D$12&gt;'Debt strategy'!$D$13,AND('Debt strategy'!$D$12='Debt strategy'!$D$13,3&lt;4))),1,0)))</x:f>
        <x:v>99</x:v>
      </x:c>
      <x:c r="AE362" s="6" t="n">
        <x:f>IF('Debt strategy'!$C$16&gt;0,0,MIN(AA362+AB362-AC362,MAX(0,'Debt strategy'!$C$5-SUM(E362,K362,Q362,W362,AC362)-SUM(IF(F362&lt;AD362,C362+D362-E362,0),IF(L362&lt;AD362,I362+J362-K362,0),IF(R362&lt;AD362,O362+P362-Q362,0),IF(X362&lt;AD362,U362+V362-W362,0)))))</x:f>
        <x:v>0</x:v>
      </x:c>
      <x:c r="AF362" s="6" t="n">
        <x:f>ROUND(MAX(0,AA362+AB362-AC362-AE362),2)</x:f>
        <x:v>0</x:v>
      </x:c>
      <x:c r="AG362" s="6" t="n">
        <x:f>SUM(H362,N362,T362,Z362,AF362)</x:f>
        <x:v>0</x:v>
      </x:c>
      <x:c r="AH362" s="6" t="n">
        <x:f>SUM(D362,J362,P362,V362,AB362)+AH361</x:f>
        <x:v>1220.8400000000001</x:v>
      </x:c>
      <x:c r="AI362" s="2"/>
    </x:row>
    <x:row r="363" ht="23" customHeight="1">
      <x:c r="B363" s="2" t="n">
        <x:f>355</x:f>
        <x:v>355</x:v>
      </x:c>
      <x:c r="C363" s="6" t="n">
        <x:f>H362</x:f>
        <x:v>0</x:v>
      </x:c>
      <x:c r="D363" s="6" t="n">
        <x:f>ROUND(C363*'Debt strategy'!$D$9/12,2)</x:f>
        <x:v>0</x:v>
      </x:c>
      <x:c r="E363" s="6" t="n">
        <x:f>MIN(C363+D363,'Debt strategy'!$E$9)</x:f>
        <x:v>0</x:v>
      </x:c>
      <x:c r="F363" s="27" t="n">
        <x:f>IF(C363+D363-E363&lt;=0,99,1+SUM(IF(AND(I363+J363-K363&gt;0,OR('Debt strategy'!$D$10&gt;'Debt strategy'!$D$9,AND('Debt strategy'!$D$10='Debt strategy'!$D$9,1&lt;0))),1,0),IF(AND(O363+P363-Q363&gt;0,OR('Debt strategy'!$D$11&gt;'Debt strategy'!$D$9,AND('Debt strategy'!$D$11='Debt strategy'!$D$9,2&lt;0))),1,0),IF(AND(U363+V363-W363&gt;0,OR('Debt strategy'!$D$12&gt;'Debt strategy'!$D$9,AND('Debt strategy'!$D$12='Debt strategy'!$D$9,3&lt;0))),1,0),IF(AND(AA363+AB363-AC363&gt;0,OR('Debt strategy'!$D$13&gt;'Debt strategy'!$D$9,AND('Debt strategy'!$D$13='Debt strategy'!$D$9,4&lt;0))),1,0)))</x:f>
        <x:v>99</x:v>
      </x:c>
      <x:c r="G363" s="6" t="n">
        <x:f>IF('Debt strategy'!$C$16&gt;0,0,MIN(C363+D363-E363,MAX(0,'Debt strategy'!$C$5-SUM(E363,K363,Q363,W363,AC363)-SUM(IF(L363&lt;F363,I363+J363-K363,0),IF(R363&lt;F363,O363+P363-Q363,0),IF(X363&lt;F363,U363+V363-W363,0),IF(AD363&lt;F363,AA363+AB363-AC363,0)))))</x:f>
        <x:v>0</x:v>
      </x:c>
      <x:c r="H363" s="6" t="n">
        <x:f>ROUND(MAX(0,C363+D363-E363-G363),2)</x:f>
        <x:v>0</x:v>
      </x:c>
      <x:c r="I363" s="6" t="n">
        <x:f>N362</x:f>
        <x:v>0</x:v>
      </x:c>
      <x:c r="J363" s="6" t="n">
        <x:f>ROUND(I363*'Debt strategy'!$D$10/12,2)</x:f>
        <x:v>0</x:v>
      </x:c>
      <x:c r="K363" s="6" t="n">
        <x:f>MIN(I363+J363,'Debt strategy'!$E$10)</x:f>
        <x:v>0</x:v>
      </x:c>
      <x:c r="L363" s="27" t="n">
        <x:f>IF(I363+J363-K363&lt;=0,99,1+SUM(IF(AND(C363+D363-E363&gt;0,OR('Debt strategy'!$D$9&gt;'Debt strategy'!$D$10,AND('Debt strategy'!$D$9='Debt strategy'!$D$10,0&lt;1))),1,0),IF(AND(O363+P363-Q363&gt;0,OR('Debt strategy'!$D$11&gt;'Debt strategy'!$D$10,AND('Debt strategy'!$D$11='Debt strategy'!$D$10,2&lt;1))),1,0),IF(AND(U363+V363-W363&gt;0,OR('Debt strategy'!$D$12&gt;'Debt strategy'!$D$10,AND('Debt strategy'!$D$12='Debt strategy'!$D$10,3&lt;1))),1,0),IF(AND(AA363+AB363-AC363&gt;0,OR('Debt strategy'!$D$13&gt;'Debt strategy'!$D$10,AND('Debt strategy'!$D$13='Debt strategy'!$D$10,4&lt;1))),1,0)))</x:f>
        <x:v>99</x:v>
      </x:c>
      <x:c r="M363" s="6" t="n">
        <x:f>IF('Debt strategy'!$C$16&gt;0,0,MIN(I363+J363-K363,MAX(0,'Debt strategy'!$C$5-SUM(E363,K363,Q363,W363,AC363)-SUM(IF(F363&lt;L363,C363+D363-E363,0),IF(R363&lt;L363,O363+P363-Q363,0),IF(X363&lt;L363,U363+V363-W363,0),IF(AD363&lt;L363,AA363+AB363-AC363,0)))))</x:f>
        <x:v>0</x:v>
      </x:c>
      <x:c r="N363" s="6" t="n">
        <x:f>ROUND(MAX(0,I363+J363-K363-M363),2)</x:f>
        <x:v>0</x:v>
      </x:c>
      <x:c r="O363" s="6" t="n">
        <x:f>T362</x:f>
        <x:v>0</x:v>
      </x:c>
      <x:c r="P363" s="6" t="n">
        <x:f>ROUND(O363*'Debt strategy'!$D$11/12,2)</x:f>
        <x:v>0</x:v>
      </x:c>
      <x:c r="Q363" s="6" t="n">
        <x:f>MIN(O363+P363,'Debt strategy'!$E$11)</x:f>
        <x:v>0</x:v>
      </x:c>
      <x:c r="R363" s="27" t="n">
        <x:f>IF(O363+P363-Q363&lt;=0,99,1+SUM(IF(AND(C363+D363-E363&gt;0,OR('Debt strategy'!$D$9&gt;'Debt strategy'!$D$11,AND('Debt strategy'!$D$9='Debt strategy'!$D$11,0&lt;2))),1,0),IF(AND(I363+J363-K363&gt;0,OR('Debt strategy'!$D$10&gt;'Debt strategy'!$D$11,AND('Debt strategy'!$D$10='Debt strategy'!$D$11,1&lt;2))),1,0),IF(AND(U363+V363-W363&gt;0,OR('Debt strategy'!$D$12&gt;'Debt strategy'!$D$11,AND('Debt strategy'!$D$12='Debt strategy'!$D$11,3&lt;2))),1,0),IF(AND(AA363+AB363-AC363&gt;0,OR('Debt strategy'!$D$13&gt;'Debt strategy'!$D$11,AND('Debt strategy'!$D$13='Debt strategy'!$D$11,4&lt;2))),1,0)))</x:f>
        <x:v>99</x:v>
      </x:c>
      <x:c r="S363" s="6" t="n">
        <x:f>IF('Debt strategy'!$C$16&gt;0,0,MIN(O363+P363-Q363,MAX(0,'Debt strategy'!$C$5-SUM(E363,K363,Q363,W363,AC363)-SUM(IF(F363&lt;R363,C363+D363-E363,0),IF(L363&lt;R363,I363+J363-K363,0),IF(X363&lt;R363,U363+V363-W363,0),IF(AD363&lt;R363,AA363+AB363-AC363,0)))))</x:f>
        <x:v>0</x:v>
      </x:c>
      <x:c r="T363" s="6" t="n">
        <x:f>ROUND(MAX(0,O363+P363-Q363-S363),2)</x:f>
        <x:v>0</x:v>
      </x:c>
      <x:c r="U363" s="6" t="n">
        <x:f>Z362</x:f>
        <x:v>0</x:v>
      </x:c>
      <x:c r="V363" s="6" t="n">
        <x:f>ROUND(U363*'Debt strategy'!$D$12/12,2)</x:f>
        <x:v>0</x:v>
      </x:c>
      <x:c r="W363" s="6" t="n">
        <x:f>MIN(U363+V363,'Debt strategy'!$E$12)</x:f>
        <x:v>0</x:v>
      </x:c>
      <x:c r="X363" s="27" t="n">
        <x:f>IF(U363+V363-W363&lt;=0,99,1+SUM(IF(AND(C363+D363-E363&gt;0,OR('Debt strategy'!$D$9&gt;'Debt strategy'!$D$12,AND('Debt strategy'!$D$9='Debt strategy'!$D$12,0&lt;3))),1,0),IF(AND(I363+J363-K363&gt;0,OR('Debt strategy'!$D$10&gt;'Debt strategy'!$D$12,AND('Debt strategy'!$D$10='Debt strategy'!$D$12,1&lt;3))),1,0),IF(AND(O363+P363-Q363&gt;0,OR('Debt strategy'!$D$11&gt;'Debt strategy'!$D$12,AND('Debt strategy'!$D$11='Debt strategy'!$D$12,2&lt;3))),1,0),IF(AND(AA363+AB363-AC363&gt;0,OR('Debt strategy'!$D$13&gt;'Debt strategy'!$D$12,AND('Debt strategy'!$D$13='Debt strategy'!$D$12,4&lt;3))),1,0)))</x:f>
        <x:v>99</x:v>
      </x:c>
      <x:c r="Y363" s="6" t="n">
        <x:f>IF('Debt strategy'!$C$16&gt;0,0,MIN(U363+V363-W363,MAX(0,'Debt strategy'!$C$5-SUM(E363,K363,Q363,W363,AC363)-SUM(IF(F363&lt;X363,C363+D363-E363,0),IF(L363&lt;X363,I363+J363-K363,0),IF(R363&lt;X363,O363+P363-Q363,0),IF(AD363&lt;X363,AA363+AB363-AC363,0)))))</x:f>
        <x:v>0</x:v>
      </x:c>
      <x:c r="Z363" s="6" t="n">
        <x:f>ROUND(MAX(0,U363+V363-W363-Y363),2)</x:f>
        <x:v>0</x:v>
      </x:c>
      <x:c r="AA363" s="6" t="n">
        <x:f>AF362</x:f>
        <x:v>0</x:v>
      </x:c>
      <x:c r="AB363" s="6" t="n">
        <x:f>ROUND(AA363*'Debt strategy'!$D$13/12,2)</x:f>
        <x:v>0</x:v>
      </x:c>
      <x:c r="AC363" s="6" t="n">
        <x:f>MIN(AA363+AB363,'Debt strategy'!$E$13)</x:f>
        <x:v>0</x:v>
      </x:c>
      <x:c r="AD363" s="27" t="n">
        <x:f>IF(AA363+AB363-AC363&lt;=0,99,1+SUM(IF(AND(C363+D363-E363&gt;0,OR('Debt strategy'!$D$9&gt;'Debt strategy'!$D$13,AND('Debt strategy'!$D$9='Debt strategy'!$D$13,0&lt;4))),1,0),IF(AND(I363+J363-K363&gt;0,OR('Debt strategy'!$D$10&gt;'Debt strategy'!$D$13,AND('Debt strategy'!$D$10='Debt strategy'!$D$13,1&lt;4))),1,0),IF(AND(O363+P363-Q363&gt;0,OR('Debt strategy'!$D$11&gt;'Debt strategy'!$D$13,AND('Debt strategy'!$D$11='Debt strategy'!$D$13,2&lt;4))),1,0),IF(AND(U363+V363-W363&gt;0,OR('Debt strategy'!$D$12&gt;'Debt strategy'!$D$13,AND('Debt strategy'!$D$12='Debt strategy'!$D$13,3&lt;4))),1,0)))</x:f>
        <x:v>99</x:v>
      </x:c>
      <x:c r="AE363" s="6" t="n">
        <x:f>IF('Debt strategy'!$C$16&gt;0,0,MIN(AA363+AB363-AC363,MAX(0,'Debt strategy'!$C$5-SUM(E363,K363,Q363,W363,AC363)-SUM(IF(F363&lt;AD363,C363+D363-E363,0),IF(L363&lt;AD363,I363+J363-K363,0),IF(R363&lt;AD363,O363+P363-Q363,0),IF(X363&lt;AD363,U363+V363-W363,0)))))</x:f>
        <x:v>0</x:v>
      </x:c>
      <x:c r="AF363" s="6" t="n">
        <x:f>ROUND(MAX(0,AA363+AB363-AC363-AE363),2)</x:f>
        <x:v>0</x:v>
      </x:c>
      <x:c r="AG363" s="6" t="n">
        <x:f>SUM(H363,N363,T363,Z363,AF363)</x:f>
        <x:v>0</x:v>
      </x:c>
      <x:c r="AH363" s="6" t="n">
        <x:f>SUM(D363,J363,P363,V363,AB363)+AH362</x:f>
        <x:v>1220.8400000000001</x:v>
      </x:c>
      <x:c r="AI363" s="2"/>
    </x:row>
    <x:row r="364" ht="23" customHeight="1">
      <x:c r="B364" s="2" t="n">
        <x:f>356</x:f>
        <x:v>356</x:v>
      </x:c>
      <x:c r="C364" s="6" t="n">
        <x:f>H363</x:f>
        <x:v>0</x:v>
      </x:c>
      <x:c r="D364" s="6" t="n">
        <x:f>ROUND(C364*'Debt strategy'!$D$9/12,2)</x:f>
        <x:v>0</x:v>
      </x:c>
      <x:c r="E364" s="6" t="n">
        <x:f>MIN(C364+D364,'Debt strategy'!$E$9)</x:f>
        <x:v>0</x:v>
      </x:c>
      <x:c r="F364" s="27" t="n">
        <x:f>IF(C364+D364-E364&lt;=0,99,1+SUM(IF(AND(I364+J364-K364&gt;0,OR('Debt strategy'!$D$10&gt;'Debt strategy'!$D$9,AND('Debt strategy'!$D$10='Debt strategy'!$D$9,1&lt;0))),1,0),IF(AND(O364+P364-Q364&gt;0,OR('Debt strategy'!$D$11&gt;'Debt strategy'!$D$9,AND('Debt strategy'!$D$11='Debt strategy'!$D$9,2&lt;0))),1,0),IF(AND(U364+V364-W364&gt;0,OR('Debt strategy'!$D$12&gt;'Debt strategy'!$D$9,AND('Debt strategy'!$D$12='Debt strategy'!$D$9,3&lt;0))),1,0),IF(AND(AA364+AB364-AC364&gt;0,OR('Debt strategy'!$D$13&gt;'Debt strategy'!$D$9,AND('Debt strategy'!$D$13='Debt strategy'!$D$9,4&lt;0))),1,0)))</x:f>
        <x:v>99</x:v>
      </x:c>
      <x:c r="G364" s="6" t="n">
        <x:f>IF('Debt strategy'!$C$16&gt;0,0,MIN(C364+D364-E364,MAX(0,'Debt strategy'!$C$5-SUM(E364,K364,Q364,W364,AC364)-SUM(IF(L364&lt;F364,I364+J364-K364,0),IF(R364&lt;F364,O364+P364-Q364,0),IF(X364&lt;F364,U364+V364-W364,0),IF(AD364&lt;F364,AA364+AB364-AC364,0)))))</x:f>
        <x:v>0</x:v>
      </x:c>
      <x:c r="H364" s="6" t="n">
        <x:f>ROUND(MAX(0,C364+D364-E364-G364),2)</x:f>
        <x:v>0</x:v>
      </x:c>
      <x:c r="I364" s="6" t="n">
        <x:f>N363</x:f>
        <x:v>0</x:v>
      </x:c>
      <x:c r="J364" s="6" t="n">
        <x:f>ROUND(I364*'Debt strategy'!$D$10/12,2)</x:f>
        <x:v>0</x:v>
      </x:c>
      <x:c r="K364" s="6" t="n">
        <x:f>MIN(I364+J364,'Debt strategy'!$E$10)</x:f>
        <x:v>0</x:v>
      </x:c>
      <x:c r="L364" s="27" t="n">
        <x:f>IF(I364+J364-K364&lt;=0,99,1+SUM(IF(AND(C364+D364-E364&gt;0,OR('Debt strategy'!$D$9&gt;'Debt strategy'!$D$10,AND('Debt strategy'!$D$9='Debt strategy'!$D$10,0&lt;1))),1,0),IF(AND(O364+P364-Q364&gt;0,OR('Debt strategy'!$D$11&gt;'Debt strategy'!$D$10,AND('Debt strategy'!$D$11='Debt strategy'!$D$10,2&lt;1))),1,0),IF(AND(U364+V364-W364&gt;0,OR('Debt strategy'!$D$12&gt;'Debt strategy'!$D$10,AND('Debt strategy'!$D$12='Debt strategy'!$D$10,3&lt;1))),1,0),IF(AND(AA364+AB364-AC364&gt;0,OR('Debt strategy'!$D$13&gt;'Debt strategy'!$D$10,AND('Debt strategy'!$D$13='Debt strategy'!$D$10,4&lt;1))),1,0)))</x:f>
        <x:v>99</x:v>
      </x:c>
      <x:c r="M364" s="6" t="n">
        <x:f>IF('Debt strategy'!$C$16&gt;0,0,MIN(I364+J364-K364,MAX(0,'Debt strategy'!$C$5-SUM(E364,K364,Q364,W364,AC364)-SUM(IF(F364&lt;L364,C364+D364-E364,0),IF(R364&lt;L364,O364+P364-Q364,0),IF(X364&lt;L364,U364+V364-W364,0),IF(AD364&lt;L364,AA364+AB364-AC364,0)))))</x:f>
        <x:v>0</x:v>
      </x:c>
      <x:c r="N364" s="6" t="n">
        <x:f>ROUND(MAX(0,I364+J364-K364-M364),2)</x:f>
        <x:v>0</x:v>
      </x:c>
      <x:c r="O364" s="6" t="n">
        <x:f>T363</x:f>
        <x:v>0</x:v>
      </x:c>
      <x:c r="P364" s="6" t="n">
        <x:f>ROUND(O364*'Debt strategy'!$D$11/12,2)</x:f>
        <x:v>0</x:v>
      </x:c>
      <x:c r="Q364" s="6" t="n">
        <x:f>MIN(O364+P364,'Debt strategy'!$E$11)</x:f>
        <x:v>0</x:v>
      </x:c>
      <x:c r="R364" s="27" t="n">
        <x:f>IF(O364+P364-Q364&lt;=0,99,1+SUM(IF(AND(C364+D364-E364&gt;0,OR('Debt strategy'!$D$9&gt;'Debt strategy'!$D$11,AND('Debt strategy'!$D$9='Debt strategy'!$D$11,0&lt;2))),1,0),IF(AND(I364+J364-K364&gt;0,OR('Debt strategy'!$D$10&gt;'Debt strategy'!$D$11,AND('Debt strategy'!$D$10='Debt strategy'!$D$11,1&lt;2))),1,0),IF(AND(U364+V364-W364&gt;0,OR('Debt strategy'!$D$12&gt;'Debt strategy'!$D$11,AND('Debt strategy'!$D$12='Debt strategy'!$D$11,3&lt;2))),1,0),IF(AND(AA364+AB364-AC364&gt;0,OR('Debt strategy'!$D$13&gt;'Debt strategy'!$D$11,AND('Debt strategy'!$D$13='Debt strategy'!$D$11,4&lt;2))),1,0)))</x:f>
        <x:v>99</x:v>
      </x:c>
      <x:c r="S364" s="6" t="n">
        <x:f>IF('Debt strategy'!$C$16&gt;0,0,MIN(O364+P364-Q364,MAX(0,'Debt strategy'!$C$5-SUM(E364,K364,Q364,W364,AC364)-SUM(IF(F364&lt;R364,C364+D364-E364,0),IF(L364&lt;R364,I364+J364-K364,0),IF(X364&lt;R364,U364+V364-W364,0),IF(AD364&lt;R364,AA364+AB364-AC364,0)))))</x:f>
        <x:v>0</x:v>
      </x:c>
      <x:c r="T364" s="6" t="n">
        <x:f>ROUND(MAX(0,O364+P364-Q364-S364),2)</x:f>
        <x:v>0</x:v>
      </x:c>
      <x:c r="U364" s="6" t="n">
        <x:f>Z363</x:f>
        <x:v>0</x:v>
      </x:c>
      <x:c r="V364" s="6" t="n">
        <x:f>ROUND(U364*'Debt strategy'!$D$12/12,2)</x:f>
        <x:v>0</x:v>
      </x:c>
      <x:c r="W364" s="6" t="n">
        <x:f>MIN(U364+V364,'Debt strategy'!$E$12)</x:f>
        <x:v>0</x:v>
      </x:c>
      <x:c r="X364" s="27" t="n">
        <x:f>IF(U364+V364-W364&lt;=0,99,1+SUM(IF(AND(C364+D364-E364&gt;0,OR('Debt strategy'!$D$9&gt;'Debt strategy'!$D$12,AND('Debt strategy'!$D$9='Debt strategy'!$D$12,0&lt;3))),1,0),IF(AND(I364+J364-K364&gt;0,OR('Debt strategy'!$D$10&gt;'Debt strategy'!$D$12,AND('Debt strategy'!$D$10='Debt strategy'!$D$12,1&lt;3))),1,0),IF(AND(O364+P364-Q364&gt;0,OR('Debt strategy'!$D$11&gt;'Debt strategy'!$D$12,AND('Debt strategy'!$D$11='Debt strategy'!$D$12,2&lt;3))),1,0),IF(AND(AA364+AB364-AC364&gt;0,OR('Debt strategy'!$D$13&gt;'Debt strategy'!$D$12,AND('Debt strategy'!$D$13='Debt strategy'!$D$12,4&lt;3))),1,0)))</x:f>
        <x:v>99</x:v>
      </x:c>
      <x:c r="Y364" s="6" t="n">
        <x:f>IF('Debt strategy'!$C$16&gt;0,0,MIN(U364+V364-W364,MAX(0,'Debt strategy'!$C$5-SUM(E364,K364,Q364,W364,AC364)-SUM(IF(F364&lt;X364,C364+D364-E364,0),IF(L364&lt;X364,I364+J364-K364,0),IF(R364&lt;X364,O364+P364-Q364,0),IF(AD364&lt;X364,AA364+AB364-AC364,0)))))</x:f>
        <x:v>0</x:v>
      </x:c>
      <x:c r="Z364" s="6" t="n">
        <x:f>ROUND(MAX(0,U364+V364-W364-Y364),2)</x:f>
        <x:v>0</x:v>
      </x:c>
      <x:c r="AA364" s="6" t="n">
        <x:f>AF363</x:f>
        <x:v>0</x:v>
      </x:c>
      <x:c r="AB364" s="6" t="n">
        <x:f>ROUND(AA364*'Debt strategy'!$D$13/12,2)</x:f>
        <x:v>0</x:v>
      </x:c>
      <x:c r="AC364" s="6" t="n">
        <x:f>MIN(AA364+AB364,'Debt strategy'!$E$13)</x:f>
        <x:v>0</x:v>
      </x:c>
      <x:c r="AD364" s="27" t="n">
        <x:f>IF(AA364+AB364-AC364&lt;=0,99,1+SUM(IF(AND(C364+D364-E364&gt;0,OR('Debt strategy'!$D$9&gt;'Debt strategy'!$D$13,AND('Debt strategy'!$D$9='Debt strategy'!$D$13,0&lt;4))),1,0),IF(AND(I364+J364-K364&gt;0,OR('Debt strategy'!$D$10&gt;'Debt strategy'!$D$13,AND('Debt strategy'!$D$10='Debt strategy'!$D$13,1&lt;4))),1,0),IF(AND(O364+P364-Q364&gt;0,OR('Debt strategy'!$D$11&gt;'Debt strategy'!$D$13,AND('Debt strategy'!$D$11='Debt strategy'!$D$13,2&lt;4))),1,0),IF(AND(U364+V364-W364&gt;0,OR('Debt strategy'!$D$12&gt;'Debt strategy'!$D$13,AND('Debt strategy'!$D$12='Debt strategy'!$D$13,3&lt;4))),1,0)))</x:f>
        <x:v>99</x:v>
      </x:c>
      <x:c r="AE364" s="6" t="n">
        <x:f>IF('Debt strategy'!$C$16&gt;0,0,MIN(AA364+AB364-AC364,MAX(0,'Debt strategy'!$C$5-SUM(E364,K364,Q364,W364,AC364)-SUM(IF(F364&lt;AD364,C364+D364-E364,0),IF(L364&lt;AD364,I364+J364-K364,0),IF(R364&lt;AD364,O364+P364-Q364,0),IF(X364&lt;AD364,U364+V364-W364,0)))))</x:f>
        <x:v>0</x:v>
      </x:c>
      <x:c r="AF364" s="6" t="n">
        <x:f>ROUND(MAX(0,AA364+AB364-AC364-AE364),2)</x:f>
        <x:v>0</x:v>
      </x:c>
      <x:c r="AG364" s="6" t="n">
        <x:f>SUM(H364,N364,T364,Z364,AF364)</x:f>
        <x:v>0</x:v>
      </x:c>
      <x:c r="AH364" s="6" t="n">
        <x:f>SUM(D364,J364,P364,V364,AB364)+AH363</x:f>
        <x:v>1220.8400000000001</x:v>
      </x:c>
      <x:c r="AI364" s="2"/>
    </x:row>
    <x:row r="365" ht="23" customHeight="1">
      <x:c r="B365" s="2" t="n">
        <x:f>357</x:f>
        <x:v>357</x:v>
      </x:c>
      <x:c r="C365" s="6" t="n">
        <x:f>H364</x:f>
        <x:v>0</x:v>
      </x:c>
      <x:c r="D365" s="6" t="n">
        <x:f>ROUND(C365*'Debt strategy'!$D$9/12,2)</x:f>
        <x:v>0</x:v>
      </x:c>
      <x:c r="E365" s="6" t="n">
        <x:f>MIN(C365+D365,'Debt strategy'!$E$9)</x:f>
        <x:v>0</x:v>
      </x:c>
      <x:c r="F365" s="27" t="n">
        <x:f>IF(C365+D365-E365&lt;=0,99,1+SUM(IF(AND(I365+J365-K365&gt;0,OR('Debt strategy'!$D$10&gt;'Debt strategy'!$D$9,AND('Debt strategy'!$D$10='Debt strategy'!$D$9,1&lt;0))),1,0),IF(AND(O365+P365-Q365&gt;0,OR('Debt strategy'!$D$11&gt;'Debt strategy'!$D$9,AND('Debt strategy'!$D$11='Debt strategy'!$D$9,2&lt;0))),1,0),IF(AND(U365+V365-W365&gt;0,OR('Debt strategy'!$D$12&gt;'Debt strategy'!$D$9,AND('Debt strategy'!$D$12='Debt strategy'!$D$9,3&lt;0))),1,0),IF(AND(AA365+AB365-AC365&gt;0,OR('Debt strategy'!$D$13&gt;'Debt strategy'!$D$9,AND('Debt strategy'!$D$13='Debt strategy'!$D$9,4&lt;0))),1,0)))</x:f>
        <x:v>99</x:v>
      </x:c>
      <x:c r="G365" s="6" t="n">
        <x:f>IF('Debt strategy'!$C$16&gt;0,0,MIN(C365+D365-E365,MAX(0,'Debt strategy'!$C$5-SUM(E365,K365,Q365,W365,AC365)-SUM(IF(L365&lt;F365,I365+J365-K365,0),IF(R365&lt;F365,O365+P365-Q365,0),IF(X365&lt;F365,U365+V365-W365,0),IF(AD365&lt;F365,AA365+AB365-AC365,0)))))</x:f>
        <x:v>0</x:v>
      </x:c>
      <x:c r="H365" s="6" t="n">
        <x:f>ROUND(MAX(0,C365+D365-E365-G365),2)</x:f>
        <x:v>0</x:v>
      </x:c>
      <x:c r="I365" s="6" t="n">
        <x:f>N364</x:f>
        <x:v>0</x:v>
      </x:c>
      <x:c r="J365" s="6" t="n">
        <x:f>ROUND(I365*'Debt strategy'!$D$10/12,2)</x:f>
        <x:v>0</x:v>
      </x:c>
      <x:c r="K365" s="6" t="n">
        <x:f>MIN(I365+J365,'Debt strategy'!$E$10)</x:f>
        <x:v>0</x:v>
      </x:c>
      <x:c r="L365" s="27" t="n">
        <x:f>IF(I365+J365-K365&lt;=0,99,1+SUM(IF(AND(C365+D365-E365&gt;0,OR('Debt strategy'!$D$9&gt;'Debt strategy'!$D$10,AND('Debt strategy'!$D$9='Debt strategy'!$D$10,0&lt;1))),1,0),IF(AND(O365+P365-Q365&gt;0,OR('Debt strategy'!$D$11&gt;'Debt strategy'!$D$10,AND('Debt strategy'!$D$11='Debt strategy'!$D$10,2&lt;1))),1,0),IF(AND(U365+V365-W365&gt;0,OR('Debt strategy'!$D$12&gt;'Debt strategy'!$D$10,AND('Debt strategy'!$D$12='Debt strategy'!$D$10,3&lt;1))),1,0),IF(AND(AA365+AB365-AC365&gt;0,OR('Debt strategy'!$D$13&gt;'Debt strategy'!$D$10,AND('Debt strategy'!$D$13='Debt strategy'!$D$10,4&lt;1))),1,0)))</x:f>
        <x:v>99</x:v>
      </x:c>
      <x:c r="M365" s="6" t="n">
        <x:f>IF('Debt strategy'!$C$16&gt;0,0,MIN(I365+J365-K365,MAX(0,'Debt strategy'!$C$5-SUM(E365,K365,Q365,W365,AC365)-SUM(IF(F365&lt;L365,C365+D365-E365,0),IF(R365&lt;L365,O365+P365-Q365,0),IF(X365&lt;L365,U365+V365-W365,0),IF(AD365&lt;L365,AA365+AB365-AC365,0)))))</x:f>
        <x:v>0</x:v>
      </x:c>
      <x:c r="N365" s="6" t="n">
        <x:f>ROUND(MAX(0,I365+J365-K365-M365),2)</x:f>
        <x:v>0</x:v>
      </x:c>
      <x:c r="O365" s="6" t="n">
        <x:f>T364</x:f>
        <x:v>0</x:v>
      </x:c>
      <x:c r="P365" s="6" t="n">
        <x:f>ROUND(O365*'Debt strategy'!$D$11/12,2)</x:f>
        <x:v>0</x:v>
      </x:c>
      <x:c r="Q365" s="6" t="n">
        <x:f>MIN(O365+P365,'Debt strategy'!$E$11)</x:f>
        <x:v>0</x:v>
      </x:c>
      <x:c r="R365" s="27" t="n">
        <x:f>IF(O365+P365-Q365&lt;=0,99,1+SUM(IF(AND(C365+D365-E365&gt;0,OR('Debt strategy'!$D$9&gt;'Debt strategy'!$D$11,AND('Debt strategy'!$D$9='Debt strategy'!$D$11,0&lt;2))),1,0),IF(AND(I365+J365-K365&gt;0,OR('Debt strategy'!$D$10&gt;'Debt strategy'!$D$11,AND('Debt strategy'!$D$10='Debt strategy'!$D$11,1&lt;2))),1,0),IF(AND(U365+V365-W365&gt;0,OR('Debt strategy'!$D$12&gt;'Debt strategy'!$D$11,AND('Debt strategy'!$D$12='Debt strategy'!$D$11,3&lt;2))),1,0),IF(AND(AA365+AB365-AC365&gt;0,OR('Debt strategy'!$D$13&gt;'Debt strategy'!$D$11,AND('Debt strategy'!$D$13='Debt strategy'!$D$11,4&lt;2))),1,0)))</x:f>
        <x:v>99</x:v>
      </x:c>
      <x:c r="S365" s="6" t="n">
        <x:f>IF('Debt strategy'!$C$16&gt;0,0,MIN(O365+P365-Q365,MAX(0,'Debt strategy'!$C$5-SUM(E365,K365,Q365,W365,AC365)-SUM(IF(F365&lt;R365,C365+D365-E365,0),IF(L365&lt;R365,I365+J365-K365,0),IF(X365&lt;R365,U365+V365-W365,0),IF(AD365&lt;R365,AA365+AB365-AC365,0)))))</x:f>
        <x:v>0</x:v>
      </x:c>
      <x:c r="T365" s="6" t="n">
        <x:f>ROUND(MAX(0,O365+P365-Q365-S365),2)</x:f>
        <x:v>0</x:v>
      </x:c>
      <x:c r="U365" s="6" t="n">
        <x:f>Z364</x:f>
        <x:v>0</x:v>
      </x:c>
      <x:c r="V365" s="6" t="n">
        <x:f>ROUND(U365*'Debt strategy'!$D$12/12,2)</x:f>
        <x:v>0</x:v>
      </x:c>
      <x:c r="W365" s="6" t="n">
        <x:f>MIN(U365+V365,'Debt strategy'!$E$12)</x:f>
        <x:v>0</x:v>
      </x:c>
      <x:c r="X365" s="27" t="n">
        <x:f>IF(U365+V365-W365&lt;=0,99,1+SUM(IF(AND(C365+D365-E365&gt;0,OR('Debt strategy'!$D$9&gt;'Debt strategy'!$D$12,AND('Debt strategy'!$D$9='Debt strategy'!$D$12,0&lt;3))),1,0),IF(AND(I365+J365-K365&gt;0,OR('Debt strategy'!$D$10&gt;'Debt strategy'!$D$12,AND('Debt strategy'!$D$10='Debt strategy'!$D$12,1&lt;3))),1,0),IF(AND(O365+P365-Q365&gt;0,OR('Debt strategy'!$D$11&gt;'Debt strategy'!$D$12,AND('Debt strategy'!$D$11='Debt strategy'!$D$12,2&lt;3))),1,0),IF(AND(AA365+AB365-AC365&gt;0,OR('Debt strategy'!$D$13&gt;'Debt strategy'!$D$12,AND('Debt strategy'!$D$13='Debt strategy'!$D$12,4&lt;3))),1,0)))</x:f>
        <x:v>99</x:v>
      </x:c>
      <x:c r="Y365" s="6" t="n">
        <x:f>IF('Debt strategy'!$C$16&gt;0,0,MIN(U365+V365-W365,MAX(0,'Debt strategy'!$C$5-SUM(E365,K365,Q365,W365,AC365)-SUM(IF(F365&lt;X365,C365+D365-E365,0),IF(L365&lt;X365,I365+J365-K365,0),IF(R365&lt;X365,O365+P365-Q365,0),IF(AD365&lt;X365,AA365+AB365-AC365,0)))))</x:f>
        <x:v>0</x:v>
      </x:c>
      <x:c r="Z365" s="6" t="n">
        <x:f>ROUND(MAX(0,U365+V365-W365-Y365),2)</x:f>
        <x:v>0</x:v>
      </x:c>
      <x:c r="AA365" s="6" t="n">
        <x:f>AF364</x:f>
        <x:v>0</x:v>
      </x:c>
      <x:c r="AB365" s="6" t="n">
        <x:f>ROUND(AA365*'Debt strategy'!$D$13/12,2)</x:f>
        <x:v>0</x:v>
      </x:c>
      <x:c r="AC365" s="6" t="n">
        <x:f>MIN(AA365+AB365,'Debt strategy'!$E$13)</x:f>
        <x:v>0</x:v>
      </x:c>
      <x:c r="AD365" s="27" t="n">
        <x:f>IF(AA365+AB365-AC365&lt;=0,99,1+SUM(IF(AND(C365+D365-E365&gt;0,OR('Debt strategy'!$D$9&gt;'Debt strategy'!$D$13,AND('Debt strategy'!$D$9='Debt strategy'!$D$13,0&lt;4))),1,0),IF(AND(I365+J365-K365&gt;0,OR('Debt strategy'!$D$10&gt;'Debt strategy'!$D$13,AND('Debt strategy'!$D$10='Debt strategy'!$D$13,1&lt;4))),1,0),IF(AND(O365+P365-Q365&gt;0,OR('Debt strategy'!$D$11&gt;'Debt strategy'!$D$13,AND('Debt strategy'!$D$11='Debt strategy'!$D$13,2&lt;4))),1,0),IF(AND(U365+V365-W365&gt;0,OR('Debt strategy'!$D$12&gt;'Debt strategy'!$D$13,AND('Debt strategy'!$D$12='Debt strategy'!$D$13,3&lt;4))),1,0)))</x:f>
        <x:v>99</x:v>
      </x:c>
      <x:c r="AE365" s="6" t="n">
        <x:f>IF('Debt strategy'!$C$16&gt;0,0,MIN(AA365+AB365-AC365,MAX(0,'Debt strategy'!$C$5-SUM(E365,K365,Q365,W365,AC365)-SUM(IF(F365&lt;AD365,C365+D365-E365,0),IF(L365&lt;AD365,I365+J365-K365,0),IF(R365&lt;AD365,O365+P365-Q365,0),IF(X365&lt;AD365,U365+V365-W365,0)))))</x:f>
        <x:v>0</x:v>
      </x:c>
      <x:c r="AF365" s="6" t="n">
        <x:f>ROUND(MAX(0,AA365+AB365-AC365-AE365),2)</x:f>
        <x:v>0</x:v>
      </x:c>
      <x:c r="AG365" s="6" t="n">
        <x:f>SUM(H365,N365,T365,Z365,AF365)</x:f>
        <x:v>0</x:v>
      </x:c>
      <x:c r="AH365" s="6" t="n">
        <x:f>SUM(D365,J365,P365,V365,AB365)+AH364</x:f>
        <x:v>1220.8400000000001</x:v>
      </x:c>
      <x:c r="AI365" s="2"/>
    </x:row>
    <x:row r="366" ht="23" customHeight="1">
      <x:c r="B366" s="2" t="n">
        <x:f>358</x:f>
        <x:v>358</x:v>
      </x:c>
      <x:c r="C366" s="6" t="n">
        <x:f>H365</x:f>
        <x:v>0</x:v>
      </x:c>
      <x:c r="D366" s="6" t="n">
        <x:f>ROUND(C366*'Debt strategy'!$D$9/12,2)</x:f>
        <x:v>0</x:v>
      </x:c>
      <x:c r="E366" s="6" t="n">
        <x:f>MIN(C366+D366,'Debt strategy'!$E$9)</x:f>
        <x:v>0</x:v>
      </x:c>
      <x:c r="F366" s="27" t="n">
        <x:f>IF(C366+D366-E366&lt;=0,99,1+SUM(IF(AND(I366+J366-K366&gt;0,OR('Debt strategy'!$D$10&gt;'Debt strategy'!$D$9,AND('Debt strategy'!$D$10='Debt strategy'!$D$9,1&lt;0))),1,0),IF(AND(O366+P366-Q366&gt;0,OR('Debt strategy'!$D$11&gt;'Debt strategy'!$D$9,AND('Debt strategy'!$D$11='Debt strategy'!$D$9,2&lt;0))),1,0),IF(AND(U366+V366-W366&gt;0,OR('Debt strategy'!$D$12&gt;'Debt strategy'!$D$9,AND('Debt strategy'!$D$12='Debt strategy'!$D$9,3&lt;0))),1,0),IF(AND(AA366+AB366-AC366&gt;0,OR('Debt strategy'!$D$13&gt;'Debt strategy'!$D$9,AND('Debt strategy'!$D$13='Debt strategy'!$D$9,4&lt;0))),1,0)))</x:f>
        <x:v>99</x:v>
      </x:c>
      <x:c r="G366" s="6" t="n">
        <x:f>IF('Debt strategy'!$C$16&gt;0,0,MIN(C366+D366-E366,MAX(0,'Debt strategy'!$C$5-SUM(E366,K366,Q366,W366,AC366)-SUM(IF(L366&lt;F366,I366+J366-K366,0),IF(R366&lt;F366,O366+P366-Q366,0),IF(X366&lt;F366,U366+V366-W366,0),IF(AD366&lt;F366,AA366+AB366-AC366,0)))))</x:f>
        <x:v>0</x:v>
      </x:c>
      <x:c r="H366" s="6" t="n">
        <x:f>ROUND(MAX(0,C366+D366-E366-G366),2)</x:f>
        <x:v>0</x:v>
      </x:c>
      <x:c r="I366" s="6" t="n">
        <x:f>N365</x:f>
        <x:v>0</x:v>
      </x:c>
      <x:c r="J366" s="6" t="n">
        <x:f>ROUND(I366*'Debt strategy'!$D$10/12,2)</x:f>
        <x:v>0</x:v>
      </x:c>
      <x:c r="K366" s="6" t="n">
        <x:f>MIN(I366+J366,'Debt strategy'!$E$10)</x:f>
        <x:v>0</x:v>
      </x:c>
      <x:c r="L366" s="27" t="n">
        <x:f>IF(I366+J366-K366&lt;=0,99,1+SUM(IF(AND(C366+D366-E366&gt;0,OR('Debt strategy'!$D$9&gt;'Debt strategy'!$D$10,AND('Debt strategy'!$D$9='Debt strategy'!$D$10,0&lt;1))),1,0),IF(AND(O366+P366-Q366&gt;0,OR('Debt strategy'!$D$11&gt;'Debt strategy'!$D$10,AND('Debt strategy'!$D$11='Debt strategy'!$D$10,2&lt;1))),1,0),IF(AND(U366+V366-W366&gt;0,OR('Debt strategy'!$D$12&gt;'Debt strategy'!$D$10,AND('Debt strategy'!$D$12='Debt strategy'!$D$10,3&lt;1))),1,0),IF(AND(AA366+AB366-AC366&gt;0,OR('Debt strategy'!$D$13&gt;'Debt strategy'!$D$10,AND('Debt strategy'!$D$13='Debt strategy'!$D$10,4&lt;1))),1,0)))</x:f>
        <x:v>99</x:v>
      </x:c>
      <x:c r="M366" s="6" t="n">
        <x:f>IF('Debt strategy'!$C$16&gt;0,0,MIN(I366+J366-K366,MAX(0,'Debt strategy'!$C$5-SUM(E366,K366,Q366,W366,AC366)-SUM(IF(F366&lt;L366,C366+D366-E366,0),IF(R366&lt;L366,O366+P366-Q366,0),IF(X366&lt;L366,U366+V366-W366,0),IF(AD366&lt;L366,AA366+AB366-AC366,0)))))</x:f>
        <x:v>0</x:v>
      </x:c>
      <x:c r="N366" s="6" t="n">
        <x:f>ROUND(MAX(0,I366+J366-K366-M366),2)</x:f>
        <x:v>0</x:v>
      </x:c>
      <x:c r="O366" s="6" t="n">
        <x:f>T365</x:f>
        <x:v>0</x:v>
      </x:c>
      <x:c r="P366" s="6" t="n">
        <x:f>ROUND(O366*'Debt strategy'!$D$11/12,2)</x:f>
        <x:v>0</x:v>
      </x:c>
      <x:c r="Q366" s="6" t="n">
        <x:f>MIN(O366+P366,'Debt strategy'!$E$11)</x:f>
        <x:v>0</x:v>
      </x:c>
      <x:c r="R366" s="27" t="n">
        <x:f>IF(O366+P366-Q366&lt;=0,99,1+SUM(IF(AND(C366+D366-E366&gt;0,OR('Debt strategy'!$D$9&gt;'Debt strategy'!$D$11,AND('Debt strategy'!$D$9='Debt strategy'!$D$11,0&lt;2))),1,0),IF(AND(I366+J366-K366&gt;0,OR('Debt strategy'!$D$10&gt;'Debt strategy'!$D$11,AND('Debt strategy'!$D$10='Debt strategy'!$D$11,1&lt;2))),1,0),IF(AND(U366+V366-W366&gt;0,OR('Debt strategy'!$D$12&gt;'Debt strategy'!$D$11,AND('Debt strategy'!$D$12='Debt strategy'!$D$11,3&lt;2))),1,0),IF(AND(AA366+AB366-AC366&gt;0,OR('Debt strategy'!$D$13&gt;'Debt strategy'!$D$11,AND('Debt strategy'!$D$13='Debt strategy'!$D$11,4&lt;2))),1,0)))</x:f>
        <x:v>99</x:v>
      </x:c>
      <x:c r="S366" s="6" t="n">
        <x:f>IF('Debt strategy'!$C$16&gt;0,0,MIN(O366+P366-Q366,MAX(0,'Debt strategy'!$C$5-SUM(E366,K366,Q366,W366,AC366)-SUM(IF(F366&lt;R366,C366+D366-E366,0),IF(L366&lt;R366,I366+J366-K366,0),IF(X366&lt;R366,U366+V366-W366,0),IF(AD366&lt;R366,AA366+AB366-AC366,0)))))</x:f>
        <x:v>0</x:v>
      </x:c>
      <x:c r="T366" s="6" t="n">
        <x:f>ROUND(MAX(0,O366+P366-Q366-S366),2)</x:f>
        <x:v>0</x:v>
      </x:c>
      <x:c r="U366" s="6" t="n">
        <x:f>Z365</x:f>
        <x:v>0</x:v>
      </x:c>
      <x:c r="V366" s="6" t="n">
        <x:f>ROUND(U366*'Debt strategy'!$D$12/12,2)</x:f>
        <x:v>0</x:v>
      </x:c>
      <x:c r="W366" s="6" t="n">
        <x:f>MIN(U366+V366,'Debt strategy'!$E$12)</x:f>
        <x:v>0</x:v>
      </x:c>
      <x:c r="X366" s="27" t="n">
        <x:f>IF(U366+V366-W366&lt;=0,99,1+SUM(IF(AND(C366+D366-E366&gt;0,OR('Debt strategy'!$D$9&gt;'Debt strategy'!$D$12,AND('Debt strategy'!$D$9='Debt strategy'!$D$12,0&lt;3))),1,0),IF(AND(I366+J366-K366&gt;0,OR('Debt strategy'!$D$10&gt;'Debt strategy'!$D$12,AND('Debt strategy'!$D$10='Debt strategy'!$D$12,1&lt;3))),1,0),IF(AND(O366+P366-Q366&gt;0,OR('Debt strategy'!$D$11&gt;'Debt strategy'!$D$12,AND('Debt strategy'!$D$11='Debt strategy'!$D$12,2&lt;3))),1,0),IF(AND(AA366+AB366-AC366&gt;0,OR('Debt strategy'!$D$13&gt;'Debt strategy'!$D$12,AND('Debt strategy'!$D$13='Debt strategy'!$D$12,4&lt;3))),1,0)))</x:f>
        <x:v>99</x:v>
      </x:c>
      <x:c r="Y366" s="6" t="n">
        <x:f>IF('Debt strategy'!$C$16&gt;0,0,MIN(U366+V366-W366,MAX(0,'Debt strategy'!$C$5-SUM(E366,K366,Q366,W366,AC366)-SUM(IF(F366&lt;X366,C366+D366-E366,0),IF(L366&lt;X366,I366+J366-K366,0),IF(R366&lt;X366,O366+P366-Q366,0),IF(AD366&lt;X366,AA366+AB366-AC366,0)))))</x:f>
        <x:v>0</x:v>
      </x:c>
      <x:c r="Z366" s="6" t="n">
        <x:f>ROUND(MAX(0,U366+V366-W366-Y366),2)</x:f>
        <x:v>0</x:v>
      </x:c>
      <x:c r="AA366" s="6" t="n">
        <x:f>AF365</x:f>
        <x:v>0</x:v>
      </x:c>
      <x:c r="AB366" s="6" t="n">
        <x:f>ROUND(AA366*'Debt strategy'!$D$13/12,2)</x:f>
        <x:v>0</x:v>
      </x:c>
      <x:c r="AC366" s="6" t="n">
        <x:f>MIN(AA366+AB366,'Debt strategy'!$E$13)</x:f>
        <x:v>0</x:v>
      </x:c>
      <x:c r="AD366" s="27" t="n">
        <x:f>IF(AA366+AB366-AC366&lt;=0,99,1+SUM(IF(AND(C366+D366-E366&gt;0,OR('Debt strategy'!$D$9&gt;'Debt strategy'!$D$13,AND('Debt strategy'!$D$9='Debt strategy'!$D$13,0&lt;4))),1,0),IF(AND(I366+J366-K366&gt;0,OR('Debt strategy'!$D$10&gt;'Debt strategy'!$D$13,AND('Debt strategy'!$D$10='Debt strategy'!$D$13,1&lt;4))),1,0),IF(AND(O366+P366-Q366&gt;0,OR('Debt strategy'!$D$11&gt;'Debt strategy'!$D$13,AND('Debt strategy'!$D$11='Debt strategy'!$D$13,2&lt;4))),1,0),IF(AND(U366+V366-W366&gt;0,OR('Debt strategy'!$D$12&gt;'Debt strategy'!$D$13,AND('Debt strategy'!$D$12='Debt strategy'!$D$13,3&lt;4))),1,0)))</x:f>
        <x:v>99</x:v>
      </x:c>
      <x:c r="AE366" s="6" t="n">
        <x:f>IF('Debt strategy'!$C$16&gt;0,0,MIN(AA366+AB366-AC366,MAX(0,'Debt strategy'!$C$5-SUM(E366,K366,Q366,W366,AC366)-SUM(IF(F366&lt;AD366,C366+D366-E366,0),IF(L366&lt;AD366,I366+J366-K366,0),IF(R366&lt;AD366,O366+P366-Q366,0),IF(X366&lt;AD366,U366+V366-W366,0)))))</x:f>
        <x:v>0</x:v>
      </x:c>
      <x:c r="AF366" s="6" t="n">
        <x:f>ROUND(MAX(0,AA366+AB366-AC366-AE366),2)</x:f>
        <x:v>0</x:v>
      </x:c>
      <x:c r="AG366" s="6" t="n">
        <x:f>SUM(H366,N366,T366,Z366,AF366)</x:f>
        <x:v>0</x:v>
      </x:c>
      <x:c r="AH366" s="6" t="n">
        <x:f>SUM(D366,J366,P366,V366,AB366)+AH365</x:f>
        <x:v>1220.8400000000001</x:v>
      </x:c>
      <x:c r="AI366" s="2"/>
    </x:row>
    <x:row r="367" ht="23" customHeight="1">
      <x:c r="B367" s="2" t="n">
        <x:f>359</x:f>
        <x:v>359</x:v>
      </x:c>
      <x:c r="C367" s="6" t="n">
        <x:f>H366</x:f>
        <x:v>0</x:v>
      </x:c>
      <x:c r="D367" s="6" t="n">
        <x:f>ROUND(C367*'Debt strategy'!$D$9/12,2)</x:f>
        <x:v>0</x:v>
      </x:c>
      <x:c r="E367" s="6" t="n">
        <x:f>MIN(C367+D367,'Debt strategy'!$E$9)</x:f>
        <x:v>0</x:v>
      </x:c>
      <x:c r="F367" s="27" t="n">
        <x:f>IF(C367+D367-E367&lt;=0,99,1+SUM(IF(AND(I367+J367-K367&gt;0,OR('Debt strategy'!$D$10&gt;'Debt strategy'!$D$9,AND('Debt strategy'!$D$10='Debt strategy'!$D$9,1&lt;0))),1,0),IF(AND(O367+P367-Q367&gt;0,OR('Debt strategy'!$D$11&gt;'Debt strategy'!$D$9,AND('Debt strategy'!$D$11='Debt strategy'!$D$9,2&lt;0))),1,0),IF(AND(U367+V367-W367&gt;0,OR('Debt strategy'!$D$12&gt;'Debt strategy'!$D$9,AND('Debt strategy'!$D$12='Debt strategy'!$D$9,3&lt;0))),1,0),IF(AND(AA367+AB367-AC367&gt;0,OR('Debt strategy'!$D$13&gt;'Debt strategy'!$D$9,AND('Debt strategy'!$D$13='Debt strategy'!$D$9,4&lt;0))),1,0)))</x:f>
        <x:v>99</x:v>
      </x:c>
      <x:c r="G367" s="6" t="n">
        <x:f>IF('Debt strategy'!$C$16&gt;0,0,MIN(C367+D367-E367,MAX(0,'Debt strategy'!$C$5-SUM(E367,K367,Q367,W367,AC367)-SUM(IF(L367&lt;F367,I367+J367-K367,0),IF(R367&lt;F367,O367+P367-Q367,0),IF(X367&lt;F367,U367+V367-W367,0),IF(AD367&lt;F367,AA367+AB367-AC367,0)))))</x:f>
        <x:v>0</x:v>
      </x:c>
      <x:c r="H367" s="6" t="n">
        <x:f>ROUND(MAX(0,C367+D367-E367-G367),2)</x:f>
        <x:v>0</x:v>
      </x:c>
      <x:c r="I367" s="6" t="n">
        <x:f>N366</x:f>
        <x:v>0</x:v>
      </x:c>
      <x:c r="J367" s="6" t="n">
        <x:f>ROUND(I367*'Debt strategy'!$D$10/12,2)</x:f>
        <x:v>0</x:v>
      </x:c>
      <x:c r="K367" s="6" t="n">
        <x:f>MIN(I367+J367,'Debt strategy'!$E$10)</x:f>
        <x:v>0</x:v>
      </x:c>
      <x:c r="L367" s="27" t="n">
        <x:f>IF(I367+J367-K367&lt;=0,99,1+SUM(IF(AND(C367+D367-E367&gt;0,OR('Debt strategy'!$D$9&gt;'Debt strategy'!$D$10,AND('Debt strategy'!$D$9='Debt strategy'!$D$10,0&lt;1))),1,0),IF(AND(O367+P367-Q367&gt;0,OR('Debt strategy'!$D$11&gt;'Debt strategy'!$D$10,AND('Debt strategy'!$D$11='Debt strategy'!$D$10,2&lt;1))),1,0),IF(AND(U367+V367-W367&gt;0,OR('Debt strategy'!$D$12&gt;'Debt strategy'!$D$10,AND('Debt strategy'!$D$12='Debt strategy'!$D$10,3&lt;1))),1,0),IF(AND(AA367+AB367-AC367&gt;0,OR('Debt strategy'!$D$13&gt;'Debt strategy'!$D$10,AND('Debt strategy'!$D$13='Debt strategy'!$D$10,4&lt;1))),1,0)))</x:f>
        <x:v>99</x:v>
      </x:c>
      <x:c r="M367" s="6" t="n">
        <x:f>IF('Debt strategy'!$C$16&gt;0,0,MIN(I367+J367-K367,MAX(0,'Debt strategy'!$C$5-SUM(E367,K367,Q367,W367,AC367)-SUM(IF(F367&lt;L367,C367+D367-E367,0),IF(R367&lt;L367,O367+P367-Q367,0),IF(X367&lt;L367,U367+V367-W367,0),IF(AD367&lt;L367,AA367+AB367-AC367,0)))))</x:f>
        <x:v>0</x:v>
      </x:c>
      <x:c r="N367" s="6" t="n">
        <x:f>ROUND(MAX(0,I367+J367-K367-M367),2)</x:f>
        <x:v>0</x:v>
      </x:c>
      <x:c r="O367" s="6" t="n">
        <x:f>T366</x:f>
        <x:v>0</x:v>
      </x:c>
      <x:c r="P367" s="6" t="n">
        <x:f>ROUND(O367*'Debt strategy'!$D$11/12,2)</x:f>
        <x:v>0</x:v>
      </x:c>
      <x:c r="Q367" s="6" t="n">
        <x:f>MIN(O367+P367,'Debt strategy'!$E$11)</x:f>
        <x:v>0</x:v>
      </x:c>
      <x:c r="R367" s="27" t="n">
        <x:f>IF(O367+P367-Q367&lt;=0,99,1+SUM(IF(AND(C367+D367-E367&gt;0,OR('Debt strategy'!$D$9&gt;'Debt strategy'!$D$11,AND('Debt strategy'!$D$9='Debt strategy'!$D$11,0&lt;2))),1,0),IF(AND(I367+J367-K367&gt;0,OR('Debt strategy'!$D$10&gt;'Debt strategy'!$D$11,AND('Debt strategy'!$D$10='Debt strategy'!$D$11,1&lt;2))),1,0),IF(AND(U367+V367-W367&gt;0,OR('Debt strategy'!$D$12&gt;'Debt strategy'!$D$11,AND('Debt strategy'!$D$12='Debt strategy'!$D$11,3&lt;2))),1,0),IF(AND(AA367+AB367-AC367&gt;0,OR('Debt strategy'!$D$13&gt;'Debt strategy'!$D$11,AND('Debt strategy'!$D$13='Debt strategy'!$D$11,4&lt;2))),1,0)))</x:f>
        <x:v>99</x:v>
      </x:c>
      <x:c r="S367" s="6" t="n">
        <x:f>IF('Debt strategy'!$C$16&gt;0,0,MIN(O367+P367-Q367,MAX(0,'Debt strategy'!$C$5-SUM(E367,K367,Q367,W367,AC367)-SUM(IF(F367&lt;R367,C367+D367-E367,0),IF(L367&lt;R367,I367+J367-K367,0),IF(X367&lt;R367,U367+V367-W367,0),IF(AD367&lt;R367,AA367+AB367-AC367,0)))))</x:f>
        <x:v>0</x:v>
      </x:c>
      <x:c r="T367" s="6" t="n">
        <x:f>ROUND(MAX(0,O367+P367-Q367-S367),2)</x:f>
        <x:v>0</x:v>
      </x:c>
      <x:c r="U367" s="6" t="n">
        <x:f>Z366</x:f>
        <x:v>0</x:v>
      </x:c>
      <x:c r="V367" s="6" t="n">
        <x:f>ROUND(U367*'Debt strategy'!$D$12/12,2)</x:f>
        <x:v>0</x:v>
      </x:c>
      <x:c r="W367" s="6" t="n">
        <x:f>MIN(U367+V367,'Debt strategy'!$E$12)</x:f>
        <x:v>0</x:v>
      </x:c>
      <x:c r="X367" s="27" t="n">
        <x:f>IF(U367+V367-W367&lt;=0,99,1+SUM(IF(AND(C367+D367-E367&gt;0,OR('Debt strategy'!$D$9&gt;'Debt strategy'!$D$12,AND('Debt strategy'!$D$9='Debt strategy'!$D$12,0&lt;3))),1,0),IF(AND(I367+J367-K367&gt;0,OR('Debt strategy'!$D$10&gt;'Debt strategy'!$D$12,AND('Debt strategy'!$D$10='Debt strategy'!$D$12,1&lt;3))),1,0),IF(AND(O367+P367-Q367&gt;0,OR('Debt strategy'!$D$11&gt;'Debt strategy'!$D$12,AND('Debt strategy'!$D$11='Debt strategy'!$D$12,2&lt;3))),1,0),IF(AND(AA367+AB367-AC367&gt;0,OR('Debt strategy'!$D$13&gt;'Debt strategy'!$D$12,AND('Debt strategy'!$D$13='Debt strategy'!$D$12,4&lt;3))),1,0)))</x:f>
        <x:v>99</x:v>
      </x:c>
      <x:c r="Y367" s="6" t="n">
        <x:f>IF('Debt strategy'!$C$16&gt;0,0,MIN(U367+V367-W367,MAX(0,'Debt strategy'!$C$5-SUM(E367,K367,Q367,W367,AC367)-SUM(IF(F367&lt;X367,C367+D367-E367,0),IF(L367&lt;X367,I367+J367-K367,0),IF(R367&lt;X367,O367+P367-Q367,0),IF(AD367&lt;X367,AA367+AB367-AC367,0)))))</x:f>
        <x:v>0</x:v>
      </x:c>
      <x:c r="Z367" s="6" t="n">
        <x:f>ROUND(MAX(0,U367+V367-W367-Y367),2)</x:f>
        <x:v>0</x:v>
      </x:c>
      <x:c r="AA367" s="6" t="n">
        <x:f>AF366</x:f>
        <x:v>0</x:v>
      </x:c>
      <x:c r="AB367" s="6" t="n">
        <x:f>ROUND(AA367*'Debt strategy'!$D$13/12,2)</x:f>
        <x:v>0</x:v>
      </x:c>
      <x:c r="AC367" s="6" t="n">
        <x:f>MIN(AA367+AB367,'Debt strategy'!$E$13)</x:f>
        <x:v>0</x:v>
      </x:c>
      <x:c r="AD367" s="27" t="n">
        <x:f>IF(AA367+AB367-AC367&lt;=0,99,1+SUM(IF(AND(C367+D367-E367&gt;0,OR('Debt strategy'!$D$9&gt;'Debt strategy'!$D$13,AND('Debt strategy'!$D$9='Debt strategy'!$D$13,0&lt;4))),1,0),IF(AND(I367+J367-K367&gt;0,OR('Debt strategy'!$D$10&gt;'Debt strategy'!$D$13,AND('Debt strategy'!$D$10='Debt strategy'!$D$13,1&lt;4))),1,0),IF(AND(O367+P367-Q367&gt;0,OR('Debt strategy'!$D$11&gt;'Debt strategy'!$D$13,AND('Debt strategy'!$D$11='Debt strategy'!$D$13,2&lt;4))),1,0),IF(AND(U367+V367-W367&gt;0,OR('Debt strategy'!$D$12&gt;'Debt strategy'!$D$13,AND('Debt strategy'!$D$12='Debt strategy'!$D$13,3&lt;4))),1,0)))</x:f>
        <x:v>99</x:v>
      </x:c>
      <x:c r="AE367" s="6" t="n">
        <x:f>IF('Debt strategy'!$C$16&gt;0,0,MIN(AA367+AB367-AC367,MAX(0,'Debt strategy'!$C$5-SUM(E367,K367,Q367,W367,AC367)-SUM(IF(F367&lt;AD367,C367+D367-E367,0),IF(L367&lt;AD367,I367+J367-K367,0),IF(R367&lt;AD367,O367+P367-Q367,0),IF(X367&lt;AD367,U367+V367-W367,0)))))</x:f>
        <x:v>0</x:v>
      </x:c>
      <x:c r="AF367" s="6" t="n">
        <x:f>ROUND(MAX(0,AA367+AB367-AC367-AE367),2)</x:f>
        <x:v>0</x:v>
      </x:c>
      <x:c r="AG367" s="6" t="n">
        <x:f>SUM(H367,N367,T367,Z367,AF367)</x:f>
        <x:v>0</x:v>
      </x:c>
      <x:c r="AH367" s="6" t="n">
        <x:f>SUM(D367,J367,P367,V367,AB367)+AH366</x:f>
        <x:v>1220.8400000000001</x:v>
      </x:c>
      <x:c r="AI367" s="2"/>
    </x:row>
    <x:row r="368" ht="23" customHeight="1">
      <x:c r="B368" s="2" t="n">
        <x:f>360</x:f>
        <x:v>360</x:v>
      </x:c>
      <x:c r="C368" s="6" t="n">
        <x:f>H367</x:f>
        <x:v>0</x:v>
      </x:c>
      <x:c r="D368" s="6" t="n">
        <x:f>ROUND(C368*'Debt strategy'!$D$9/12,2)</x:f>
        <x:v>0</x:v>
      </x:c>
      <x:c r="E368" s="6" t="n">
        <x:f>MIN(C368+D368,'Debt strategy'!$E$9)</x:f>
        <x:v>0</x:v>
      </x:c>
      <x:c r="F368" s="27" t="n">
        <x:f>IF(C368+D368-E368&lt;=0,99,1+SUM(IF(AND(I368+J368-K368&gt;0,OR('Debt strategy'!$D$10&gt;'Debt strategy'!$D$9,AND('Debt strategy'!$D$10='Debt strategy'!$D$9,1&lt;0))),1,0),IF(AND(O368+P368-Q368&gt;0,OR('Debt strategy'!$D$11&gt;'Debt strategy'!$D$9,AND('Debt strategy'!$D$11='Debt strategy'!$D$9,2&lt;0))),1,0),IF(AND(U368+V368-W368&gt;0,OR('Debt strategy'!$D$12&gt;'Debt strategy'!$D$9,AND('Debt strategy'!$D$12='Debt strategy'!$D$9,3&lt;0))),1,0),IF(AND(AA368+AB368-AC368&gt;0,OR('Debt strategy'!$D$13&gt;'Debt strategy'!$D$9,AND('Debt strategy'!$D$13='Debt strategy'!$D$9,4&lt;0))),1,0)))</x:f>
        <x:v>99</x:v>
      </x:c>
      <x:c r="G368" s="6" t="n">
        <x:f>IF('Debt strategy'!$C$16&gt;0,0,MIN(C368+D368-E368,MAX(0,'Debt strategy'!$C$5-SUM(E368,K368,Q368,W368,AC368)-SUM(IF(L368&lt;F368,I368+J368-K368,0),IF(R368&lt;F368,O368+P368-Q368,0),IF(X368&lt;F368,U368+V368-W368,0),IF(AD368&lt;F368,AA368+AB368-AC368,0)))))</x:f>
        <x:v>0</x:v>
      </x:c>
      <x:c r="H368" s="6" t="n">
        <x:f>ROUND(MAX(0,C368+D368-E368-G368),2)</x:f>
        <x:v>0</x:v>
      </x:c>
      <x:c r="I368" s="6" t="n">
        <x:f>N367</x:f>
        <x:v>0</x:v>
      </x:c>
      <x:c r="J368" s="6" t="n">
        <x:f>ROUND(I368*'Debt strategy'!$D$10/12,2)</x:f>
        <x:v>0</x:v>
      </x:c>
      <x:c r="K368" s="6" t="n">
        <x:f>MIN(I368+J368,'Debt strategy'!$E$10)</x:f>
        <x:v>0</x:v>
      </x:c>
      <x:c r="L368" s="27" t="n">
        <x:f>IF(I368+J368-K368&lt;=0,99,1+SUM(IF(AND(C368+D368-E368&gt;0,OR('Debt strategy'!$D$9&gt;'Debt strategy'!$D$10,AND('Debt strategy'!$D$9='Debt strategy'!$D$10,0&lt;1))),1,0),IF(AND(O368+P368-Q368&gt;0,OR('Debt strategy'!$D$11&gt;'Debt strategy'!$D$10,AND('Debt strategy'!$D$11='Debt strategy'!$D$10,2&lt;1))),1,0),IF(AND(U368+V368-W368&gt;0,OR('Debt strategy'!$D$12&gt;'Debt strategy'!$D$10,AND('Debt strategy'!$D$12='Debt strategy'!$D$10,3&lt;1))),1,0),IF(AND(AA368+AB368-AC368&gt;0,OR('Debt strategy'!$D$13&gt;'Debt strategy'!$D$10,AND('Debt strategy'!$D$13='Debt strategy'!$D$10,4&lt;1))),1,0)))</x:f>
        <x:v>99</x:v>
      </x:c>
      <x:c r="M368" s="6" t="n">
        <x:f>IF('Debt strategy'!$C$16&gt;0,0,MIN(I368+J368-K368,MAX(0,'Debt strategy'!$C$5-SUM(E368,K368,Q368,W368,AC368)-SUM(IF(F368&lt;L368,C368+D368-E368,0),IF(R368&lt;L368,O368+P368-Q368,0),IF(X368&lt;L368,U368+V368-W368,0),IF(AD368&lt;L368,AA368+AB368-AC368,0)))))</x:f>
        <x:v>0</x:v>
      </x:c>
      <x:c r="N368" s="6" t="n">
        <x:f>ROUND(MAX(0,I368+J368-K368-M368),2)</x:f>
        <x:v>0</x:v>
      </x:c>
      <x:c r="O368" s="6" t="n">
        <x:f>T367</x:f>
        <x:v>0</x:v>
      </x:c>
      <x:c r="P368" s="6" t="n">
        <x:f>ROUND(O368*'Debt strategy'!$D$11/12,2)</x:f>
        <x:v>0</x:v>
      </x:c>
      <x:c r="Q368" s="6" t="n">
        <x:f>MIN(O368+P368,'Debt strategy'!$E$11)</x:f>
        <x:v>0</x:v>
      </x:c>
      <x:c r="R368" s="27" t="n">
        <x:f>IF(O368+P368-Q368&lt;=0,99,1+SUM(IF(AND(C368+D368-E368&gt;0,OR('Debt strategy'!$D$9&gt;'Debt strategy'!$D$11,AND('Debt strategy'!$D$9='Debt strategy'!$D$11,0&lt;2))),1,0),IF(AND(I368+J368-K368&gt;0,OR('Debt strategy'!$D$10&gt;'Debt strategy'!$D$11,AND('Debt strategy'!$D$10='Debt strategy'!$D$11,1&lt;2))),1,0),IF(AND(U368+V368-W368&gt;0,OR('Debt strategy'!$D$12&gt;'Debt strategy'!$D$11,AND('Debt strategy'!$D$12='Debt strategy'!$D$11,3&lt;2))),1,0),IF(AND(AA368+AB368-AC368&gt;0,OR('Debt strategy'!$D$13&gt;'Debt strategy'!$D$11,AND('Debt strategy'!$D$13='Debt strategy'!$D$11,4&lt;2))),1,0)))</x:f>
        <x:v>99</x:v>
      </x:c>
      <x:c r="S368" s="6" t="n">
        <x:f>IF('Debt strategy'!$C$16&gt;0,0,MIN(O368+P368-Q368,MAX(0,'Debt strategy'!$C$5-SUM(E368,K368,Q368,W368,AC368)-SUM(IF(F368&lt;R368,C368+D368-E368,0),IF(L368&lt;R368,I368+J368-K368,0),IF(X368&lt;R368,U368+V368-W368,0),IF(AD368&lt;R368,AA368+AB368-AC368,0)))))</x:f>
        <x:v>0</x:v>
      </x:c>
      <x:c r="T368" s="6" t="n">
        <x:f>ROUND(MAX(0,O368+P368-Q368-S368),2)</x:f>
        <x:v>0</x:v>
      </x:c>
      <x:c r="U368" s="6" t="n">
        <x:f>Z367</x:f>
        <x:v>0</x:v>
      </x:c>
      <x:c r="V368" s="6" t="n">
        <x:f>ROUND(U368*'Debt strategy'!$D$12/12,2)</x:f>
        <x:v>0</x:v>
      </x:c>
      <x:c r="W368" s="6" t="n">
        <x:f>MIN(U368+V368,'Debt strategy'!$E$12)</x:f>
        <x:v>0</x:v>
      </x:c>
      <x:c r="X368" s="27" t="n">
        <x:f>IF(U368+V368-W368&lt;=0,99,1+SUM(IF(AND(C368+D368-E368&gt;0,OR('Debt strategy'!$D$9&gt;'Debt strategy'!$D$12,AND('Debt strategy'!$D$9='Debt strategy'!$D$12,0&lt;3))),1,0),IF(AND(I368+J368-K368&gt;0,OR('Debt strategy'!$D$10&gt;'Debt strategy'!$D$12,AND('Debt strategy'!$D$10='Debt strategy'!$D$12,1&lt;3))),1,0),IF(AND(O368+P368-Q368&gt;0,OR('Debt strategy'!$D$11&gt;'Debt strategy'!$D$12,AND('Debt strategy'!$D$11='Debt strategy'!$D$12,2&lt;3))),1,0),IF(AND(AA368+AB368-AC368&gt;0,OR('Debt strategy'!$D$13&gt;'Debt strategy'!$D$12,AND('Debt strategy'!$D$13='Debt strategy'!$D$12,4&lt;3))),1,0)))</x:f>
        <x:v>99</x:v>
      </x:c>
      <x:c r="Y368" s="6" t="n">
        <x:f>IF('Debt strategy'!$C$16&gt;0,0,MIN(U368+V368-W368,MAX(0,'Debt strategy'!$C$5-SUM(E368,K368,Q368,W368,AC368)-SUM(IF(F368&lt;X368,C368+D368-E368,0),IF(L368&lt;X368,I368+J368-K368,0),IF(R368&lt;X368,O368+P368-Q368,0),IF(AD368&lt;X368,AA368+AB368-AC368,0)))))</x:f>
        <x:v>0</x:v>
      </x:c>
      <x:c r="Z368" s="6" t="n">
        <x:f>ROUND(MAX(0,U368+V368-W368-Y368),2)</x:f>
        <x:v>0</x:v>
      </x:c>
      <x:c r="AA368" s="6" t="n">
        <x:f>AF367</x:f>
        <x:v>0</x:v>
      </x:c>
      <x:c r="AB368" s="6" t="n">
        <x:f>ROUND(AA368*'Debt strategy'!$D$13/12,2)</x:f>
        <x:v>0</x:v>
      </x:c>
      <x:c r="AC368" s="6" t="n">
        <x:f>MIN(AA368+AB368,'Debt strategy'!$E$13)</x:f>
        <x:v>0</x:v>
      </x:c>
      <x:c r="AD368" s="27" t="n">
        <x:f>IF(AA368+AB368-AC368&lt;=0,99,1+SUM(IF(AND(C368+D368-E368&gt;0,OR('Debt strategy'!$D$9&gt;'Debt strategy'!$D$13,AND('Debt strategy'!$D$9='Debt strategy'!$D$13,0&lt;4))),1,0),IF(AND(I368+J368-K368&gt;0,OR('Debt strategy'!$D$10&gt;'Debt strategy'!$D$13,AND('Debt strategy'!$D$10='Debt strategy'!$D$13,1&lt;4))),1,0),IF(AND(O368+P368-Q368&gt;0,OR('Debt strategy'!$D$11&gt;'Debt strategy'!$D$13,AND('Debt strategy'!$D$11='Debt strategy'!$D$13,2&lt;4))),1,0),IF(AND(U368+V368-W368&gt;0,OR('Debt strategy'!$D$12&gt;'Debt strategy'!$D$13,AND('Debt strategy'!$D$12='Debt strategy'!$D$13,3&lt;4))),1,0)))</x:f>
        <x:v>99</x:v>
      </x:c>
      <x:c r="AE368" s="6" t="n">
        <x:f>IF('Debt strategy'!$C$16&gt;0,0,MIN(AA368+AB368-AC368,MAX(0,'Debt strategy'!$C$5-SUM(E368,K368,Q368,W368,AC368)-SUM(IF(F368&lt;AD368,C368+D368-E368,0),IF(L368&lt;AD368,I368+J368-K368,0),IF(R368&lt;AD368,O368+P368-Q368,0),IF(X368&lt;AD368,U368+V368-W368,0)))))</x:f>
        <x:v>0</x:v>
      </x:c>
      <x:c r="AF368" s="6" t="n">
        <x:f>ROUND(MAX(0,AA368+AB368-AC368-AE368),2)</x:f>
        <x:v>0</x:v>
      </x:c>
      <x:c r="AG368" s="6" t="n">
        <x:f>SUM(H368,N368,T368,Z368,AF368)</x:f>
        <x:v>0</x:v>
      </x:c>
      <x:c r="AH368" s="6" t="n">
        <x:f>SUM(D368,J368,P368,V368,AB368)+AH367</x:f>
        <x:v>1220.8400000000001</x:v>
      </x:c>
      <x:c r="AI368" s="2"/>
    </x:row>
    <x:row r="369" ht="23" customHeight="1">
      <x:c r="B369" s="2" t="n">
        <x:f>361</x:f>
        <x:v>361</x:v>
      </x:c>
      <x:c r="C369" s="6" t="n">
        <x:f>H368</x:f>
        <x:v>0</x:v>
      </x:c>
      <x:c r="D369" s="6" t="n">
        <x:f>ROUND(C369*'Debt strategy'!$D$9/12,2)</x:f>
        <x:v>0</x:v>
      </x:c>
      <x:c r="E369" s="6" t="n">
        <x:f>MIN(C369+D369,'Debt strategy'!$E$9)</x:f>
        <x:v>0</x:v>
      </x:c>
      <x:c r="F369" s="27" t="n">
        <x:f>IF(C369+D369-E369&lt;=0,99,1+SUM(IF(AND(I369+J369-K369&gt;0,OR('Debt strategy'!$D$10&gt;'Debt strategy'!$D$9,AND('Debt strategy'!$D$10='Debt strategy'!$D$9,1&lt;0))),1,0),IF(AND(O369+P369-Q369&gt;0,OR('Debt strategy'!$D$11&gt;'Debt strategy'!$D$9,AND('Debt strategy'!$D$11='Debt strategy'!$D$9,2&lt;0))),1,0),IF(AND(U369+V369-W369&gt;0,OR('Debt strategy'!$D$12&gt;'Debt strategy'!$D$9,AND('Debt strategy'!$D$12='Debt strategy'!$D$9,3&lt;0))),1,0),IF(AND(AA369+AB369-AC369&gt;0,OR('Debt strategy'!$D$13&gt;'Debt strategy'!$D$9,AND('Debt strategy'!$D$13='Debt strategy'!$D$9,4&lt;0))),1,0)))</x:f>
        <x:v>99</x:v>
      </x:c>
      <x:c r="G369" s="6" t="n">
        <x:f>IF('Debt strategy'!$C$16&gt;0,0,MIN(C369+D369-E369,MAX(0,'Debt strategy'!$C$5-SUM(E369,K369,Q369,W369,AC369)-SUM(IF(L369&lt;F369,I369+J369-K369,0),IF(R369&lt;F369,O369+P369-Q369,0),IF(X369&lt;F369,U369+V369-W369,0),IF(AD369&lt;F369,AA369+AB369-AC369,0)))))</x:f>
        <x:v>0</x:v>
      </x:c>
      <x:c r="H369" s="6" t="n">
        <x:f>ROUND(MAX(0,C369+D369-E369-G369),2)</x:f>
        <x:v>0</x:v>
      </x:c>
      <x:c r="I369" s="6" t="n">
        <x:f>N368</x:f>
        <x:v>0</x:v>
      </x:c>
      <x:c r="J369" s="6" t="n">
        <x:f>ROUND(I369*'Debt strategy'!$D$10/12,2)</x:f>
        <x:v>0</x:v>
      </x:c>
      <x:c r="K369" s="6" t="n">
        <x:f>MIN(I369+J369,'Debt strategy'!$E$10)</x:f>
        <x:v>0</x:v>
      </x:c>
      <x:c r="L369" s="27" t="n">
        <x:f>IF(I369+J369-K369&lt;=0,99,1+SUM(IF(AND(C369+D369-E369&gt;0,OR('Debt strategy'!$D$9&gt;'Debt strategy'!$D$10,AND('Debt strategy'!$D$9='Debt strategy'!$D$10,0&lt;1))),1,0),IF(AND(O369+P369-Q369&gt;0,OR('Debt strategy'!$D$11&gt;'Debt strategy'!$D$10,AND('Debt strategy'!$D$11='Debt strategy'!$D$10,2&lt;1))),1,0),IF(AND(U369+V369-W369&gt;0,OR('Debt strategy'!$D$12&gt;'Debt strategy'!$D$10,AND('Debt strategy'!$D$12='Debt strategy'!$D$10,3&lt;1))),1,0),IF(AND(AA369+AB369-AC369&gt;0,OR('Debt strategy'!$D$13&gt;'Debt strategy'!$D$10,AND('Debt strategy'!$D$13='Debt strategy'!$D$10,4&lt;1))),1,0)))</x:f>
        <x:v>99</x:v>
      </x:c>
      <x:c r="M369" s="6" t="n">
        <x:f>IF('Debt strategy'!$C$16&gt;0,0,MIN(I369+J369-K369,MAX(0,'Debt strategy'!$C$5-SUM(E369,K369,Q369,W369,AC369)-SUM(IF(F369&lt;L369,C369+D369-E369,0),IF(R369&lt;L369,O369+P369-Q369,0),IF(X369&lt;L369,U369+V369-W369,0),IF(AD369&lt;L369,AA369+AB369-AC369,0)))))</x:f>
        <x:v>0</x:v>
      </x:c>
      <x:c r="N369" s="6" t="n">
        <x:f>ROUND(MAX(0,I369+J369-K369-M369),2)</x:f>
        <x:v>0</x:v>
      </x:c>
      <x:c r="O369" s="6" t="n">
        <x:f>T368</x:f>
        <x:v>0</x:v>
      </x:c>
      <x:c r="P369" s="6" t="n">
        <x:f>ROUND(O369*'Debt strategy'!$D$11/12,2)</x:f>
        <x:v>0</x:v>
      </x:c>
      <x:c r="Q369" s="6" t="n">
        <x:f>MIN(O369+P369,'Debt strategy'!$E$11)</x:f>
        <x:v>0</x:v>
      </x:c>
      <x:c r="R369" s="27" t="n">
        <x:f>IF(O369+P369-Q369&lt;=0,99,1+SUM(IF(AND(C369+D369-E369&gt;0,OR('Debt strategy'!$D$9&gt;'Debt strategy'!$D$11,AND('Debt strategy'!$D$9='Debt strategy'!$D$11,0&lt;2))),1,0),IF(AND(I369+J369-K369&gt;0,OR('Debt strategy'!$D$10&gt;'Debt strategy'!$D$11,AND('Debt strategy'!$D$10='Debt strategy'!$D$11,1&lt;2))),1,0),IF(AND(U369+V369-W369&gt;0,OR('Debt strategy'!$D$12&gt;'Debt strategy'!$D$11,AND('Debt strategy'!$D$12='Debt strategy'!$D$11,3&lt;2))),1,0),IF(AND(AA369+AB369-AC369&gt;0,OR('Debt strategy'!$D$13&gt;'Debt strategy'!$D$11,AND('Debt strategy'!$D$13='Debt strategy'!$D$11,4&lt;2))),1,0)))</x:f>
        <x:v>99</x:v>
      </x:c>
      <x:c r="S369" s="6" t="n">
        <x:f>IF('Debt strategy'!$C$16&gt;0,0,MIN(O369+P369-Q369,MAX(0,'Debt strategy'!$C$5-SUM(E369,K369,Q369,W369,AC369)-SUM(IF(F369&lt;R369,C369+D369-E369,0),IF(L369&lt;R369,I369+J369-K369,0),IF(X369&lt;R369,U369+V369-W369,0),IF(AD369&lt;R369,AA369+AB369-AC369,0)))))</x:f>
        <x:v>0</x:v>
      </x:c>
      <x:c r="T369" s="6" t="n">
        <x:f>ROUND(MAX(0,O369+P369-Q369-S369),2)</x:f>
        <x:v>0</x:v>
      </x:c>
      <x:c r="U369" s="6" t="n">
        <x:f>Z368</x:f>
        <x:v>0</x:v>
      </x:c>
      <x:c r="V369" s="6" t="n">
        <x:f>ROUND(U369*'Debt strategy'!$D$12/12,2)</x:f>
        <x:v>0</x:v>
      </x:c>
      <x:c r="W369" s="6" t="n">
        <x:f>MIN(U369+V369,'Debt strategy'!$E$12)</x:f>
        <x:v>0</x:v>
      </x:c>
      <x:c r="X369" s="27" t="n">
        <x:f>IF(U369+V369-W369&lt;=0,99,1+SUM(IF(AND(C369+D369-E369&gt;0,OR('Debt strategy'!$D$9&gt;'Debt strategy'!$D$12,AND('Debt strategy'!$D$9='Debt strategy'!$D$12,0&lt;3))),1,0),IF(AND(I369+J369-K369&gt;0,OR('Debt strategy'!$D$10&gt;'Debt strategy'!$D$12,AND('Debt strategy'!$D$10='Debt strategy'!$D$12,1&lt;3))),1,0),IF(AND(O369+P369-Q369&gt;0,OR('Debt strategy'!$D$11&gt;'Debt strategy'!$D$12,AND('Debt strategy'!$D$11='Debt strategy'!$D$12,2&lt;3))),1,0),IF(AND(AA369+AB369-AC369&gt;0,OR('Debt strategy'!$D$13&gt;'Debt strategy'!$D$12,AND('Debt strategy'!$D$13='Debt strategy'!$D$12,4&lt;3))),1,0)))</x:f>
        <x:v>99</x:v>
      </x:c>
      <x:c r="Y369" s="6" t="n">
        <x:f>IF('Debt strategy'!$C$16&gt;0,0,MIN(U369+V369-W369,MAX(0,'Debt strategy'!$C$5-SUM(E369,K369,Q369,W369,AC369)-SUM(IF(F369&lt;X369,C369+D369-E369,0),IF(L369&lt;X369,I369+J369-K369,0),IF(R369&lt;X369,O369+P369-Q369,0),IF(AD369&lt;X369,AA369+AB369-AC369,0)))))</x:f>
        <x:v>0</x:v>
      </x:c>
      <x:c r="Z369" s="6" t="n">
        <x:f>ROUND(MAX(0,U369+V369-W369-Y369),2)</x:f>
        <x:v>0</x:v>
      </x:c>
      <x:c r="AA369" s="6" t="n">
        <x:f>AF368</x:f>
        <x:v>0</x:v>
      </x:c>
      <x:c r="AB369" s="6" t="n">
        <x:f>ROUND(AA369*'Debt strategy'!$D$13/12,2)</x:f>
        <x:v>0</x:v>
      </x:c>
      <x:c r="AC369" s="6" t="n">
        <x:f>MIN(AA369+AB369,'Debt strategy'!$E$13)</x:f>
        <x:v>0</x:v>
      </x:c>
      <x:c r="AD369" s="27" t="n">
        <x:f>IF(AA369+AB369-AC369&lt;=0,99,1+SUM(IF(AND(C369+D369-E369&gt;0,OR('Debt strategy'!$D$9&gt;'Debt strategy'!$D$13,AND('Debt strategy'!$D$9='Debt strategy'!$D$13,0&lt;4))),1,0),IF(AND(I369+J369-K369&gt;0,OR('Debt strategy'!$D$10&gt;'Debt strategy'!$D$13,AND('Debt strategy'!$D$10='Debt strategy'!$D$13,1&lt;4))),1,0),IF(AND(O369+P369-Q369&gt;0,OR('Debt strategy'!$D$11&gt;'Debt strategy'!$D$13,AND('Debt strategy'!$D$11='Debt strategy'!$D$13,2&lt;4))),1,0),IF(AND(U369+V369-W369&gt;0,OR('Debt strategy'!$D$12&gt;'Debt strategy'!$D$13,AND('Debt strategy'!$D$12='Debt strategy'!$D$13,3&lt;4))),1,0)))</x:f>
        <x:v>99</x:v>
      </x:c>
      <x:c r="AE369" s="6" t="n">
        <x:f>IF('Debt strategy'!$C$16&gt;0,0,MIN(AA369+AB369-AC369,MAX(0,'Debt strategy'!$C$5-SUM(E369,K369,Q369,W369,AC369)-SUM(IF(F369&lt;AD369,C369+D369-E369,0),IF(L369&lt;AD369,I369+J369-K369,0),IF(R369&lt;AD369,O369+P369-Q369,0),IF(X369&lt;AD369,U369+V369-W369,0)))))</x:f>
        <x:v>0</x:v>
      </x:c>
      <x:c r="AF369" s="6" t="n">
        <x:f>ROUND(MAX(0,AA369+AB369-AC369-AE369),2)</x:f>
        <x:v>0</x:v>
      </x:c>
      <x:c r="AG369" s="6" t="n">
        <x:f>SUM(H369,N369,T369,Z369,AF369)</x:f>
        <x:v>0</x:v>
      </x:c>
      <x:c r="AH369" s="6" t="n">
        <x:f>SUM(D369,J369,P369,V369,AB369)+AH368</x:f>
        <x:v>1220.8400000000001</x:v>
      </x:c>
      <x:c r="AI369" s="2"/>
    </x:row>
    <x:row r="370" ht="23" customHeight="1">
      <x:c r="B370" s="2" t="n">
        <x:f>362</x:f>
        <x:v>362</x:v>
      </x:c>
      <x:c r="C370" s="6" t="n">
        <x:f>H369</x:f>
        <x:v>0</x:v>
      </x:c>
      <x:c r="D370" s="6" t="n">
        <x:f>ROUND(C370*'Debt strategy'!$D$9/12,2)</x:f>
        <x:v>0</x:v>
      </x:c>
      <x:c r="E370" s="6" t="n">
        <x:f>MIN(C370+D370,'Debt strategy'!$E$9)</x:f>
        <x:v>0</x:v>
      </x:c>
      <x:c r="F370" s="27" t="n">
        <x:f>IF(C370+D370-E370&lt;=0,99,1+SUM(IF(AND(I370+J370-K370&gt;0,OR('Debt strategy'!$D$10&gt;'Debt strategy'!$D$9,AND('Debt strategy'!$D$10='Debt strategy'!$D$9,1&lt;0))),1,0),IF(AND(O370+P370-Q370&gt;0,OR('Debt strategy'!$D$11&gt;'Debt strategy'!$D$9,AND('Debt strategy'!$D$11='Debt strategy'!$D$9,2&lt;0))),1,0),IF(AND(U370+V370-W370&gt;0,OR('Debt strategy'!$D$12&gt;'Debt strategy'!$D$9,AND('Debt strategy'!$D$12='Debt strategy'!$D$9,3&lt;0))),1,0),IF(AND(AA370+AB370-AC370&gt;0,OR('Debt strategy'!$D$13&gt;'Debt strategy'!$D$9,AND('Debt strategy'!$D$13='Debt strategy'!$D$9,4&lt;0))),1,0)))</x:f>
        <x:v>99</x:v>
      </x:c>
      <x:c r="G370" s="6" t="n">
        <x:f>IF('Debt strategy'!$C$16&gt;0,0,MIN(C370+D370-E370,MAX(0,'Debt strategy'!$C$5-SUM(E370,K370,Q370,W370,AC370)-SUM(IF(L370&lt;F370,I370+J370-K370,0),IF(R370&lt;F370,O370+P370-Q370,0),IF(X370&lt;F370,U370+V370-W370,0),IF(AD370&lt;F370,AA370+AB370-AC370,0)))))</x:f>
        <x:v>0</x:v>
      </x:c>
      <x:c r="H370" s="6" t="n">
        <x:f>ROUND(MAX(0,C370+D370-E370-G370),2)</x:f>
        <x:v>0</x:v>
      </x:c>
      <x:c r="I370" s="6" t="n">
        <x:f>N369</x:f>
        <x:v>0</x:v>
      </x:c>
      <x:c r="J370" s="6" t="n">
        <x:f>ROUND(I370*'Debt strategy'!$D$10/12,2)</x:f>
        <x:v>0</x:v>
      </x:c>
      <x:c r="K370" s="6" t="n">
        <x:f>MIN(I370+J370,'Debt strategy'!$E$10)</x:f>
        <x:v>0</x:v>
      </x:c>
      <x:c r="L370" s="27" t="n">
        <x:f>IF(I370+J370-K370&lt;=0,99,1+SUM(IF(AND(C370+D370-E370&gt;0,OR('Debt strategy'!$D$9&gt;'Debt strategy'!$D$10,AND('Debt strategy'!$D$9='Debt strategy'!$D$10,0&lt;1))),1,0),IF(AND(O370+P370-Q370&gt;0,OR('Debt strategy'!$D$11&gt;'Debt strategy'!$D$10,AND('Debt strategy'!$D$11='Debt strategy'!$D$10,2&lt;1))),1,0),IF(AND(U370+V370-W370&gt;0,OR('Debt strategy'!$D$12&gt;'Debt strategy'!$D$10,AND('Debt strategy'!$D$12='Debt strategy'!$D$10,3&lt;1))),1,0),IF(AND(AA370+AB370-AC370&gt;0,OR('Debt strategy'!$D$13&gt;'Debt strategy'!$D$10,AND('Debt strategy'!$D$13='Debt strategy'!$D$10,4&lt;1))),1,0)))</x:f>
        <x:v>99</x:v>
      </x:c>
      <x:c r="M370" s="6" t="n">
        <x:f>IF('Debt strategy'!$C$16&gt;0,0,MIN(I370+J370-K370,MAX(0,'Debt strategy'!$C$5-SUM(E370,K370,Q370,W370,AC370)-SUM(IF(F370&lt;L370,C370+D370-E370,0),IF(R370&lt;L370,O370+P370-Q370,0),IF(X370&lt;L370,U370+V370-W370,0),IF(AD370&lt;L370,AA370+AB370-AC370,0)))))</x:f>
        <x:v>0</x:v>
      </x:c>
      <x:c r="N370" s="6" t="n">
        <x:f>ROUND(MAX(0,I370+J370-K370-M370),2)</x:f>
        <x:v>0</x:v>
      </x:c>
      <x:c r="O370" s="6" t="n">
        <x:f>T369</x:f>
        <x:v>0</x:v>
      </x:c>
      <x:c r="P370" s="6" t="n">
        <x:f>ROUND(O370*'Debt strategy'!$D$11/12,2)</x:f>
        <x:v>0</x:v>
      </x:c>
      <x:c r="Q370" s="6" t="n">
        <x:f>MIN(O370+P370,'Debt strategy'!$E$11)</x:f>
        <x:v>0</x:v>
      </x:c>
      <x:c r="R370" s="27" t="n">
        <x:f>IF(O370+P370-Q370&lt;=0,99,1+SUM(IF(AND(C370+D370-E370&gt;0,OR('Debt strategy'!$D$9&gt;'Debt strategy'!$D$11,AND('Debt strategy'!$D$9='Debt strategy'!$D$11,0&lt;2))),1,0),IF(AND(I370+J370-K370&gt;0,OR('Debt strategy'!$D$10&gt;'Debt strategy'!$D$11,AND('Debt strategy'!$D$10='Debt strategy'!$D$11,1&lt;2))),1,0),IF(AND(U370+V370-W370&gt;0,OR('Debt strategy'!$D$12&gt;'Debt strategy'!$D$11,AND('Debt strategy'!$D$12='Debt strategy'!$D$11,3&lt;2))),1,0),IF(AND(AA370+AB370-AC370&gt;0,OR('Debt strategy'!$D$13&gt;'Debt strategy'!$D$11,AND('Debt strategy'!$D$13='Debt strategy'!$D$11,4&lt;2))),1,0)))</x:f>
        <x:v>99</x:v>
      </x:c>
      <x:c r="S370" s="6" t="n">
        <x:f>IF('Debt strategy'!$C$16&gt;0,0,MIN(O370+P370-Q370,MAX(0,'Debt strategy'!$C$5-SUM(E370,K370,Q370,W370,AC370)-SUM(IF(F370&lt;R370,C370+D370-E370,0),IF(L370&lt;R370,I370+J370-K370,0),IF(X370&lt;R370,U370+V370-W370,0),IF(AD370&lt;R370,AA370+AB370-AC370,0)))))</x:f>
        <x:v>0</x:v>
      </x:c>
      <x:c r="T370" s="6" t="n">
        <x:f>ROUND(MAX(0,O370+P370-Q370-S370),2)</x:f>
        <x:v>0</x:v>
      </x:c>
      <x:c r="U370" s="6" t="n">
        <x:f>Z369</x:f>
        <x:v>0</x:v>
      </x:c>
      <x:c r="V370" s="6" t="n">
        <x:f>ROUND(U370*'Debt strategy'!$D$12/12,2)</x:f>
        <x:v>0</x:v>
      </x:c>
      <x:c r="W370" s="6" t="n">
        <x:f>MIN(U370+V370,'Debt strategy'!$E$12)</x:f>
        <x:v>0</x:v>
      </x:c>
      <x:c r="X370" s="27" t="n">
        <x:f>IF(U370+V370-W370&lt;=0,99,1+SUM(IF(AND(C370+D370-E370&gt;0,OR('Debt strategy'!$D$9&gt;'Debt strategy'!$D$12,AND('Debt strategy'!$D$9='Debt strategy'!$D$12,0&lt;3))),1,0),IF(AND(I370+J370-K370&gt;0,OR('Debt strategy'!$D$10&gt;'Debt strategy'!$D$12,AND('Debt strategy'!$D$10='Debt strategy'!$D$12,1&lt;3))),1,0),IF(AND(O370+P370-Q370&gt;0,OR('Debt strategy'!$D$11&gt;'Debt strategy'!$D$12,AND('Debt strategy'!$D$11='Debt strategy'!$D$12,2&lt;3))),1,0),IF(AND(AA370+AB370-AC370&gt;0,OR('Debt strategy'!$D$13&gt;'Debt strategy'!$D$12,AND('Debt strategy'!$D$13='Debt strategy'!$D$12,4&lt;3))),1,0)))</x:f>
        <x:v>99</x:v>
      </x:c>
      <x:c r="Y370" s="6" t="n">
        <x:f>IF('Debt strategy'!$C$16&gt;0,0,MIN(U370+V370-W370,MAX(0,'Debt strategy'!$C$5-SUM(E370,K370,Q370,W370,AC370)-SUM(IF(F370&lt;X370,C370+D370-E370,0),IF(L370&lt;X370,I370+J370-K370,0),IF(R370&lt;X370,O370+P370-Q370,0),IF(AD370&lt;X370,AA370+AB370-AC370,0)))))</x:f>
        <x:v>0</x:v>
      </x:c>
      <x:c r="Z370" s="6" t="n">
        <x:f>ROUND(MAX(0,U370+V370-W370-Y370),2)</x:f>
        <x:v>0</x:v>
      </x:c>
      <x:c r="AA370" s="6" t="n">
        <x:f>AF369</x:f>
        <x:v>0</x:v>
      </x:c>
      <x:c r="AB370" s="6" t="n">
        <x:f>ROUND(AA370*'Debt strategy'!$D$13/12,2)</x:f>
        <x:v>0</x:v>
      </x:c>
      <x:c r="AC370" s="6" t="n">
        <x:f>MIN(AA370+AB370,'Debt strategy'!$E$13)</x:f>
        <x:v>0</x:v>
      </x:c>
      <x:c r="AD370" s="27" t="n">
        <x:f>IF(AA370+AB370-AC370&lt;=0,99,1+SUM(IF(AND(C370+D370-E370&gt;0,OR('Debt strategy'!$D$9&gt;'Debt strategy'!$D$13,AND('Debt strategy'!$D$9='Debt strategy'!$D$13,0&lt;4))),1,0),IF(AND(I370+J370-K370&gt;0,OR('Debt strategy'!$D$10&gt;'Debt strategy'!$D$13,AND('Debt strategy'!$D$10='Debt strategy'!$D$13,1&lt;4))),1,0),IF(AND(O370+P370-Q370&gt;0,OR('Debt strategy'!$D$11&gt;'Debt strategy'!$D$13,AND('Debt strategy'!$D$11='Debt strategy'!$D$13,2&lt;4))),1,0),IF(AND(U370+V370-W370&gt;0,OR('Debt strategy'!$D$12&gt;'Debt strategy'!$D$13,AND('Debt strategy'!$D$12='Debt strategy'!$D$13,3&lt;4))),1,0)))</x:f>
        <x:v>99</x:v>
      </x:c>
      <x:c r="AE370" s="6" t="n">
        <x:f>IF('Debt strategy'!$C$16&gt;0,0,MIN(AA370+AB370-AC370,MAX(0,'Debt strategy'!$C$5-SUM(E370,K370,Q370,W370,AC370)-SUM(IF(F370&lt;AD370,C370+D370-E370,0),IF(L370&lt;AD370,I370+J370-K370,0),IF(R370&lt;AD370,O370+P370-Q370,0),IF(X370&lt;AD370,U370+V370-W370,0)))))</x:f>
        <x:v>0</x:v>
      </x:c>
      <x:c r="AF370" s="6" t="n">
        <x:f>ROUND(MAX(0,AA370+AB370-AC370-AE370),2)</x:f>
        <x:v>0</x:v>
      </x:c>
      <x:c r="AG370" s="6" t="n">
        <x:f>SUM(H370,N370,T370,Z370,AF370)</x:f>
        <x:v>0</x:v>
      </x:c>
      <x:c r="AH370" s="6" t="n">
        <x:f>SUM(D370,J370,P370,V370,AB370)+AH369</x:f>
        <x:v>1220.8400000000001</x:v>
      </x:c>
      <x:c r="AI370" s="2"/>
    </x:row>
    <x:row r="371" ht="23" customHeight="1">
      <x:c r="B371" s="2" t="n">
        <x:f>363</x:f>
        <x:v>363</x:v>
      </x:c>
      <x:c r="C371" s="6" t="n">
        <x:f>H370</x:f>
        <x:v>0</x:v>
      </x:c>
      <x:c r="D371" s="6" t="n">
        <x:f>ROUND(C371*'Debt strategy'!$D$9/12,2)</x:f>
        <x:v>0</x:v>
      </x:c>
      <x:c r="E371" s="6" t="n">
        <x:f>MIN(C371+D371,'Debt strategy'!$E$9)</x:f>
        <x:v>0</x:v>
      </x:c>
      <x:c r="F371" s="27" t="n">
        <x:f>IF(C371+D371-E371&lt;=0,99,1+SUM(IF(AND(I371+J371-K371&gt;0,OR('Debt strategy'!$D$10&gt;'Debt strategy'!$D$9,AND('Debt strategy'!$D$10='Debt strategy'!$D$9,1&lt;0))),1,0),IF(AND(O371+P371-Q371&gt;0,OR('Debt strategy'!$D$11&gt;'Debt strategy'!$D$9,AND('Debt strategy'!$D$11='Debt strategy'!$D$9,2&lt;0))),1,0),IF(AND(U371+V371-W371&gt;0,OR('Debt strategy'!$D$12&gt;'Debt strategy'!$D$9,AND('Debt strategy'!$D$12='Debt strategy'!$D$9,3&lt;0))),1,0),IF(AND(AA371+AB371-AC371&gt;0,OR('Debt strategy'!$D$13&gt;'Debt strategy'!$D$9,AND('Debt strategy'!$D$13='Debt strategy'!$D$9,4&lt;0))),1,0)))</x:f>
        <x:v>99</x:v>
      </x:c>
      <x:c r="G371" s="6" t="n">
        <x:f>IF('Debt strategy'!$C$16&gt;0,0,MIN(C371+D371-E371,MAX(0,'Debt strategy'!$C$5-SUM(E371,K371,Q371,W371,AC371)-SUM(IF(L371&lt;F371,I371+J371-K371,0),IF(R371&lt;F371,O371+P371-Q371,0),IF(X371&lt;F371,U371+V371-W371,0),IF(AD371&lt;F371,AA371+AB371-AC371,0)))))</x:f>
        <x:v>0</x:v>
      </x:c>
      <x:c r="H371" s="6" t="n">
        <x:f>ROUND(MAX(0,C371+D371-E371-G371),2)</x:f>
        <x:v>0</x:v>
      </x:c>
      <x:c r="I371" s="6" t="n">
        <x:f>N370</x:f>
        <x:v>0</x:v>
      </x:c>
      <x:c r="J371" s="6" t="n">
        <x:f>ROUND(I371*'Debt strategy'!$D$10/12,2)</x:f>
        <x:v>0</x:v>
      </x:c>
      <x:c r="K371" s="6" t="n">
        <x:f>MIN(I371+J371,'Debt strategy'!$E$10)</x:f>
        <x:v>0</x:v>
      </x:c>
      <x:c r="L371" s="27" t="n">
        <x:f>IF(I371+J371-K371&lt;=0,99,1+SUM(IF(AND(C371+D371-E371&gt;0,OR('Debt strategy'!$D$9&gt;'Debt strategy'!$D$10,AND('Debt strategy'!$D$9='Debt strategy'!$D$10,0&lt;1))),1,0),IF(AND(O371+P371-Q371&gt;0,OR('Debt strategy'!$D$11&gt;'Debt strategy'!$D$10,AND('Debt strategy'!$D$11='Debt strategy'!$D$10,2&lt;1))),1,0),IF(AND(U371+V371-W371&gt;0,OR('Debt strategy'!$D$12&gt;'Debt strategy'!$D$10,AND('Debt strategy'!$D$12='Debt strategy'!$D$10,3&lt;1))),1,0),IF(AND(AA371+AB371-AC371&gt;0,OR('Debt strategy'!$D$13&gt;'Debt strategy'!$D$10,AND('Debt strategy'!$D$13='Debt strategy'!$D$10,4&lt;1))),1,0)))</x:f>
        <x:v>99</x:v>
      </x:c>
      <x:c r="M371" s="6" t="n">
        <x:f>IF('Debt strategy'!$C$16&gt;0,0,MIN(I371+J371-K371,MAX(0,'Debt strategy'!$C$5-SUM(E371,K371,Q371,W371,AC371)-SUM(IF(F371&lt;L371,C371+D371-E371,0),IF(R371&lt;L371,O371+P371-Q371,0),IF(X371&lt;L371,U371+V371-W371,0),IF(AD371&lt;L371,AA371+AB371-AC371,0)))))</x:f>
        <x:v>0</x:v>
      </x:c>
      <x:c r="N371" s="6" t="n">
        <x:f>ROUND(MAX(0,I371+J371-K371-M371),2)</x:f>
        <x:v>0</x:v>
      </x:c>
      <x:c r="O371" s="6" t="n">
        <x:f>T370</x:f>
        <x:v>0</x:v>
      </x:c>
      <x:c r="P371" s="6" t="n">
        <x:f>ROUND(O371*'Debt strategy'!$D$11/12,2)</x:f>
        <x:v>0</x:v>
      </x:c>
      <x:c r="Q371" s="6" t="n">
        <x:f>MIN(O371+P371,'Debt strategy'!$E$11)</x:f>
        <x:v>0</x:v>
      </x:c>
      <x:c r="R371" s="27" t="n">
        <x:f>IF(O371+P371-Q371&lt;=0,99,1+SUM(IF(AND(C371+D371-E371&gt;0,OR('Debt strategy'!$D$9&gt;'Debt strategy'!$D$11,AND('Debt strategy'!$D$9='Debt strategy'!$D$11,0&lt;2))),1,0),IF(AND(I371+J371-K371&gt;0,OR('Debt strategy'!$D$10&gt;'Debt strategy'!$D$11,AND('Debt strategy'!$D$10='Debt strategy'!$D$11,1&lt;2))),1,0),IF(AND(U371+V371-W371&gt;0,OR('Debt strategy'!$D$12&gt;'Debt strategy'!$D$11,AND('Debt strategy'!$D$12='Debt strategy'!$D$11,3&lt;2))),1,0),IF(AND(AA371+AB371-AC371&gt;0,OR('Debt strategy'!$D$13&gt;'Debt strategy'!$D$11,AND('Debt strategy'!$D$13='Debt strategy'!$D$11,4&lt;2))),1,0)))</x:f>
        <x:v>99</x:v>
      </x:c>
      <x:c r="S371" s="6" t="n">
        <x:f>IF('Debt strategy'!$C$16&gt;0,0,MIN(O371+P371-Q371,MAX(0,'Debt strategy'!$C$5-SUM(E371,K371,Q371,W371,AC371)-SUM(IF(F371&lt;R371,C371+D371-E371,0),IF(L371&lt;R371,I371+J371-K371,0),IF(X371&lt;R371,U371+V371-W371,0),IF(AD371&lt;R371,AA371+AB371-AC371,0)))))</x:f>
        <x:v>0</x:v>
      </x:c>
      <x:c r="T371" s="6" t="n">
        <x:f>ROUND(MAX(0,O371+P371-Q371-S371),2)</x:f>
        <x:v>0</x:v>
      </x:c>
      <x:c r="U371" s="6" t="n">
        <x:f>Z370</x:f>
        <x:v>0</x:v>
      </x:c>
      <x:c r="V371" s="6" t="n">
        <x:f>ROUND(U371*'Debt strategy'!$D$12/12,2)</x:f>
        <x:v>0</x:v>
      </x:c>
      <x:c r="W371" s="6" t="n">
        <x:f>MIN(U371+V371,'Debt strategy'!$E$12)</x:f>
        <x:v>0</x:v>
      </x:c>
      <x:c r="X371" s="27" t="n">
        <x:f>IF(U371+V371-W371&lt;=0,99,1+SUM(IF(AND(C371+D371-E371&gt;0,OR('Debt strategy'!$D$9&gt;'Debt strategy'!$D$12,AND('Debt strategy'!$D$9='Debt strategy'!$D$12,0&lt;3))),1,0),IF(AND(I371+J371-K371&gt;0,OR('Debt strategy'!$D$10&gt;'Debt strategy'!$D$12,AND('Debt strategy'!$D$10='Debt strategy'!$D$12,1&lt;3))),1,0),IF(AND(O371+P371-Q371&gt;0,OR('Debt strategy'!$D$11&gt;'Debt strategy'!$D$12,AND('Debt strategy'!$D$11='Debt strategy'!$D$12,2&lt;3))),1,0),IF(AND(AA371+AB371-AC371&gt;0,OR('Debt strategy'!$D$13&gt;'Debt strategy'!$D$12,AND('Debt strategy'!$D$13='Debt strategy'!$D$12,4&lt;3))),1,0)))</x:f>
        <x:v>99</x:v>
      </x:c>
      <x:c r="Y371" s="6" t="n">
        <x:f>IF('Debt strategy'!$C$16&gt;0,0,MIN(U371+V371-W371,MAX(0,'Debt strategy'!$C$5-SUM(E371,K371,Q371,W371,AC371)-SUM(IF(F371&lt;X371,C371+D371-E371,0),IF(L371&lt;X371,I371+J371-K371,0),IF(R371&lt;X371,O371+P371-Q371,0),IF(AD371&lt;X371,AA371+AB371-AC371,0)))))</x:f>
        <x:v>0</x:v>
      </x:c>
      <x:c r="Z371" s="6" t="n">
        <x:f>ROUND(MAX(0,U371+V371-W371-Y371),2)</x:f>
        <x:v>0</x:v>
      </x:c>
      <x:c r="AA371" s="6" t="n">
        <x:f>AF370</x:f>
        <x:v>0</x:v>
      </x:c>
      <x:c r="AB371" s="6" t="n">
        <x:f>ROUND(AA371*'Debt strategy'!$D$13/12,2)</x:f>
        <x:v>0</x:v>
      </x:c>
      <x:c r="AC371" s="6" t="n">
        <x:f>MIN(AA371+AB371,'Debt strategy'!$E$13)</x:f>
        <x:v>0</x:v>
      </x:c>
      <x:c r="AD371" s="27" t="n">
        <x:f>IF(AA371+AB371-AC371&lt;=0,99,1+SUM(IF(AND(C371+D371-E371&gt;0,OR('Debt strategy'!$D$9&gt;'Debt strategy'!$D$13,AND('Debt strategy'!$D$9='Debt strategy'!$D$13,0&lt;4))),1,0),IF(AND(I371+J371-K371&gt;0,OR('Debt strategy'!$D$10&gt;'Debt strategy'!$D$13,AND('Debt strategy'!$D$10='Debt strategy'!$D$13,1&lt;4))),1,0),IF(AND(O371+P371-Q371&gt;0,OR('Debt strategy'!$D$11&gt;'Debt strategy'!$D$13,AND('Debt strategy'!$D$11='Debt strategy'!$D$13,2&lt;4))),1,0),IF(AND(U371+V371-W371&gt;0,OR('Debt strategy'!$D$12&gt;'Debt strategy'!$D$13,AND('Debt strategy'!$D$12='Debt strategy'!$D$13,3&lt;4))),1,0)))</x:f>
        <x:v>99</x:v>
      </x:c>
      <x:c r="AE371" s="6" t="n">
        <x:f>IF('Debt strategy'!$C$16&gt;0,0,MIN(AA371+AB371-AC371,MAX(0,'Debt strategy'!$C$5-SUM(E371,K371,Q371,W371,AC371)-SUM(IF(F371&lt;AD371,C371+D371-E371,0),IF(L371&lt;AD371,I371+J371-K371,0),IF(R371&lt;AD371,O371+P371-Q371,0),IF(X371&lt;AD371,U371+V371-W371,0)))))</x:f>
        <x:v>0</x:v>
      </x:c>
      <x:c r="AF371" s="6" t="n">
        <x:f>ROUND(MAX(0,AA371+AB371-AC371-AE371),2)</x:f>
        <x:v>0</x:v>
      </x:c>
      <x:c r="AG371" s="6" t="n">
        <x:f>SUM(H371,N371,T371,Z371,AF371)</x:f>
        <x:v>0</x:v>
      </x:c>
      <x:c r="AH371" s="6" t="n">
        <x:f>SUM(D371,J371,P371,V371,AB371)+AH370</x:f>
        <x:v>1220.8400000000001</x:v>
      </x:c>
      <x:c r="AI371" s="2"/>
    </x:row>
    <x:row r="372" ht="23" customHeight="1">
      <x:c r="B372" s="2" t="n">
        <x:f>364</x:f>
        <x:v>364</x:v>
      </x:c>
      <x:c r="C372" s="6" t="n">
        <x:f>H371</x:f>
        <x:v>0</x:v>
      </x:c>
      <x:c r="D372" s="6" t="n">
        <x:f>ROUND(C372*'Debt strategy'!$D$9/12,2)</x:f>
        <x:v>0</x:v>
      </x:c>
      <x:c r="E372" s="6" t="n">
        <x:f>MIN(C372+D372,'Debt strategy'!$E$9)</x:f>
        <x:v>0</x:v>
      </x:c>
      <x:c r="F372" s="27" t="n">
        <x:f>IF(C372+D372-E372&lt;=0,99,1+SUM(IF(AND(I372+J372-K372&gt;0,OR('Debt strategy'!$D$10&gt;'Debt strategy'!$D$9,AND('Debt strategy'!$D$10='Debt strategy'!$D$9,1&lt;0))),1,0),IF(AND(O372+P372-Q372&gt;0,OR('Debt strategy'!$D$11&gt;'Debt strategy'!$D$9,AND('Debt strategy'!$D$11='Debt strategy'!$D$9,2&lt;0))),1,0),IF(AND(U372+V372-W372&gt;0,OR('Debt strategy'!$D$12&gt;'Debt strategy'!$D$9,AND('Debt strategy'!$D$12='Debt strategy'!$D$9,3&lt;0))),1,0),IF(AND(AA372+AB372-AC372&gt;0,OR('Debt strategy'!$D$13&gt;'Debt strategy'!$D$9,AND('Debt strategy'!$D$13='Debt strategy'!$D$9,4&lt;0))),1,0)))</x:f>
        <x:v>99</x:v>
      </x:c>
      <x:c r="G372" s="6" t="n">
        <x:f>IF('Debt strategy'!$C$16&gt;0,0,MIN(C372+D372-E372,MAX(0,'Debt strategy'!$C$5-SUM(E372,K372,Q372,W372,AC372)-SUM(IF(L372&lt;F372,I372+J372-K372,0),IF(R372&lt;F372,O372+P372-Q372,0),IF(X372&lt;F372,U372+V372-W372,0),IF(AD372&lt;F372,AA372+AB372-AC372,0)))))</x:f>
        <x:v>0</x:v>
      </x:c>
      <x:c r="H372" s="6" t="n">
        <x:f>ROUND(MAX(0,C372+D372-E372-G372),2)</x:f>
        <x:v>0</x:v>
      </x:c>
      <x:c r="I372" s="6" t="n">
        <x:f>N371</x:f>
        <x:v>0</x:v>
      </x:c>
      <x:c r="J372" s="6" t="n">
        <x:f>ROUND(I372*'Debt strategy'!$D$10/12,2)</x:f>
        <x:v>0</x:v>
      </x:c>
      <x:c r="K372" s="6" t="n">
        <x:f>MIN(I372+J372,'Debt strategy'!$E$10)</x:f>
        <x:v>0</x:v>
      </x:c>
      <x:c r="L372" s="27" t="n">
        <x:f>IF(I372+J372-K372&lt;=0,99,1+SUM(IF(AND(C372+D372-E372&gt;0,OR('Debt strategy'!$D$9&gt;'Debt strategy'!$D$10,AND('Debt strategy'!$D$9='Debt strategy'!$D$10,0&lt;1))),1,0),IF(AND(O372+P372-Q372&gt;0,OR('Debt strategy'!$D$11&gt;'Debt strategy'!$D$10,AND('Debt strategy'!$D$11='Debt strategy'!$D$10,2&lt;1))),1,0),IF(AND(U372+V372-W372&gt;0,OR('Debt strategy'!$D$12&gt;'Debt strategy'!$D$10,AND('Debt strategy'!$D$12='Debt strategy'!$D$10,3&lt;1))),1,0),IF(AND(AA372+AB372-AC372&gt;0,OR('Debt strategy'!$D$13&gt;'Debt strategy'!$D$10,AND('Debt strategy'!$D$13='Debt strategy'!$D$10,4&lt;1))),1,0)))</x:f>
        <x:v>99</x:v>
      </x:c>
      <x:c r="M372" s="6" t="n">
        <x:f>IF('Debt strategy'!$C$16&gt;0,0,MIN(I372+J372-K372,MAX(0,'Debt strategy'!$C$5-SUM(E372,K372,Q372,W372,AC372)-SUM(IF(F372&lt;L372,C372+D372-E372,0),IF(R372&lt;L372,O372+P372-Q372,0),IF(X372&lt;L372,U372+V372-W372,0),IF(AD372&lt;L372,AA372+AB372-AC372,0)))))</x:f>
        <x:v>0</x:v>
      </x:c>
      <x:c r="N372" s="6" t="n">
        <x:f>ROUND(MAX(0,I372+J372-K372-M372),2)</x:f>
        <x:v>0</x:v>
      </x:c>
      <x:c r="O372" s="6" t="n">
        <x:f>T371</x:f>
        <x:v>0</x:v>
      </x:c>
      <x:c r="P372" s="6" t="n">
        <x:f>ROUND(O372*'Debt strategy'!$D$11/12,2)</x:f>
        <x:v>0</x:v>
      </x:c>
      <x:c r="Q372" s="6" t="n">
        <x:f>MIN(O372+P372,'Debt strategy'!$E$11)</x:f>
        <x:v>0</x:v>
      </x:c>
      <x:c r="R372" s="27" t="n">
        <x:f>IF(O372+P372-Q372&lt;=0,99,1+SUM(IF(AND(C372+D372-E372&gt;0,OR('Debt strategy'!$D$9&gt;'Debt strategy'!$D$11,AND('Debt strategy'!$D$9='Debt strategy'!$D$11,0&lt;2))),1,0),IF(AND(I372+J372-K372&gt;0,OR('Debt strategy'!$D$10&gt;'Debt strategy'!$D$11,AND('Debt strategy'!$D$10='Debt strategy'!$D$11,1&lt;2))),1,0),IF(AND(U372+V372-W372&gt;0,OR('Debt strategy'!$D$12&gt;'Debt strategy'!$D$11,AND('Debt strategy'!$D$12='Debt strategy'!$D$11,3&lt;2))),1,0),IF(AND(AA372+AB372-AC372&gt;0,OR('Debt strategy'!$D$13&gt;'Debt strategy'!$D$11,AND('Debt strategy'!$D$13='Debt strategy'!$D$11,4&lt;2))),1,0)))</x:f>
        <x:v>99</x:v>
      </x:c>
      <x:c r="S372" s="6" t="n">
        <x:f>IF('Debt strategy'!$C$16&gt;0,0,MIN(O372+P372-Q372,MAX(0,'Debt strategy'!$C$5-SUM(E372,K372,Q372,W372,AC372)-SUM(IF(F372&lt;R372,C372+D372-E372,0),IF(L372&lt;R372,I372+J372-K372,0),IF(X372&lt;R372,U372+V372-W372,0),IF(AD372&lt;R372,AA372+AB372-AC372,0)))))</x:f>
        <x:v>0</x:v>
      </x:c>
      <x:c r="T372" s="6" t="n">
        <x:f>ROUND(MAX(0,O372+P372-Q372-S372),2)</x:f>
        <x:v>0</x:v>
      </x:c>
      <x:c r="U372" s="6" t="n">
        <x:f>Z371</x:f>
        <x:v>0</x:v>
      </x:c>
      <x:c r="V372" s="6" t="n">
        <x:f>ROUND(U372*'Debt strategy'!$D$12/12,2)</x:f>
        <x:v>0</x:v>
      </x:c>
      <x:c r="W372" s="6" t="n">
        <x:f>MIN(U372+V372,'Debt strategy'!$E$12)</x:f>
        <x:v>0</x:v>
      </x:c>
      <x:c r="X372" s="27" t="n">
        <x:f>IF(U372+V372-W372&lt;=0,99,1+SUM(IF(AND(C372+D372-E372&gt;0,OR('Debt strategy'!$D$9&gt;'Debt strategy'!$D$12,AND('Debt strategy'!$D$9='Debt strategy'!$D$12,0&lt;3))),1,0),IF(AND(I372+J372-K372&gt;0,OR('Debt strategy'!$D$10&gt;'Debt strategy'!$D$12,AND('Debt strategy'!$D$10='Debt strategy'!$D$12,1&lt;3))),1,0),IF(AND(O372+P372-Q372&gt;0,OR('Debt strategy'!$D$11&gt;'Debt strategy'!$D$12,AND('Debt strategy'!$D$11='Debt strategy'!$D$12,2&lt;3))),1,0),IF(AND(AA372+AB372-AC372&gt;0,OR('Debt strategy'!$D$13&gt;'Debt strategy'!$D$12,AND('Debt strategy'!$D$13='Debt strategy'!$D$12,4&lt;3))),1,0)))</x:f>
        <x:v>99</x:v>
      </x:c>
      <x:c r="Y372" s="6" t="n">
        <x:f>IF('Debt strategy'!$C$16&gt;0,0,MIN(U372+V372-W372,MAX(0,'Debt strategy'!$C$5-SUM(E372,K372,Q372,W372,AC372)-SUM(IF(F372&lt;X372,C372+D372-E372,0),IF(L372&lt;X372,I372+J372-K372,0),IF(R372&lt;X372,O372+P372-Q372,0),IF(AD372&lt;X372,AA372+AB372-AC372,0)))))</x:f>
        <x:v>0</x:v>
      </x:c>
      <x:c r="Z372" s="6" t="n">
        <x:f>ROUND(MAX(0,U372+V372-W372-Y372),2)</x:f>
        <x:v>0</x:v>
      </x:c>
      <x:c r="AA372" s="6" t="n">
        <x:f>AF371</x:f>
        <x:v>0</x:v>
      </x:c>
      <x:c r="AB372" s="6" t="n">
        <x:f>ROUND(AA372*'Debt strategy'!$D$13/12,2)</x:f>
        <x:v>0</x:v>
      </x:c>
      <x:c r="AC372" s="6" t="n">
        <x:f>MIN(AA372+AB372,'Debt strategy'!$E$13)</x:f>
        <x:v>0</x:v>
      </x:c>
      <x:c r="AD372" s="27" t="n">
        <x:f>IF(AA372+AB372-AC372&lt;=0,99,1+SUM(IF(AND(C372+D372-E372&gt;0,OR('Debt strategy'!$D$9&gt;'Debt strategy'!$D$13,AND('Debt strategy'!$D$9='Debt strategy'!$D$13,0&lt;4))),1,0),IF(AND(I372+J372-K372&gt;0,OR('Debt strategy'!$D$10&gt;'Debt strategy'!$D$13,AND('Debt strategy'!$D$10='Debt strategy'!$D$13,1&lt;4))),1,0),IF(AND(O372+P372-Q372&gt;0,OR('Debt strategy'!$D$11&gt;'Debt strategy'!$D$13,AND('Debt strategy'!$D$11='Debt strategy'!$D$13,2&lt;4))),1,0),IF(AND(U372+V372-W372&gt;0,OR('Debt strategy'!$D$12&gt;'Debt strategy'!$D$13,AND('Debt strategy'!$D$12='Debt strategy'!$D$13,3&lt;4))),1,0)))</x:f>
        <x:v>99</x:v>
      </x:c>
      <x:c r="AE372" s="6" t="n">
        <x:f>IF('Debt strategy'!$C$16&gt;0,0,MIN(AA372+AB372-AC372,MAX(0,'Debt strategy'!$C$5-SUM(E372,K372,Q372,W372,AC372)-SUM(IF(F372&lt;AD372,C372+D372-E372,0),IF(L372&lt;AD372,I372+J372-K372,0),IF(R372&lt;AD372,O372+P372-Q372,0),IF(X372&lt;AD372,U372+V372-W372,0)))))</x:f>
        <x:v>0</x:v>
      </x:c>
      <x:c r="AF372" s="6" t="n">
        <x:f>ROUND(MAX(0,AA372+AB372-AC372-AE372),2)</x:f>
        <x:v>0</x:v>
      </x:c>
      <x:c r="AG372" s="6" t="n">
        <x:f>SUM(H372,N372,T372,Z372,AF372)</x:f>
        <x:v>0</x:v>
      </x:c>
      <x:c r="AH372" s="6" t="n">
        <x:f>SUM(D372,J372,P372,V372,AB372)+AH371</x:f>
        <x:v>1220.8400000000001</x:v>
      </x:c>
      <x:c r="AI372" s="2"/>
    </x:row>
    <x:row r="373" ht="23" customHeight="1">
      <x:c r="B373" s="2" t="n">
        <x:f>365</x:f>
        <x:v>365</x:v>
      </x:c>
      <x:c r="C373" s="6" t="n">
        <x:f>H372</x:f>
        <x:v>0</x:v>
      </x:c>
      <x:c r="D373" s="6" t="n">
        <x:f>ROUND(C373*'Debt strategy'!$D$9/12,2)</x:f>
        <x:v>0</x:v>
      </x:c>
      <x:c r="E373" s="6" t="n">
        <x:f>MIN(C373+D373,'Debt strategy'!$E$9)</x:f>
        <x:v>0</x:v>
      </x:c>
      <x:c r="F373" s="27" t="n">
        <x:f>IF(C373+D373-E373&lt;=0,99,1+SUM(IF(AND(I373+J373-K373&gt;0,OR('Debt strategy'!$D$10&gt;'Debt strategy'!$D$9,AND('Debt strategy'!$D$10='Debt strategy'!$D$9,1&lt;0))),1,0),IF(AND(O373+P373-Q373&gt;0,OR('Debt strategy'!$D$11&gt;'Debt strategy'!$D$9,AND('Debt strategy'!$D$11='Debt strategy'!$D$9,2&lt;0))),1,0),IF(AND(U373+V373-W373&gt;0,OR('Debt strategy'!$D$12&gt;'Debt strategy'!$D$9,AND('Debt strategy'!$D$12='Debt strategy'!$D$9,3&lt;0))),1,0),IF(AND(AA373+AB373-AC373&gt;0,OR('Debt strategy'!$D$13&gt;'Debt strategy'!$D$9,AND('Debt strategy'!$D$13='Debt strategy'!$D$9,4&lt;0))),1,0)))</x:f>
        <x:v>99</x:v>
      </x:c>
      <x:c r="G373" s="6" t="n">
        <x:f>IF('Debt strategy'!$C$16&gt;0,0,MIN(C373+D373-E373,MAX(0,'Debt strategy'!$C$5-SUM(E373,K373,Q373,W373,AC373)-SUM(IF(L373&lt;F373,I373+J373-K373,0),IF(R373&lt;F373,O373+P373-Q373,0),IF(X373&lt;F373,U373+V373-W373,0),IF(AD373&lt;F373,AA373+AB373-AC373,0)))))</x:f>
        <x:v>0</x:v>
      </x:c>
      <x:c r="H373" s="6" t="n">
        <x:f>ROUND(MAX(0,C373+D373-E373-G373),2)</x:f>
        <x:v>0</x:v>
      </x:c>
      <x:c r="I373" s="6" t="n">
        <x:f>N372</x:f>
        <x:v>0</x:v>
      </x:c>
      <x:c r="J373" s="6" t="n">
        <x:f>ROUND(I373*'Debt strategy'!$D$10/12,2)</x:f>
        <x:v>0</x:v>
      </x:c>
      <x:c r="K373" s="6" t="n">
        <x:f>MIN(I373+J373,'Debt strategy'!$E$10)</x:f>
        <x:v>0</x:v>
      </x:c>
      <x:c r="L373" s="27" t="n">
        <x:f>IF(I373+J373-K373&lt;=0,99,1+SUM(IF(AND(C373+D373-E373&gt;0,OR('Debt strategy'!$D$9&gt;'Debt strategy'!$D$10,AND('Debt strategy'!$D$9='Debt strategy'!$D$10,0&lt;1))),1,0),IF(AND(O373+P373-Q373&gt;0,OR('Debt strategy'!$D$11&gt;'Debt strategy'!$D$10,AND('Debt strategy'!$D$11='Debt strategy'!$D$10,2&lt;1))),1,0),IF(AND(U373+V373-W373&gt;0,OR('Debt strategy'!$D$12&gt;'Debt strategy'!$D$10,AND('Debt strategy'!$D$12='Debt strategy'!$D$10,3&lt;1))),1,0),IF(AND(AA373+AB373-AC373&gt;0,OR('Debt strategy'!$D$13&gt;'Debt strategy'!$D$10,AND('Debt strategy'!$D$13='Debt strategy'!$D$10,4&lt;1))),1,0)))</x:f>
        <x:v>99</x:v>
      </x:c>
      <x:c r="M373" s="6" t="n">
        <x:f>IF('Debt strategy'!$C$16&gt;0,0,MIN(I373+J373-K373,MAX(0,'Debt strategy'!$C$5-SUM(E373,K373,Q373,W373,AC373)-SUM(IF(F373&lt;L373,C373+D373-E373,0),IF(R373&lt;L373,O373+P373-Q373,0),IF(X373&lt;L373,U373+V373-W373,0),IF(AD373&lt;L373,AA373+AB373-AC373,0)))))</x:f>
        <x:v>0</x:v>
      </x:c>
      <x:c r="N373" s="6" t="n">
        <x:f>ROUND(MAX(0,I373+J373-K373-M373),2)</x:f>
        <x:v>0</x:v>
      </x:c>
      <x:c r="O373" s="6" t="n">
        <x:f>T372</x:f>
        <x:v>0</x:v>
      </x:c>
      <x:c r="P373" s="6" t="n">
        <x:f>ROUND(O373*'Debt strategy'!$D$11/12,2)</x:f>
        <x:v>0</x:v>
      </x:c>
      <x:c r="Q373" s="6" t="n">
        <x:f>MIN(O373+P373,'Debt strategy'!$E$11)</x:f>
        <x:v>0</x:v>
      </x:c>
      <x:c r="R373" s="27" t="n">
        <x:f>IF(O373+P373-Q373&lt;=0,99,1+SUM(IF(AND(C373+D373-E373&gt;0,OR('Debt strategy'!$D$9&gt;'Debt strategy'!$D$11,AND('Debt strategy'!$D$9='Debt strategy'!$D$11,0&lt;2))),1,0),IF(AND(I373+J373-K373&gt;0,OR('Debt strategy'!$D$10&gt;'Debt strategy'!$D$11,AND('Debt strategy'!$D$10='Debt strategy'!$D$11,1&lt;2))),1,0),IF(AND(U373+V373-W373&gt;0,OR('Debt strategy'!$D$12&gt;'Debt strategy'!$D$11,AND('Debt strategy'!$D$12='Debt strategy'!$D$11,3&lt;2))),1,0),IF(AND(AA373+AB373-AC373&gt;0,OR('Debt strategy'!$D$13&gt;'Debt strategy'!$D$11,AND('Debt strategy'!$D$13='Debt strategy'!$D$11,4&lt;2))),1,0)))</x:f>
        <x:v>99</x:v>
      </x:c>
      <x:c r="S373" s="6" t="n">
        <x:f>IF('Debt strategy'!$C$16&gt;0,0,MIN(O373+P373-Q373,MAX(0,'Debt strategy'!$C$5-SUM(E373,K373,Q373,W373,AC373)-SUM(IF(F373&lt;R373,C373+D373-E373,0),IF(L373&lt;R373,I373+J373-K373,0),IF(X373&lt;R373,U373+V373-W373,0),IF(AD373&lt;R373,AA373+AB373-AC373,0)))))</x:f>
        <x:v>0</x:v>
      </x:c>
      <x:c r="T373" s="6" t="n">
        <x:f>ROUND(MAX(0,O373+P373-Q373-S373),2)</x:f>
        <x:v>0</x:v>
      </x:c>
      <x:c r="U373" s="6" t="n">
        <x:f>Z372</x:f>
        <x:v>0</x:v>
      </x:c>
      <x:c r="V373" s="6" t="n">
        <x:f>ROUND(U373*'Debt strategy'!$D$12/12,2)</x:f>
        <x:v>0</x:v>
      </x:c>
      <x:c r="W373" s="6" t="n">
        <x:f>MIN(U373+V373,'Debt strategy'!$E$12)</x:f>
        <x:v>0</x:v>
      </x:c>
      <x:c r="X373" s="27" t="n">
        <x:f>IF(U373+V373-W373&lt;=0,99,1+SUM(IF(AND(C373+D373-E373&gt;0,OR('Debt strategy'!$D$9&gt;'Debt strategy'!$D$12,AND('Debt strategy'!$D$9='Debt strategy'!$D$12,0&lt;3))),1,0),IF(AND(I373+J373-K373&gt;0,OR('Debt strategy'!$D$10&gt;'Debt strategy'!$D$12,AND('Debt strategy'!$D$10='Debt strategy'!$D$12,1&lt;3))),1,0),IF(AND(O373+P373-Q373&gt;0,OR('Debt strategy'!$D$11&gt;'Debt strategy'!$D$12,AND('Debt strategy'!$D$11='Debt strategy'!$D$12,2&lt;3))),1,0),IF(AND(AA373+AB373-AC373&gt;0,OR('Debt strategy'!$D$13&gt;'Debt strategy'!$D$12,AND('Debt strategy'!$D$13='Debt strategy'!$D$12,4&lt;3))),1,0)))</x:f>
        <x:v>99</x:v>
      </x:c>
      <x:c r="Y373" s="6" t="n">
        <x:f>IF('Debt strategy'!$C$16&gt;0,0,MIN(U373+V373-W373,MAX(0,'Debt strategy'!$C$5-SUM(E373,K373,Q373,W373,AC373)-SUM(IF(F373&lt;X373,C373+D373-E373,0),IF(L373&lt;X373,I373+J373-K373,0),IF(R373&lt;X373,O373+P373-Q373,0),IF(AD373&lt;X373,AA373+AB373-AC373,0)))))</x:f>
        <x:v>0</x:v>
      </x:c>
      <x:c r="Z373" s="6" t="n">
        <x:f>ROUND(MAX(0,U373+V373-W373-Y373),2)</x:f>
        <x:v>0</x:v>
      </x:c>
      <x:c r="AA373" s="6" t="n">
        <x:f>AF372</x:f>
        <x:v>0</x:v>
      </x:c>
      <x:c r="AB373" s="6" t="n">
        <x:f>ROUND(AA373*'Debt strategy'!$D$13/12,2)</x:f>
        <x:v>0</x:v>
      </x:c>
      <x:c r="AC373" s="6" t="n">
        <x:f>MIN(AA373+AB373,'Debt strategy'!$E$13)</x:f>
        <x:v>0</x:v>
      </x:c>
      <x:c r="AD373" s="27" t="n">
        <x:f>IF(AA373+AB373-AC373&lt;=0,99,1+SUM(IF(AND(C373+D373-E373&gt;0,OR('Debt strategy'!$D$9&gt;'Debt strategy'!$D$13,AND('Debt strategy'!$D$9='Debt strategy'!$D$13,0&lt;4))),1,0),IF(AND(I373+J373-K373&gt;0,OR('Debt strategy'!$D$10&gt;'Debt strategy'!$D$13,AND('Debt strategy'!$D$10='Debt strategy'!$D$13,1&lt;4))),1,0),IF(AND(O373+P373-Q373&gt;0,OR('Debt strategy'!$D$11&gt;'Debt strategy'!$D$13,AND('Debt strategy'!$D$11='Debt strategy'!$D$13,2&lt;4))),1,0),IF(AND(U373+V373-W373&gt;0,OR('Debt strategy'!$D$12&gt;'Debt strategy'!$D$13,AND('Debt strategy'!$D$12='Debt strategy'!$D$13,3&lt;4))),1,0)))</x:f>
        <x:v>99</x:v>
      </x:c>
      <x:c r="AE373" s="6" t="n">
        <x:f>IF('Debt strategy'!$C$16&gt;0,0,MIN(AA373+AB373-AC373,MAX(0,'Debt strategy'!$C$5-SUM(E373,K373,Q373,W373,AC373)-SUM(IF(F373&lt;AD373,C373+D373-E373,0),IF(L373&lt;AD373,I373+J373-K373,0),IF(R373&lt;AD373,O373+P373-Q373,0),IF(X373&lt;AD373,U373+V373-W373,0)))))</x:f>
        <x:v>0</x:v>
      </x:c>
      <x:c r="AF373" s="6" t="n">
        <x:f>ROUND(MAX(0,AA373+AB373-AC373-AE373),2)</x:f>
        <x:v>0</x:v>
      </x:c>
      <x:c r="AG373" s="6" t="n">
        <x:f>SUM(H373,N373,T373,Z373,AF373)</x:f>
        <x:v>0</x:v>
      </x:c>
      <x:c r="AH373" s="6" t="n">
        <x:f>SUM(D373,J373,P373,V373,AB373)+AH372</x:f>
        <x:v>1220.8400000000001</x:v>
      </x:c>
      <x:c r="AI373" s="2"/>
    </x:row>
    <x:row r="374" ht="23" customHeight="1">
      <x:c r="B374" s="2" t="n">
        <x:f>366</x:f>
        <x:v>366</x:v>
      </x:c>
      <x:c r="C374" s="6" t="n">
        <x:f>H373</x:f>
        <x:v>0</x:v>
      </x:c>
      <x:c r="D374" s="6" t="n">
        <x:f>ROUND(C374*'Debt strategy'!$D$9/12,2)</x:f>
        <x:v>0</x:v>
      </x:c>
      <x:c r="E374" s="6" t="n">
        <x:f>MIN(C374+D374,'Debt strategy'!$E$9)</x:f>
        <x:v>0</x:v>
      </x:c>
      <x:c r="F374" s="27" t="n">
        <x:f>IF(C374+D374-E374&lt;=0,99,1+SUM(IF(AND(I374+J374-K374&gt;0,OR('Debt strategy'!$D$10&gt;'Debt strategy'!$D$9,AND('Debt strategy'!$D$10='Debt strategy'!$D$9,1&lt;0))),1,0),IF(AND(O374+P374-Q374&gt;0,OR('Debt strategy'!$D$11&gt;'Debt strategy'!$D$9,AND('Debt strategy'!$D$11='Debt strategy'!$D$9,2&lt;0))),1,0),IF(AND(U374+V374-W374&gt;0,OR('Debt strategy'!$D$12&gt;'Debt strategy'!$D$9,AND('Debt strategy'!$D$12='Debt strategy'!$D$9,3&lt;0))),1,0),IF(AND(AA374+AB374-AC374&gt;0,OR('Debt strategy'!$D$13&gt;'Debt strategy'!$D$9,AND('Debt strategy'!$D$13='Debt strategy'!$D$9,4&lt;0))),1,0)))</x:f>
        <x:v>99</x:v>
      </x:c>
      <x:c r="G374" s="6" t="n">
        <x:f>IF('Debt strategy'!$C$16&gt;0,0,MIN(C374+D374-E374,MAX(0,'Debt strategy'!$C$5-SUM(E374,K374,Q374,W374,AC374)-SUM(IF(L374&lt;F374,I374+J374-K374,0),IF(R374&lt;F374,O374+P374-Q374,0),IF(X374&lt;F374,U374+V374-W374,0),IF(AD374&lt;F374,AA374+AB374-AC374,0)))))</x:f>
        <x:v>0</x:v>
      </x:c>
      <x:c r="H374" s="6" t="n">
        <x:f>ROUND(MAX(0,C374+D374-E374-G374),2)</x:f>
        <x:v>0</x:v>
      </x:c>
      <x:c r="I374" s="6" t="n">
        <x:f>N373</x:f>
        <x:v>0</x:v>
      </x:c>
      <x:c r="J374" s="6" t="n">
        <x:f>ROUND(I374*'Debt strategy'!$D$10/12,2)</x:f>
        <x:v>0</x:v>
      </x:c>
      <x:c r="K374" s="6" t="n">
        <x:f>MIN(I374+J374,'Debt strategy'!$E$10)</x:f>
        <x:v>0</x:v>
      </x:c>
      <x:c r="L374" s="27" t="n">
        <x:f>IF(I374+J374-K374&lt;=0,99,1+SUM(IF(AND(C374+D374-E374&gt;0,OR('Debt strategy'!$D$9&gt;'Debt strategy'!$D$10,AND('Debt strategy'!$D$9='Debt strategy'!$D$10,0&lt;1))),1,0),IF(AND(O374+P374-Q374&gt;0,OR('Debt strategy'!$D$11&gt;'Debt strategy'!$D$10,AND('Debt strategy'!$D$11='Debt strategy'!$D$10,2&lt;1))),1,0),IF(AND(U374+V374-W374&gt;0,OR('Debt strategy'!$D$12&gt;'Debt strategy'!$D$10,AND('Debt strategy'!$D$12='Debt strategy'!$D$10,3&lt;1))),1,0),IF(AND(AA374+AB374-AC374&gt;0,OR('Debt strategy'!$D$13&gt;'Debt strategy'!$D$10,AND('Debt strategy'!$D$13='Debt strategy'!$D$10,4&lt;1))),1,0)))</x:f>
        <x:v>99</x:v>
      </x:c>
      <x:c r="M374" s="6" t="n">
        <x:f>IF('Debt strategy'!$C$16&gt;0,0,MIN(I374+J374-K374,MAX(0,'Debt strategy'!$C$5-SUM(E374,K374,Q374,W374,AC374)-SUM(IF(F374&lt;L374,C374+D374-E374,0),IF(R374&lt;L374,O374+P374-Q374,0),IF(X374&lt;L374,U374+V374-W374,0),IF(AD374&lt;L374,AA374+AB374-AC374,0)))))</x:f>
        <x:v>0</x:v>
      </x:c>
      <x:c r="N374" s="6" t="n">
        <x:f>ROUND(MAX(0,I374+J374-K374-M374),2)</x:f>
        <x:v>0</x:v>
      </x:c>
      <x:c r="O374" s="6" t="n">
        <x:f>T373</x:f>
        <x:v>0</x:v>
      </x:c>
      <x:c r="P374" s="6" t="n">
        <x:f>ROUND(O374*'Debt strategy'!$D$11/12,2)</x:f>
        <x:v>0</x:v>
      </x:c>
      <x:c r="Q374" s="6" t="n">
        <x:f>MIN(O374+P374,'Debt strategy'!$E$11)</x:f>
        <x:v>0</x:v>
      </x:c>
      <x:c r="R374" s="27" t="n">
        <x:f>IF(O374+P374-Q374&lt;=0,99,1+SUM(IF(AND(C374+D374-E374&gt;0,OR('Debt strategy'!$D$9&gt;'Debt strategy'!$D$11,AND('Debt strategy'!$D$9='Debt strategy'!$D$11,0&lt;2))),1,0),IF(AND(I374+J374-K374&gt;0,OR('Debt strategy'!$D$10&gt;'Debt strategy'!$D$11,AND('Debt strategy'!$D$10='Debt strategy'!$D$11,1&lt;2))),1,0),IF(AND(U374+V374-W374&gt;0,OR('Debt strategy'!$D$12&gt;'Debt strategy'!$D$11,AND('Debt strategy'!$D$12='Debt strategy'!$D$11,3&lt;2))),1,0),IF(AND(AA374+AB374-AC374&gt;0,OR('Debt strategy'!$D$13&gt;'Debt strategy'!$D$11,AND('Debt strategy'!$D$13='Debt strategy'!$D$11,4&lt;2))),1,0)))</x:f>
        <x:v>99</x:v>
      </x:c>
      <x:c r="S374" s="6" t="n">
        <x:f>IF('Debt strategy'!$C$16&gt;0,0,MIN(O374+P374-Q374,MAX(0,'Debt strategy'!$C$5-SUM(E374,K374,Q374,W374,AC374)-SUM(IF(F374&lt;R374,C374+D374-E374,0),IF(L374&lt;R374,I374+J374-K374,0),IF(X374&lt;R374,U374+V374-W374,0),IF(AD374&lt;R374,AA374+AB374-AC374,0)))))</x:f>
        <x:v>0</x:v>
      </x:c>
      <x:c r="T374" s="6" t="n">
        <x:f>ROUND(MAX(0,O374+P374-Q374-S374),2)</x:f>
        <x:v>0</x:v>
      </x:c>
      <x:c r="U374" s="6" t="n">
        <x:f>Z373</x:f>
        <x:v>0</x:v>
      </x:c>
      <x:c r="V374" s="6" t="n">
        <x:f>ROUND(U374*'Debt strategy'!$D$12/12,2)</x:f>
        <x:v>0</x:v>
      </x:c>
      <x:c r="W374" s="6" t="n">
        <x:f>MIN(U374+V374,'Debt strategy'!$E$12)</x:f>
        <x:v>0</x:v>
      </x:c>
      <x:c r="X374" s="27" t="n">
        <x:f>IF(U374+V374-W374&lt;=0,99,1+SUM(IF(AND(C374+D374-E374&gt;0,OR('Debt strategy'!$D$9&gt;'Debt strategy'!$D$12,AND('Debt strategy'!$D$9='Debt strategy'!$D$12,0&lt;3))),1,0),IF(AND(I374+J374-K374&gt;0,OR('Debt strategy'!$D$10&gt;'Debt strategy'!$D$12,AND('Debt strategy'!$D$10='Debt strategy'!$D$12,1&lt;3))),1,0),IF(AND(O374+P374-Q374&gt;0,OR('Debt strategy'!$D$11&gt;'Debt strategy'!$D$12,AND('Debt strategy'!$D$11='Debt strategy'!$D$12,2&lt;3))),1,0),IF(AND(AA374+AB374-AC374&gt;0,OR('Debt strategy'!$D$13&gt;'Debt strategy'!$D$12,AND('Debt strategy'!$D$13='Debt strategy'!$D$12,4&lt;3))),1,0)))</x:f>
        <x:v>99</x:v>
      </x:c>
      <x:c r="Y374" s="6" t="n">
        <x:f>IF('Debt strategy'!$C$16&gt;0,0,MIN(U374+V374-W374,MAX(0,'Debt strategy'!$C$5-SUM(E374,K374,Q374,W374,AC374)-SUM(IF(F374&lt;X374,C374+D374-E374,0),IF(L374&lt;X374,I374+J374-K374,0),IF(R374&lt;X374,O374+P374-Q374,0),IF(AD374&lt;X374,AA374+AB374-AC374,0)))))</x:f>
        <x:v>0</x:v>
      </x:c>
      <x:c r="Z374" s="6" t="n">
        <x:f>ROUND(MAX(0,U374+V374-W374-Y374),2)</x:f>
        <x:v>0</x:v>
      </x:c>
      <x:c r="AA374" s="6" t="n">
        <x:f>AF373</x:f>
        <x:v>0</x:v>
      </x:c>
      <x:c r="AB374" s="6" t="n">
        <x:f>ROUND(AA374*'Debt strategy'!$D$13/12,2)</x:f>
        <x:v>0</x:v>
      </x:c>
      <x:c r="AC374" s="6" t="n">
        <x:f>MIN(AA374+AB374,'Debt strategy'!$E$13)</x:f>
        <x:v>0</x:v>
      </x:c>
      <x:c r="AD374" s="27" t="n">
        <x:f>IF(AA374+AB374-AC374&lt;=0,99,1+SUM(IF(AND(C374+D374-E374&gt;0,OR('Debt strategy'!$D$9&gt;'Debt strategy'!$D$13,AND('Debt strategy'!$D$9='Debt strategy'!$D$13,0&lt;4))),1,0),IF(AND(I374+J374-K374&gt;0,OR('Debt strategy'!$D$10&gt;'Debt strategy'!$D$13,AND('Debt strategy'!$D$10='Debt strategy'!$D$13,1&lt;4))),1,0),IF(AND(O374+P374-Q374&gt;0,OR('Debt strategy'!$D$11&gt;'Debt strategy'!$D$13,AND('Debt strategy'!$D$11='Debt strategy'!$D$13,2&lt;4))),1,0),IF(AND(U374+V374-W374&gt;0,OR('Debt strategy'!$D$12&gt;'Debt strategy'!$D$13,AND('Debt strategy'!$D$12='Debt strategy'!$D$13,3&lt;4))),1,0)))</x:f>
        <x:v>99</x:v>
      </x:c>
      <x:c r="AE374" s="6" t="n">
        <x:f>IF('Debt strategy'!$C$16&gt;0,0,MIN(AA374+AB374-AC374,MAX(0,'Debt strategy'!$C$5-SUM(E374,K374,Q374,W374,AC374)-SUM(IF(F374&lt;AD374,C374+D374-E374,0),IF(L374&lt;AD374,I374+J374-K374,0),IF(R374&lt;AD374,O374+P374-Q374,0),IF(X374&lt;AD374,U374+V374-W374,0)))))</x:f>
        <x:v>0</x:v>
      </x:c>
      <x:c r="AF374" s="6" t="n">
        <x:f>ROUND(MAX(0,AA374+AB374-AC374-AE374),2)</x:f>
        <x:v>0</x:v>
      </x:c>
      <x:c r="AG374" s="6" t="n">
        <x:f>SUM(H374,N374,T374,Z374,AF374)</x:f>
        <x:v>0</x:v>
      </x:c>
      <x:c r="AH374" s="6" t="n">
        <x:f>SUM(D374,J374,P374,V374,AB374)+AH373</x:f>
        <x:v>1220.8400000000001</x:v>
      </x:c>
      <x:c r="AI374" s="2"/>
    </x:row>
    <x:row r="375" ht="23" customHeight="1">
      <x:c r="B375" s="2" t="n">
        <x:f>367</x:f>
        <x:v>367</x:v>
      </x:c>
      <x:c r="C375" s="6" t="n">
        <x:f>H374</x:f>
        <x:v>0</x:v>
      </x:c>
      <x:c r="D375" s="6" t="n">
        <x:f>ROUND(C375*'Debt strategy'!$D$9/12,2)</x:f>
        <x:v>0</x:v>
      </x:c>
      <x:c r="E375" s="6" t="n">
        <x:f>MIN(C375+D375,'Debt strategy'!$E$9)</x:f>
        <x:v>0</x:v>
      </x:c>
      <x:c r="F375" s="27" t="n">
        <x:f>IF(C375+D375-E375&lt;=0,99,1+SUM(IF(AND(I375+J375-K375&gt;0,OR('Debt strategy'!$D$10&gt;'Debt strategy'!$D$9,AND('Debt strategy'!$D$10='Debt strategy'!$D$9,1&lt;0))),1,0),IF(AND(O375+P375-Q375&gt;0,OR('Debt strategy'!$D$11&gt;'Debt strategy'!$D$9,AND('Debt strategy'!$D$11='Debt strategy'!$D$9,2&lt;0))),1,0),IF(AND(U375+V375-W375&gt;0,OR('Debt strategy'!$D$12&gt;'Debt strategy'!$D$9,AND('Debt strategy'!$D$12='Debt strategy'!$D$9,3&lt;0))),1,0),IF(AND(AA375+AB375-AC375&gt;0,OR('Debt strategy'!$D$13&gt;'Debt strategy'!$D$9,AND('Debt strategy'!$D$13='Debt strategy'!$D$9,4&lt;0))),1,0)))</x:f>
        <x:v>99</x:v>
      </x:c>
      <x:c r="G375" s="6" t="n">
        <x:f>IF('Debt strategy'!$C$16&gt;0,0,MIN(C375+D375-E375,MAX(0,'Debt strategy'!$C$5-SUM(E375,K375,Q375,W375,AC375)-SUM(IF(L375&lt;F375,I375+J375-K375,0),IF(R375&lt;F375,O375+P375-Q375,0),IF(X375&lt;F375,U375+V375-W375,0),IF(AD375&lt;F375,AA375+AB375-AC375,0)))))</x:f>
        <x:v>0</x:v>
      </x:c>
      <x:c r="H375" s="6" t="n">
        <x:f>ROUND(MAX(0,C375+D375-E375-G375),2)</x:f>
        <x:v>0</x:v>
      </x:c>
      <x:c r="I375" s="6" t="n">
        <x:f>N374</x:f>
        <x:v>0</x:v>
      </x:c>
      <x:c r="J375" s="6" t="n">
        <x:f>ROUND(I375*'Debt strategy'!$D$10/12,2)</x:f>
        <x:v>0</x:v>
      </x:c>
      <x:c r="K375" s="6" t="n">
        <x:f>MIN(I375+J375,'Debt strategy'!$E$10)</x:f>
        <x:v>0</x:v>
      </x:c>
      <x:c r="L375" s="27" t="n">
        <x:f>IF(I375+J375-K375&lt;=0,99,1+SUM(IF(AND(C375+D375-E375&gt;0,OR('Debt strategy'!$D$9&gt;'Debt strategy'!$D$10,AND('Debt strategy'!$D$9='Debt strategy'!$D$10,0&lt;1))),1,0),IF(AND(O375+P375-Q375&gt;0,OR('Debt strategy'!$D$11&gt;'Debt strategy'!$D$10,AND('Debt strategy'!$D$11='Debt strategy'!$D$10,2&lt;1))),1,0),IF(AND(U375+V375-W375&gt;0,OR('Debt strategy'!$D$12&gt;'Debt strategy'!$D$10,AND('Debt strategy'!$D$12='Debt strategy'!$D$10,3&lt;1))),1,0),IF(AND(AA375+AB375-AC375&gt;0,OR('Debt strategy'!$D$13&gt;'Debt strategy'!$D$10,AND('Debt strategy'!$D$13='Debt strategy'!$D$10,4&lt;1))),1,0)))</x:f>
        <x:v>99</x:v>
      </x:c>
      <x:c r="M375" s="6" t="n">
        <x:f>IF('Debt strategy'!$C$16&gt;0,0,MIN(I375+J375-K375,MAX(0,'Debt strategy'!$C$5-SUM(E375,K375,Q375,W375,AC375)-SUM(IF(F375&lt;L375,C375+D375-E375,0),IF(R375&lt;L375,O375+P375-Q375,0),IF(X375&lt;L375,U375+V375-W375,0),IF(AD375&lt;L375,AA375+AB375-AC375,0)))))</x:f>
        <x:v>0</x:v>
      </x:c>
      <x:c r="N375" s="6" t="n">
        <x:f>ROUND(MAX(0,I375+J375-K375-M375),2)</x:f>
        <x:v>0</x:v>
      </x:c>
      <x:c r="O375" s="6" t="n">
        <x:f>T374</x:f>
        <x:v>0</x:v>
      </x:c>
      <x:c r="P375" s="6" t="n">
        <x:f>ROUND(O375*'Debt strategy'!$D$11/12,2)</x:f>
        <x:v>0</x:v>
      </x:c>
      <x:c r="Q375" s="6" t="n">
        <x:f>MIN(O375+P375,'Debt strategy'!$E$11)</x:f>
        <x:v>0</x:v>
      </x:c>
      <x:c r="R375" s="27" t="n">
        <x:f>IF(O375+P375-Q375&lt;=0,99,1+SUM(IF(AND(C375+D375-E375&gt;0,OR('Debt strategy'!$D$9&gt;'Debt strategy'!$D$11,AND('Debt strategy'!$D$9='Debt strategy'!$D$11,0&lt;2))),1,0),IF(AND(I375+J375-K375&gt;0,OR('Debt strategy'!$D$10&gt;'Debt strategy'!$D$11,AND('Debt strategy'!$D$10='Debt strategy'!$D$11,1&lt;2))),1,0),IF(AND(U375+V375-W375&gt;0,OR('Debt strategy'!$D$12&gt;'Debt strategy'!$D$11,AND('Debt strategy'!$D$12='Debt strategy'!$D$11,3&lt;2))),1,0),IF(AND(AA375+AB375-AC375&gt;0,OR('Debt strategy'!$D$13&gt;'Debt strategy'!$D$11,AND('Debt strategy'!$D$13='Debt strategy'!$D$11,4&lt;2))),1,0)))</x:f>
        <x:v>99</x:v>
      </x:c>
      <x:c r="S375" s="6" t="n">
        <x:f>IF('Debt strategy'!$C$16&gt;0,0,MIN(O375+P375-Q375,MAX(0,'Debt strategy'!$C$5-SUM(E375,K375,Q375,W375,AC375)-SUM(IF(F375&lt;R375,C375+D375-E375,0),IF(L375&lt;R375,I375+J375-K375,0),IF(X375&lt;R375,U375+V375-W375,0),IF(AD375&lt;R375,AA375+AB375-AC375,0)))))</x:f>
        <x:v>0</x:v>
      </x:c>
      <x:c r="T375" s="6" t="n">
        <x:f>ROUND(MAX(0,O375+P375-Q375-S375),2)</x:f>
        <x:v>0</x:v>
      </x:c>
      <x:c r="U375" s="6" t="n">
        <x:f>Z374</x:f>
        <x:v>0</x:v>
      </x:c>
      <x:c r="V375" s="6" t="n">
        <x:f>ROUND(U375*'Debt strategy'!$D$12/12,2)</x:f>
        <x:v>0</x:v>
      </x:c>
      <x:c r="W375" s="6" t="n">
        <x:f>MIN(U375+V375,'Debt strategy'!$E$12)</x:f>
        <x:v>0</x:v>
      </x:c>
      <x:c r="X375" s="27" t="n">
        <x:f>IF(U375+V375-W375&lt;=0,99,1+SUM(IF(AND(C375+D375-E375&gt;0,OR('Debt strategy'!$D$9&gt;'Debt strategy'!$D$12,AND('Debt strategy'!$D$9='Debt strategy'!$D$12,0&lt;3))),1,0),IF(AND(I375+J375-K375&gt;0,OR('Debt strategy'!$D$10&gt;'Debt strategy'!$D$12,AND('Debt strategy'!$D$10='Debt strategy'!$D$12,1&lt;3))),1,0),IF(AND(O375+P375-Q375&gt;0,OR('Debt strategy'!$D$11&gt;'Debt strategy'!$D$12,AND('Debt strategy'!$D$11='Debt strategy'!$D$12,2&lt;3))),1,0),IF(AND(AA375+AB375-AC375&gt;0,OR('Debt strategy'!$D$13&gt;'Debt strategy'!$D$12,AND('Debt strategy'!$D$13='Debt strategy'!$D$12,4&lt;3))),1,0)))</x:f>
        <x:v>99</x:v>
      </x:c>
      <x:c r="Y375" s="6" t="n">
        <x:f>IF('Debt strategy'!$C$16&gt;0,0,MIN(U375+V375-W375,MAX(0,'Debt strategy'!$C$5-SUM(E375,K375,Q375,W375,AC375)-SUM(IF(F375&lt;X375,C375+D375-E375,0),IF(L375&lt;X375,I375+J375-K375,0),IF(R375&lt;X375,O375+P375-Q375,0),IF(AD375&lt;X375,AA375+AB375-AC375,0)))))</x:f>
        <x:v>0</x:v>
      </x:c>
      <x:c r="Z375" s="6" t="n">
        <x:f>ROUND(MAX(0,U375+V375-W375-Y375),2)</x:f>
        <x:v>0</x:v>
      </x:c>
      <x:c r="AA375" s="6" t="n">
        <x:f>AF374</x:f>
        <x:v>0</x:v>
      </x:c>
      <x:c r="AB375" s="6" t="n">
        <x:f>ROUND(AA375*'Debt strategy'!$D$13/12,2)</x:f>
        <x:v>0</x:v>
      </x:c>
      <x:c r="AC375" s="6" t="n">
        <x:f>MIN(AA375+AB375,'Debt strategy'!$E$13)</x:f>
        <x:v>0</x:v>
      </x:c>
      <x:c r="AD375" s="27" t="n">
        <x:f>IF(AA375+AB375-AC375&lt;=0,99,1+SUM(IF(AND(C375+D375-E375&gt;0,OR('Debt strategy'!$D$9&gt;'Debt strategy'!$D$13,AND('Debt strategy'!$D$9='Debt strategy'!$D$13,0&lt;4))),1,0),IF(AND(I375+J375-K375&gt;0,OR('Debt strategy'!$D$10&gt;'Debt strategy'!$D$13,AND('Debt strategy'!$D$10='Debt strategy'!$D$13,1&lt;4))),1,0),IF(AND(O375+P375-Q375&gt;0,OR('Debt strategy'!$D$11&gt;'Debt strategy'!$D$13,AND('Debt strategy'!$D$11='Debt strategy'!$D$13,2&lt;4))),1,0),IF(AND(U375+V375-W375&gt;0,OR('Debt strategy'!$D$12&gt;'Debt strategy'!$D$13,AND('Debt strategy'!$D$12='Debt strategy'!$D$13,3&lt;4))),1,0)))</x:f>
        <x:v>99</x:v>
      </x:c>
      <x:c r="AE375" s="6" t="n">
        <x:f>IF('Debt strategy'!$C$16&gt;0,0,MIN(AA375+AB375-AC375,MAX(0,'Debt strategy'!$C$5-SUM(E375,K375,Q375,W375,AC375)-SUM(IF(F375&lt;AD375,C375+D375-E375,0),IF(L375&lt;AD375,I375+J375-K375,0),IF(R375&lt;AD375,O375+P375-Q375,0),IF(X375&lt;AD375,U375+V375-W375,0)))))</x:f>
        <x:v>0</x:v>
      </x:c>
      <x:c r="AF375" s="6" t="n">
        <x:f>ROUND(MAX(0,AA375+AB375-AC375-AE375),2)</x:f>
        <x:v>0</x:v>
      </x:c>
      <x:c r="AG375" s="6" t="n">
        <x:f>SUM(H375,N375,T375,Z375,AF375)</x:f>
        <x:v>0</x:v>
      </x:c>
      <x:c r="AH375" s="6" t="n">
        <x:f>SUM(D375,J375,P375,V375,AB375)+AH374</x:f>
        <x:v>1220.8400000000001</x:v>
      </x:c>
      <x:c r="AI375" s="2"/>
    </x:row>
    <x:row r="376" ht="23" customHeight="1">
      <x:c r="B376" s="2" t="n">
        <x:f>368</x:f>
        <x:v>368</x:v>
      </x:c>
      <x:c r="C376" s="6" t="n">
        <x:f>H375</x:f>
        <x:v>0</x:v>
      </x:c>
      <x:c r="D376" s="6" t="n">
        <x:f>ROUND(C376*'Debt strategy'!$D$9/12,2)</x:f>
        <x:v>0</x:v>
      </x:c>
      <x:c r="E376" s="6" t="n">
        <x:f>MIN(C376+D376,'Debt strategy'!$E$9)</x:f>
        <x:v>0</x:v>
      </x:c>
      <x:c r="F376" s="27" t="n">
        <x:f>IF(C376+D376-E376&lt;=0,99,1+SUM(IF(AND(I376+J376-K376&gt;0,OR('Debt strategy'!$D$10&gt;'Debt strategy'!$D$9,AND('Debt strategy'!$D$10='Debt strategy'!$D$9,1&lt;0))),1,0),IF(AND(O376+P376-Q376&gt;0,OR('Debt strategy'!$D$11&gt;'Debt strategy'!$D$9,AND('Debt strategy'!$D$11='Debt strategy'!$D$9,2&lt;0))),1,0),IF(AND(U376+V376-W376&gt;0,OR('Debt strategy'!$D$12&gt;'Debt strategy'!$D$9,AND('Debt strategy'!$D$12='Debt strategy'!$D$9,3&lt;0))),1,0),IF(AND(AA376+AB376-AC376&gt;0,OR('Debt strategy'!$D$13&gt;'Debt strategy'!$D$9,AND('Debt strategy'!$D$13='Debt strategy'!$D$9,4&lt;0))),1,0)))</x:f>
        <x:v>99</x:v>
      </x:c>
      <x:c r="G376" s="6" t="n">
        <x:f>IF('Debt strategy'!$C$16&gt;0,0,MIN(C376+D376-E376,MAX(0,'Debt strategy'!$C$5-SUM(E376,K376,Q376,W376,AC376)-SUM(IF(L376&lt;F376,I376+J376-K376,0),IF(R376&lt;F376,O376+P376-Q376,0),IF(X376&lt;F376,U376+V376-W376,0),IF(AD376&lt;F376,AA376+AB376-AC376,0)))))</x:f>
        <x:v>0</x:v>
      </x:c>
      <x:c r="H376" s="6" t="n">
        <x:f>ROUND(MAX(0,C376+D376-E376-G376),2)</x:f>
        <x:v>0</x:v>
      </x:c>
      <x:c r="I376" s="6" t="n">
        <x:f>N375</x:f>
        <x:v>0</x:v>
      </x:c>
      <x:c r="J376" s="6" t="n">
        <x:f>ROUND(I376*'Debt strategy'!$D$10/12,2)</x:f>
        <x:v>0</x:v>
      </x:c>
      <x:c r="K376" s="6" t="n">
        <x:f>MIN(I376+J376,'Debt strategy'!$E$10)</x:f>
        <x:v>0</x:v>
      </x:c>
      <x:c r="L376" s="27" t="n">
        <x:f>IF(I376+J376-K376&lt;=0,99,1+SUM(IF(AND(C376+D376-E376&gt;0,OR('Debt strategy'!$D$9&gt;'Debt strategy'!$D$10,AND('Debt strategy'!$D$9='Debt strategy'!$D$10,0&lt;1))),1,0),IF(AND(O376+P376-Q376&gt;0,OR('Debt strategy'!$D$11&gt;'Debt strategy'!$D$10,AND('Debt strategy'!$D$11='Debt strategy'!$D$10,2&lt;1))),1,0),IF(AND(U376+V376-W376&gt;0,OR('Debt strategy'!$D$12&gt;'Debt strategy'!$D$10,AND('Debt strategy'!$D$12='Debt strategy'!$D$10,3&lt;1))),1,0),IF(AND(AA376+AB376-AC376&gt;0,OR('Debt strategy'!$D$13&gt;'Debt strategy'!$D$10,AND('Debt strategy'!$D$13='Debt strategy'!$D$10,4&lt;1))),1,0)))</x:f>
        <x:v>99</x:v>
      </x:c>
      <x:c r="M376" s="6" t="n">
        <x:f>IF('Debt strategy'!$C$16&gt;0,0,MIN(I376+J376-K376,MAX(0,'Debt strategy'!$C$5-SUM(E376,K376,Q376,W376,AC376)-SUM(IF(F376&lt;L376,C376+D376-E376,0),IF(R376&lt;L376,O376+P376-Q376,0),IF(X376&lt;L376,U376+V376-W376,0),IF(AD376&lt;L376,AA376+AB376-AC376,0)))))</x:f>
        <x:v>0</x:v>
      </x:c>
      <x:c r="N376" s="6" t="n">
        <x:f>ROUND(MAX(0,I376+J376-K376-M376),2)</x:f>
        <x:v>0</x:v>
      </x:c>
      <x:c r="O376" s="6" t="n">
        <x:f>T375</x:f>
        <x:v>0</x:v>
      </x:c>
      <x:c r="P376" s="6" t="n">
        <x:f>ROUND(O376*'Debt strategy'!$D$11/12,2)</x:f>
        <x:v>0</x:v>
      </x:c>
      <x:c r="Q376" s="6" t="n">
        <x:f>MIN(O376+P376,'Debt strategy'!$E$11)</x:f>
        <x:v>0</x:v>
      </x:c>
      <x:c r="R376" s="27" t="n">
        <x:f>IF(O376+P376-Q376&lt;=0,99,1+SUM(IF(AND(C376+D376-E376&gt;0,OR('Debt strategy'!$D$9&gt;'Debt strategy'!$D$11,AND('Debt strategy'!$D$9='Debt strategy'!$D$11,0&lt;2))),1,0),IF(AND(I376+J376-K376&gt;0,OR('Debt strategy'!$D$10&gt;'Debt strategy'!$D$11,AND('Debt strategy'!$D$10='Debt strategy'!$D$11,1&lt;2))),1,0),IF(AND(U376+V376-W376&gt;0,OR('Debt strategy'!$D$12&gt;'Debt strategy'!$D$11,AND('Debt strategy'!$D$12='Debt strategy'!$D$11,3&lt;2))),1,0),IF(AND(AA376+AB376-AC376&gt;0,OR('Debt strategy'!$D$13&gt;'Debt strategy'!$D$11,AND('Debt strategy'!$D$13='Debt strategy'!$D$11,4&lt;2))),1,0)))</x:f>
        <x:v>99</x:v>
      </x:c>
      <x:c r="S376" s="6" t="n">
        <x:f>IF('Debt strategy'!$C$16&gt;0,0,MIN(O376+P376-Q376,MAX(0,'Debt strategy'!$C$5-SUM(E376,K376,Q376,W376,AC376)-SUM(IF(F376&lt;R376,C376+D376-E376,0),IF(L376&lt;R376,I376+J376-K376,0),IF(X376&lt;R376,U376+V376-W376,0),IF(AD376&lt;R376,AA376+AB376-AC376,0)))))</x:f>
        <x:v>0</x:v>
      </x:c>
      <x:c r="T376" s="6" t="n">
        <x:f>ROUND(MAX(0,O376+P376-Q376-S376),2)</x:f>
        <x:v>0</x:v>
      </x:c>
      <x:c r="U376" s="6" t="n">
        <x:f>Z375</x:f>
        <x:v>0</x:v>
      </x:c>
      <x:c r="V376" s="6" t="n">
        <x:f>ROUND(U376*'Debt strategy'!$D$12/12,2)</x:f>
        <x:v>0</x:v>
      </x:c>
      <x:c r="W376" s="6" t="n">
        <x:f>MIN(U376+V376,'Debt strategy'!$E$12)</x:f>
        <x:v>0</x:v>
      </x:c>
      <x:c r="X376" s="27" t="n">
        <x:f>IF(U376+V376-W376&lt;=0,99,1+SUM(IF(AND(C376+D376-E376&gt;0,OR('Debt strategy'!$D$9&gt;'Debt strategy'!$D$12,AND('Debt strategy'!$D$9='Debt strategy'!$D$12,0&lt;3))),1,0),IF(AND(I376+J376-K376&gt;0,OR('Debt strategy'!$D$10&gt;'Debt strategy'!$D$12,AND('Debt strategy'!$D$10='Debt strategy'!$D$12,1&lt;3))),1,0),IF(AND(O376+P376-Q376&gt;0,OR('Debt strategy'!$D$11&gt;'Debt strategy'!$D$12,AND('Debt strategy'!$D$11='Debt strategy'!$D$12,2&lt;3))),1,0),IF(AND(AA376+AB376-AC376&gt;0,OR('Debt strategy'!$D$13&gt;'Debt strategy'!$D$12,AND('Debt strategy'!$D$13='Debt strategy'!$D$12,4&lt;3))),1,0)))</x:f>
        <x:v>99</x:v>
      </x:c>
      <x:c r="Y376" s="6" t="n">
        <x:f>IF('Debt strategy'!$C$16&gt;0,0,MIN(U376+V376-W376,MAX(0,'Debt strategy'!$C$5-SUM(E376,K376,Q376,W376,AC376)-SUM(IF(F376&lt;X376,C376+D376-E376,0),IF(L376&lt;X376,I376+J376-K376,0),IF(R376&lt;X376,O376+P376-Q376,0),IF(AD376&lt;X376,AA376+AB376-AC376,0)))))</x:f>
        <x:v>0</x:v>
      </x:c>
      <x:c r="Z376" s="6" t="n">
        <x:f>ROUND(MAX(0,U376+V376-W376-Y376),2)</x:f>
        <x:v>0</x:v>
      </x:c>
      <x:c r="AA376" s="6" t="n">
        <x:f>AF375</x:f>
        <x:v>0</x:v>
      </x:c>
      <x:c r="AB376" s="6" t="n">
        <x:f>ROUND(AA376*'Debt strategy'!$D$13/12,2)</x:f>
        <x:v>0</x:v>
      </x:c>
      <x:c r="AC376" s="6" t="n">
        <x:f>MIN(AA376+AB376,'Debt strategy'!$E$13)</x:f>
        <x:v>0</x:v>
      </x:c>
      <x:c r="AD376" s="27" t="n">
        <x:f>IF(AA376+AB376-AC376&lt;=0,99,1+SUM(IF(AND(C376+D376-E376&gt;0,OR('Debt strategy'!$D$9&gt;'Debt strategy'!$D$13,AND('Debt strategy'!$D$9='Debt strategy'!$D$13,0&lt;4))),1,0),IF(AND(I376+J376-K376&gt;0,OR('Debt strategy'!$D$10&gt;'Debt strategy'!$D$13,AND('Debt strategy'!$D$10='Debt strategy'!$D$13,1&lt;4))),1,0),IF(AND(O376+P376-Q376&gt;0,OR('Debt strategy'!$D$11&gt;'Debt strategy'!$D$13,AND('Debt strategy'!$D$11='Debt strategy'!$D$13,2&lt;4))),1,0),IF(AND(U376+V376-W376&gt;0,OR('Debt strategy'!$D$12&gt;'Debt strategy'!$D$13,AND('Debt strategy'!$D$12='Debt strategy'!$D$13,3&lt;4))),1,0)))</x:f>
        <x:v>99</x:v>
      </x:c>
      <x:c r="AE376" s="6" t="n">
        <x:f>IF('Debt strategy'!$C$16&gt;0,0,MIN(AA376+AB376-AC376,MAX(0,'Debt strategy'!$C$5-SUM(E376,K376,Q376,W376,AC376)-SUM(IF(F376&lt;AD376,C376+D376-E376,0),IF(L376&lt;AD376,I376+J376-K376,0),IF(R376&lt;AD376,O376+P376-Q376,0),IF(X376&lt;AD376,U376+V376-W376,0)))))</x:f>
        <x:v>0</x:v>
      </x:c>
      <x:c r="AF376" s="6" t="n">
        <x:f>ROUND(MAX(0,AA376+AB376-AC376-AE376),2)</x:f>
        <x:v>0</x:v>
      </x:c>
      <x:c r="AG376" s="6" t="n">
        <x:f>SUM(H376,N376,T376,Z376,AF376)</x:f>
        <x:v>0</x:v>
      </x:c>
      <x:c r="AH376" s="6" t="n">
        <x:f>SUM(D376,J376,P376,V376,AB376)+AH375</x:f>
        <x:v>1220.8400000000001</x:v>
      </x:c>
      <x:c r="AI376" s="2"/>
    </x:row>
    <x:row r="377" ht="23" customHeight="1">
      <x:c r="B377" s="2" t="n">
        <x:f>369</x:f>
        <x:v>369</x:v>
      </x:c>
      <x:c r="C377" s="6" t="n">
        <x:f>H376</x:f>
        <x:v>0</x:v>
      </x:c>
      <x:c r="D377" s="6" t="n">
        <x:f>ROUND(C377*'Debt strategy'!$D$9/12,2)</x:f>
        <x:v>0</x:v>
      </x:c>
      <x:c r="E377" s="6" t="n">
        <x:f>MIN(C377+D377,'Debt strategy'!$E$9)</x:f>
        <x:v>0</x:v>
      </x:c>
      <x:c r="F377" s="27" t="n">
        <x:f>IF(C377+D377-E377&lt;=0,99,1+SUM(IF(AND(I377+J377-K377&gt;0,OR('Debt strategy'!$D$10&gt;'Debt strategy'!$D$9,AND('Debt strategy'!$D$10='Debt strategy'!$D$9,1&lt;0))),1,0),IF(AND(O377+P377-Q377&gt;0,OR('Debt strategy'!$D$11&gt;'Debt strategy'!$D$9,AND('Debt strategy'!$D$11='Debt strategy'!$D$9,2&lt;0))),1,0),IF(AND(U377+V377-W377&gt;0,OR('Debt strategy'!$D$12&gt;'Debt strategy'!$D$9,AND('Debt strategy'!$D$12='Debt strategy'!$D$9,3&lt;0))),1,0),IF(AND(AA377+AB377-AC377&gt;0,OR('Debt strategy'!$D$13&gt;'Debt strategy'!$D$9,AND('Debt strategy'!$D$13='Debt strategy'!$D$9,4&lt;0))),1,0)))</x:f>
        <x:v>99</x:v>
      </x:c>
      <x:c r="G377" s="6" t="n">
        <x:f>IF('Debt strategy'!$C$16&gt;0,0,MIN(C377+D377-E377,MAX(0,'Debt strategy'!$C$5-SUM(E377,K377,Q377,W377,AC377)-SUM(IF(L377&lt;F377,I377+J377-K377,0),IF(R377&lt;F377,O377+P377-Q377,0),IF(X377&lt;F377,U377+V377-W377,0),IF(AD377&lt;F377,AA377+AB377-AC377,0)))))</x:f>
        <x:v>0</x:v>
      </x:c>
      <x:c r="H377" s="6" t="n">
        <x:f>ROUND(MAX(0,C377+D377-E377-G377),2)</x:f>
        <x:v>0</x:v>
      </x:c>
      <x:c r="I377" s="6" t="n">
        <x:f>N376</x:f>
        <x:v>0</x:v>
      </x:c>
      <x:c r="J377" s="6" t="n">
        <x:f>ROUND(I377*'Debt strategy'!$D$10/12,2)</x:f>
        <x:v>0</x:v>
      </x:c>
      <x:c r="K377" s="6" t="n">
        <x:f>MIN(I377+J377,'Debt strategy'!$E$10)</x:f>
        <x:v>0</x:v>
      </x:c>
      <x:c r="L377" s="27" t="n">
        <x:f>IF(I377+J377-K377&lt;=0,99,1+SUM(IF(AND(C377+D377-E377&gt;0,OR('Debt strategy'!$D$9&gt;'Debt strategy'!$D$10,AND('Debt strategy'!$D$9='Debt strategy'!$D$10,0&lt;1))),1,0),IF(AND(O377+P377-Q377&gt;0,OR('Debt strategy'!$D$11&gt;'Debt strategy'!$D$10,AND('Debt strategy'!$D$11='Debt strategy'!$D$10,2&lt;1))),1,0),IF(AND(U377+V377-W377&gt;0,OR('Debt strategy'!$D$12&gt;'Debt strategy'!$D$10,AND('Debt strategy'!$D$12='Debt strategy'!$D$10,3&lt;1))),1,0),IF(AND(AA377+AB377-AC377&gt;0,OR('Debt strategy'!$D$13&gt;'Debt strategy'!$D$10,AND('Debt strategy'!$D$13='Debt strategy'!$D$10,4&lt;1))),1,0)))</x:f>
        <x:v>99</x:v>
      </x:c>
      <x:c r="M377" s="6" t="n">
        <x:f>IF('Debt strategy'!$C$16&gt;0,0,MIN(I377+J377-K377,MAX(0,'Debt strategy'!$C$5-SUM(E377,K377,Q377,W377,AC377)-SUM(IF(F377&lt;L377,C377+D377-E377,0),IF(R377&lt;L377,O377+P377-Q377,0),IF(X377&lt;L377,U377+V377-W377,0),IF(AD377&lt;L377,AA377+AB377-AC377,0)))))</x:f>
        <x:v>0</x:v>
      </x:c>
      <x:c r="N377" s="6" t="n">
        <x:f>ROUND(MAX(0,I377+J377-K377-M377),2)</x:f>
        <x:v>0</x:v>
      </x:c>
      <x:c r="O377" s="6" t="n">
        <x:f>T376</x:f>
        <x:v>0</x:v>
      </x:c>
      <x:c r="P377" s="6" t="n">
        <x:f>ROUND(O377*'Debt strategy'!$D$11/12,2)</x:f>
        <x:v>0</x:v>
      </x:c>
      <x:c r="Q377" s="6" t="n">
        <x:f>MIN(O377+P377,'Debt strategy'!$E$11)</x:f>
        <x:v>0</x:v>
      </x:c>
      <x:c r="R377" s="27" t="n">
        <x:f>IF(O377+P377-Q377&lt;=0,99,1+SUM(IF(AND(C377+D377-E377&gt;0,OR('Debt strategy'!$D$9&gt;'Debt strategy'!$D$11,AND('Debt strategy'!$D$9='Debt strategy'!$D$11,0&lt;2))),1,0),IF(AND(I377+J377-K377&gt;0,OR('Debt strategy'!$D$10&gt;'Debt strategy'!$D$11,AND('Debt strategy'!$D$10='Debt strategy'!$D$11,1&lt;2))),1,0),IF(AND(U377+V377-W377&gt;0,OR('Debt strategy'!$D$12&gt;'Debt strategy'!$D$11,AND('Debt strategy'!$D$12='Debt strategy'!$D$11,3&lt;2))),1,0),IF(AND(AA377+AB377-AC377&gt;0,OR('Debt strategy'!$D$13&gt;'Debt strategy'!$D$11,AND('Debt strategy'!$D$13='Debt strategy'!$D$11,4&lt;2))),1,0)))</x:f>
        <x:v>99</x:v>
      </x:c>
      <x:c r="S377" s="6" t="n">
        <x:f>IF('Debt strategy'!$C$16&gt;0,0,MIN(O377+P377-Q377,MAX(0,'Debt strategy'!$C$5-SUM(E377,K377,Q377,W377,AC377)-SUM(IF(F377&lt;R377,C377+D377-E377,0),IF(L377&lt;R377,I377+J377-K377,0),IF(X377&lt;R377,U377+V377-W377,0),IF(AD377&lt;R377,AA377+AB377-AC377,0)))))</x:f>
        <x:v>0</x:v>
      </x:c>
      <x:c r="T377" s="6" t="n">
        <x:f>ROUND(MAX(0,O377+P377-Q377-S377),2)</x:f>
        <x:v>0</x:v>
      </x:c>
      <x:c r="U377" s="6" t="n">
        <x:f>Z376</x:f>
        <x:v>0</x:v>
      </x:c>
      <x:c r="V377" s="6" t="n">
        <x:f>ROUND(U377*'Debt strategy'!$D$12/12,2)</x:f>
        <x:v>0</x:v>
      </x:c>
      <x:c r="W377" s="6" t="n">
        <x:f>MIN(U377+V377,'Debt strategy'!$E$12)</x:f>
        <x:v>0</x:v>
      </x:c>
      <x:c r="X377" s="27" t="n">
        <x:f>IF(U377+V377-W377&lt;=0,99,1+SUM(IF(AND(C377+D377-E377&gt;0,OR('Debt strategy'!$D$9&gt;'Debt strategy'!$D$12,AND('Debt strategy'!$D$9='Debt strategy'!$D$12,0&lt;3))),1,0),IF(AND(I377+J377-K377&gt;0,OR('Debt strategy'!$D$10&gt;'Debt strategy'!$D$12,AND('Debt strategy'!$D$10='Debt strategy'!$D$12,1&lt;3))),1,0),IF(AND(O377+P377-Q377&gt;0,OR('Debt strategy'!$D$11&gt;'Debt strategy'!$D$12,AND('Debt strategy'!$D$11='Debt strategy'!$D$12,2&lt;3))),1,0),IF(AND(AA377+AB377-AC377&gt;0,OR('Debt strategy'!$D$13&gt;'Debt strategy'!$D$12,AND('Debt strategy'!$D$13='Debt strategy'!$D$12,4&lt;3))),1,0)))</x:f>
        <x:v>99</x:v>
      </x:c>
      <x:c r="Y377" s="6" t="n">
        <x:f>IF('Debt strategy'!$C$16&gt;0,0,MIN(U377+V377-W377,MAX(0,'Debt strategy'!$C$5-SUM(E377,K377,Q377,W377,AC377)-SUM(IF(F377&lt;X377,C377+D377-E377,0),IF(L377&lt;X377,I377+J377-K377,0),IF(R377&lt;X377,O377+P377-Q377,0),IF(AD377&lt;X377,AA377+AB377-AC377,0)))))</x:f>
        <x:v>0</x:v>
      </x:c>
      <x:c r="Z377" s="6" t="n">
        <x:f>ROUND(MAX(0,U377+V377-W377-Y377),2)</x:f>
        <x:v>0</x:v>
      </x:c>
      <x:c r="AA377" s="6" t="n">
        <x:f>AF376</x:f>
        <x:v>0</x:v>
      </x:c>
      <x:c r="AB377" s="6" t="n">
        <x:f>ROUND(AA377*'Debt strategy'!$D$13/12,2)</x:f>
        <x:v>0</x:v>
      </x:c>
      <x:c r="AC377" s="6" t="n">
        <x:f>MIN(AA377+AB377,'Debt strategy'!$E$13)</x:f>
        <x:v>0</x:v>
      </x:c>
      <x:c r="AD377" s="27" t="n">
        <x:f>IF(AA377+AB377-AC377&lt;=0,99,1+SUM(IF(AND(C377+D377-E377&gt;0,OR('Debt strategy'!$D$9&gt;'Debt strategy'!$D$13,AND('Debt strategy'!$D$9='Debt strategy'!$D$13,0&lt;4))),1,0),IF(AND(I377+J377-K377&gt;0,OR('Debt strategy'!$D$10&gt;'Debt strategy'!$D$13,AND('Debt strategy'!$D$10='Debt strategy'!$D$13,1&lt;4))),1,0),IF(AND(O377+P377-Q377&gt;0,OR('Debt strategy'!$D$11&gt;'Debt strategy'!$D$13,AND('Debt strategy'!$D$11='Debt strategy'!$D$13,2&lt;4))),1,0),IF(AND(U377+V377-W377&gt;0,OR('Debt strategy'!$D$12&gt;'Debt strategy'!$D$13,AND('Debt strategy'!$D$12='Debt strategy'!$D$13,3&lt;4))),1,0)))</x:f>
        <x:v>99</x:v>
      </x:c>
      <x:c r="AE377" s="6" t="n">
        <x:f>IF('Debt strategy'!$C$16&gt;0,0,MIN(AA377+AB377-AC377,MAX(0,'Debt strategy'!$C$5-SUM(E377,K377,Q377,W377,AC377)-SUM(IF(F377&lt;AD377,C377+D377-E377,0),IF(L377&lt;AD377,I377+J377-K377,0),IF(R377&lt;AD377,O377+P377-Q377,0),IF(X377&lt;AD377,U377+V377-W377,0)))))</x:f>
        <x:v>0</x:v>
      </x:c>
      <x:c r="AF377" s="6" t="n">
        <x:f>ROUND(MAX(0,AA377+AB377-AC377-AE377),2)</x:f>
        <x:v>0</x:v>
      </x:c>
      <x:c r="AG377" s="6" t="n">
        <x:f>SUM(H377,N377,T377,Z377,AF377)</x:f>
        <x:v>0</x:v>
      </x:c>
      <x:c r="AH377" s="6" t="n">
        <x:f>SUM(D377,J377,P377,V377,AB377)+AH376</x:f>
        <x:v>1220.8400000000001</x:v>
      </x:c>
      <x:c r="AI377" s="2"/>
    </x:row>
    <x:row r="378" ht="23" customHeight="1">
      <x:c r="B378" s="2" t="n">
        <x:f>370</x:f>
        <x:v>370</x:v>
      </x:c>
      <x:c r="C378" s="6" t="n">
        <x:f>H377</x:f>
        <x:v>0</x:v>
      </x:c>
      <x:c r="D378" s="6" t="n">
        <x:f>ROUND(C378*'Debt strategy'!$D$9/12,2)</x:f>
        <x:v>0</x:v>
      </x:c>
      <x:c r="E378" s="6" t="n">
        <x:f>MIN(C378+D378,'Debt strategy'!$E$9)</x:f>
        <x:v>0</x:v>
      </x:c>
      <x:c r="F378" s="27" t="n">
        <x:f>IF(C378+D378-E378&lt;=0,99,1+SUM(IF(AND(I378+J378-K378&gt;0,OR('Debt strategy'!$D$10&gt;'Debt strategy'!$D$9,AND('Debt strategy'!$D$10='Debt strategy'!$D$9,1&lt;0))),1,0),IF(AND(O378+P378-Q378&gt;0,OR('Debt strategy'!$D$11&gt;'Debt strategy'!$D$9,AND('Debt strategy'!$D$11='Debt strategy'!$D$9,2&lt;0))),1,0),IF(AND(U378+V378-W378&gt;0,OR('Debt strategy'!$D$12&gt;'Debt strategy'!$D$9,AND('Debt strategy'!$D$12='Debt strategy'!$D$9,3&lt;0))),1,0),IF(AND(AA378+AB378-AC378&gt;0,OR('Debt strategy'!$D$13&gt;'Debt strategy'!$D$9,AND('Debt strategy'!$D$13='Debt strategy'!$D$9,4&lt;0))),1,0)))</x:f>
        <x:v>99</x:v>
      </x:c>
      <x:c r="G378" s="6" t="n">
        <x:f>IF('Debt strategy'!$C$16&gt;0,0,MIN(C378+D378-E378,MAX(0,'Debt strategy'!$C$5-SUM(E378,K378,Q378,W378,AC378)-SUM(IF(L378&lt;F378,I378+J378-K378,0),IF(R378&lt;F378,O378+P378-Q378,0),IF(X378&lt;F378,U378+V378-W378,0),IF(AD378&lt;F378,AA378+AB378-AC378,0)))))</x:f>
        <x:v>0</x:v>
      </x:c>
      <x:c r="H378" s="6" t="n">
        <x:f>ROUND(MAX(0,C378+D378-E378-G378),2)</x:f>
        <x:v>0</x:v>
      </x:c>
      <x:c r="I378" s="6" t="n">
        <x:f>N377</x:f>
        <x:v>0</x:v>
      </x:c>
      <x:c r="J378" s="6" t="n">
        <x:f>ROUND(I378*'Debt strategy'!$D$10/12,2)</x:f>
        <x:v>0</x:v>
      </x:c>
      <x:c r="K378" s="6" t="n">
        <x:f>MIN(I378+J378,'Debt strategy'!$E$10)</x:f>
        <x:v>0</x:v>
      </x:c>
      <x:c r="L378" s="27" t="n">
        <x:f>IF(I378+J378-K378&lt;=0,99,1+SUM(IF(AND(C378+D378-E378&gt;0,OR('Debt strategy'!$D$9&gt;'Debt strategy'!$D$10,AND('Debt strategy'!$D$9='Debt strategy'!$D$10,0&lt;1))),1,0),IF(AND(O378+P378-Q378&gt;0,OR('Debt strategy'!$D$11&gt;'Debt strategy'!$D$10,AND('Debt strategy'!$D$11='Debt strategy'!$D$10,2&lt;1))),1,0),IF(AND(U378+V378-W378&gt;0,OR('Debt strategy'!$D$12&gt;'Debt strategy'!$D$10,AND('Debt strategy'!$D$12='Debt strategy'!$D$10,3&lt;1))),1,0),IF(AND(AA378+AB378-AC378&gt;0,OR('Debt strategy'!$D$13&gt;'Debt strategy'!$D$10,AND('Debt strategy'!$D$13='Debt strategy'!$D$10,4&lt;1))),1,0)))</x:f>
        <x:v>99</x:v>
      </x:c>
      <x:c r="M378" s="6" t="n">
        <x:f>IF('Debt strategy'!$C$16&gt;0,0,MIN(I378+J378-K378,MAX(0,'Debt strategy'!$C$5-SUM(E378,K378,Q378,W378,AC378)-SUM(IF(F378&lt;L378,C378+D378-E378,0),IF(R378&lt;L378,O378+P378-Q378,0),IF(X378&lt;L378,U378+V378-W378,0),IF(AD378&lt;L378,AA378+AB378-AC378,0)))))</x:f>
        <x:v>0</x:v>
      </x:c>
      <x:c r="N378" s="6" t="n">
        <x:f>ROUND(MAX(0,I378+J378-K378-M378),2)</x:f>
        <x:v>0</x:v>
      </x:c>
      <x:c r="O378" s="6" t="n">
        <x:f>T377</x:f>
        <x:v>0</x:v>
      </x:c>
      <x:c r="P378" s="6" t="n">
        <x:f>ROUND(O378*'Debt strategy'!$D$11/12,2)</x:f>
        <x:v>0</x:v>
      </x:c>
      <x:c r="Q378" s="6" t="n">
        <x:f>MIN(O378+P378,'Debt strategy'!$E$11)</x:f>
        <x:v>0</x:v>
      </x:c>
      <x:c r="R378" s="27" t="n">
        <x:f>IF(O378+P378-Q378&lt;=0,99,1+SUM(IF(AND(C378+D378-E378&gt;0,OR('Debt strategy'!$D$9&gt;'Debt strategy'!$D$11,AND('Debt strategy'!$D$9='Debt strategy'!$D$11,0&lt;2))),1,0),IF(AND(I378+J378-K378&gt;0,OR('Debt strategy'!$D$10&gt;'Debt strategy'!$D$11,AND('Debt strategy'!$D$10='Debt strategy'!$D$11,1&lt;2))),1,0),IF(AND(U378+V378-W378&gt;0,OR('Debt strategy'!$D$12&gt;'Debt strategy'!$D$11,AND('Debt strategy'!$D$12='Debt strategy'!$D$11,3&lt;2))),1,0),IF(AND(AA378+AB378-AC378&gt;0,OR('Debt strategy'!$D$13&gt;'Debt strategy'!$D$11,AND('Debt strategy'!$D$13='Debt strategy'!$D$11,4&lt;2))),1,0)))</x:f>
        <x:v>99</x:v>
      </x:c>
      <x:c r="S378" s="6" t="n">
        <x:f>IF('Debt strategy'!$C$16&gt;0,0,MIN(O378+P378-Q378,MAX(0,'Debt strategy'!$C$5-SUM(E378,K378,Q378,W378,AC378)-SUM(IF(F378&lt;R378,C378+D378-E378,0),IF(L378&lt;R378,I378+J378-K378,0),IF(X378&lt;R378,U378+V378-W378,0),IF(AD378&lt;R378,AA378+AB378-AC378,0)))))</x:f>
        <x:v>0</x:v>
      </x:c>
      <x:c r="T378" s="6" t="n">
        <x:f>ROUND(MAX(0,O378+P378-Q378-S378),2)</x:f>
        <x:v>0</x:v>
      </x:c>
      <x:c r="U378" s="6" t="n">
        <x:f>Z377</x:f>
        <x:v>0</x:v>
      </x:c>
      <x:c r="V378" s="6" t="n">
        <x:f>ROUND(U378*'Debt strategy'!$D$12/12,2)</x:f>
        <x:v>0</x:v>
      </x:c>
      <x:c r="W378" s="6" t="n">
        <x:f>MIN(U378+V378,'Debt strategy'!$E$12)</x:f>
        <x:v>0</x:v>
      </x:c>
      <x:c r="X378" s="27" t="n">
        <x:f>IF(U378+V378-W378&lt;=0,99,1+SUM(IF(AND(C378+D378-E378&gt;0,OR('Debt strategy'!$D$9&gt;'Debt strategy'!$D$12,AND('Debt strategy'!$D$9='Debt strategy'!$D$12,0&lt;3))),1,0),IF(AND(I378+J378-K378&gt;0,OR('Debt strategy'!$D$10&gt;'Debt strategy'!$D$12,AND('Debt strategy'!$D$10='Debt strategy'!$D$12,1&lt;3))),1,0),IF(AND(O378+P378-Q378&gt;0,OR('Debt strategy'!$D$11&gt;'Debt strategy'!$D$12,AND('Debt strategy'!$D$11='Debt strategy'!$D$12,2&lt;3))),1,0),IF(AND(AA378+AB378-AC378&gt;0,OR('Debt strategy'!$D$13&gt;'Debt strategy'!$D$12,AND('Debt strategy'!$D$13='Debt strategy'!$D$12,4&lt;3))),1,0)))</x:f>
        <x:v>99</x:v>
      </x:c>
      <x:c r="Y378" s="6" t="n">
        <x:f>IF('Debt strategy'!$C$16&gt;0,0,MIN(U378+V378-W378,MAX(0,'Debt strategy'!$C$5-SUM(E378,K378,Q378,W378,AC378)-SUM(IF(F378&lt;X378,C378+D378-E378,0),IF(L378&lt;X378,I378+J378-K378,0),IF(R378&lt;X378,O378+P378-Q378,0),IF(AD378&lt;X378,AA378+AB378-AC378,0)))))</x:f>
        <x:v>0</x:v>
      </x:c>
      <x:c r="Z378" s="6" t="n">
        <x:f>ROUND(MAX(0,U378+V378-W378-Y378),2)</x:f>
        <x:v>0</x:v>
      </x:c>
      <x:c r="AA378" s="6" t="n">
        <x:f>AF377</x:f>
        <x:v>0</x:v>
      </x:c>
      <x:c r="AB378" s="6" t="n">
        <x:f>ROUND(AA378*'Debt strategy'!$D$13/12,2)</x:f>
        <x:v>0</x:v>
      </x:c>
      <x:c r="AC378" s="6" t="n">
        <x:f>MIN(AA378+AB378,'Debt strategy'!$E$13)</x:f>
        <x:v>0</x:v>
      </x:c>
      <x:c r="AD378" s="27" t="n">
        <x:f>IF(AA378+AB378-AC378&lt;=0,99,1+SUM(IF(AND(C378+D378-E378&gt;0,OR('Debt strategy'!$D$9&gt;'Debt strategy'!$D$13,AND('Debt strategy'!$D$9='Debt strategy'!$D$13,0&lt;4))),1,0),IF(AND(I378+J378-K378&gt;0,OR('Debt strategy'!$D$10&gt;'Debt strategy'!$D$13,AND('Debt strategy'!$D$10='Debt strategy'!$D$13,1&lt;4))),1,0),IF(AND(O378+P378-Q378&gt;0,OR('Debt strategy'!$D$11&gt;'Debt strategy'!$D$13,AND('Debt strategy'!$D$11='Debt strategy'!$D$13,2&lt;4))),1,0),IF(AND(U378+V378-W378&gt;0,OR('Debt strategy'!$D$12&gt;'Debt strategy'!$D$13,AND('Debt strategy'!$D$12='Debt strategy'!$D$13,3&lt;4))),1,0)))</x:f>
        <x:v>99</x:v>
      </x:c>
      <x:c r="AE378" s="6" t="n">
        <x:f>IF('Debt strategy'!$C$16&gt;0,0,MIN(AA378+AB378-AC378,MAX(0,'Debt strategy'!$C$5-SUM(E378,K378,Q378,W378,AC378)-SUM(IF(F378&lt;AD378,C378+D378-E378,0),IF(L378&lt;AD378,I378+J378-K378,0),IF(R378&lt;AD378,O378+P378-Q378,0),IF(X378&lt;AD378,U378+V378-W378,0)))))</x:f>
        <x:v>0</x:v>
      </x:c>
      <x:c r="AF378" s="6" t="n">
        <x:f>ROUND(MAX(0,AA378+AB378-AC378-AE378),2)</x:f>
        <x:v>0</x:v>
      </x:c>
      <x:c r="AG378" s="6" t="n">
        <x:f>SUM(H378,N378,T378,Z378,AF378)</x:f>
        <x:v>0</x:v>
      </x:c>
      <x:c r="AH378" s="6" t="n">
        <x:f>SUM(D378,J378,P378,V378,AB378)+AH377</x:f>
        <x:v>1220.8400000000001</x:v>
      </x:c>
      <x:c r="AI378" s="2"/>
    </x:row>
    <x:row r="379" ht="23" customHeight="1">
      <x:c r="B379" s="2" t="n">
        <x:f>371</x:f>
        <x:v>371</x:v>
      </x:c>
      <x:c r="C379" s="6" t="n">
        <x:f>H378</x:f>
        <x:v>0</x:v>
      </x:c>
      <x:c r="D379" s="6" t="n">
        <x:f>ROUND(C379*'Debt strategy'!$D$9/12,2)</x:f>
        <x:v>0</x:v>
      </x:c>
      <x:c r="E379" s="6" t="n">
        <x:f>MIN(C379+D379,'Debt strategy'!$E$9)</x:f>
        <x:v>0</x:v>
      </x:c>
      <x:c r="F379" s="27" t="n">
        <x:f>IF(C379+D379-E379&lt;=0,99,1+SUM(IF(AND(I379+J379-K379&gt;0,OR('Debt strategy'!$D$10&gt;'Debt strategy'!$D$9,AND('Debt strategy'!$D$10='Debt strategy'!$D$9,1&lt;0))),1,0),IF(AND(O379+P379-Q379&gt;0,OR('Debt strategy'!$D$11&gt;'Debt strategy'!$D$9,AND('Debt strategy'!$D$11='Debt strategy'!$D$9,2&lt;0))),1,0),IF(AND(U379+V379-W379&gt;0,OR('Debt strategy'!$D$12&gt;'Debt strategy'!$D$9,AND('Debt strategy'!$D$12='Debt strategy'!$D$9,3&lt;0))),1,0),IF(AND(AA379+AB379-AC379&gt;0,OR('Debt strategy'!$D$13&gt;'Debt strategy'!$D$9,AND('Debt strategy'!$D$13='Debt strategy'!$D$9,4&lt;0))),1,0)))</x:f>
        <x:v>99</x:v>
      </x:c>
      <x:c r="G379" s="6" t="n">
        <x:f>IF('Debt strategy'!$C$16&gt;0,0,MIN(C379+D379-E379,MAX(0,'Debt strategy'!$C$5-SUM(E379,K379,Q379,W379,AC379)-SUM(IF(L379&lt;F379,I379+J379-K379,0),IF(R379&lt;F379,O379+P379-Q379,0),IF(X379&lt;F379,U379+V379-W379,0),IF(AD379&lt;F379,AA379+AB379-AC379,0)))))</x:f>
        <x:v>0</x:v>
      </x:c>
      <x:c r="H379" s="6" t="n">
        <x:f>ROUND(MAX(0,C379+D379-E379-G379),2)</x:f>
        <x:v>0</x:v>
      </x:c>
      <x:c r="I379" s="6" t="n">
        <x:f>N378</x:f>
        <x:v>0</x:v>
      </x:c>
      <x:c r="J379" s="6" t="n">
        <x:f>ROUND(I379*'Debt strategy'!$D$10/12,2)</x:f>
        <x:v>0</x:v>
      </x:c>
      <x:c r="K379" s="6" t="n">
        <x:f>MIN(I379+J379,'Debt strategy'!$E$10)</x:f>
        <x:v>0</x:v>
      </x:c>
      <x:c r="L379" s="27" t="n">
        <x:f>IF(I379+J379-K379&lt;=0,99,1+SUM(IF(AND(C379+D379-E379&gt;0,OR('Debt strategy'!$D$9&gt;'Debt strategy'!$D$10,AND('Debt strategy'!$D$9='Debt strategy'!$D$10,0&lt;1))),1,0),IF(AND(O379+P379-Q379&gt;0,OR('Debt strategy'!$D$11&gt;'Debt strategy'!$D$10,AND('Debt strategy'!$D$11='Debt strategy'!$D$10,2&lt;1))),1,0),IF(AND(U379+V379-W379&gt;0,OR('Debt strategy'!$D$12&gt;'Debt strategy'!$D$10,AND('Debt strategy'!$D$12='Debt strategy'!$D$10,3&lt;1))),1,0),IF(AND(AA379+AB379-AC379&gt;0,OR('Debt strategy'!$D$13&gt;'Debt strategy'!$D$10,AND('Debt strategy'!$D$13='Debt strategy'!$D$10,4&lt;1))),1,0)))</x:f>
        <x:v>99</x:v>
      </x:c>
      <x:c r="M379" s="6" t="n">
        <x:f>IF('Debt strategy'!$C$16&gt;0,0,MIN(I379+J379-K379,MAX(0,'Debt strategy'!$C$5-SUM(E379,K379,Q379,W379,AC379)-SUM(IF(F379&lt;L379,C379+D379-E379,0),IF(R379&lt;L379,O379+P379-Q379,0),IF(X379&lt;L379,U379+V379-W379,0),IF(AD379&lt;L379,AA379+AB379-AC379,0)))))</x:f>
        <x:v>0</x:v>
      </x:c>
      <x:c r="N379" s="6" t="n">
        <x:f>ROUND(MAX(0,I379+J379-K379-M379),2)</x:f>
        <x:v>0</x:v>
      </x:c>
      <x:c r="O379" s="6" t="n">
        <x:f>T378</x:f>
        <x:v>0</x:v>
      </x:c>
      <x:c r="P379" s="6" t="n">
        <x:f>ROUND(O379*'Debt strategy'!$D$11/12,2)</x:f>
        <x:v>0</x:v>
      </x:c>
      <x:c r="Q379" s="6" t="n">
        <x:f>MIN(O379+P379,'Debt strategy'!$E$11)</x:f>
        <x:v>0</x:v>
      </x:c>
      <x:c r="R379" s="27" t="n">
        <x:f>IF(O379+P379-Q379&lt;=0,99,1+SUM(IF(AND(C379+D379-E379&gt;0,OR('Debt strategy'!$D$9&gt;'Debt strategy'!$D$11,AND('Debt strategy'!$D$9='Debt strategy'!$D$11,0&lt;2))),1,0),IF(AND(I379+J379-K379&gt;0,OR('Debt strategy'!$D$10&gt;'Debt strategy'!$D$11,AND('Debt strategy'!$D$10='Debt strategy'!$D$11,1&lt;2))),1,0),IF(AND(U379+V379-W379&gt;0,OR('Debt strategy'!$D$12&gt;'Debt strategy'!$D$11,AND('Debt strategy'!$D$12='Debt strategy'!$D$11,3&lt;2))),1,0),IF(AND(AA379+AB379-AC379&gt;0,OR('Debt strategy'!$D$13&gt;'Debt strategy'!$D$11,AND('Debt strategy'!$D$13='Debt strategy'!$D$11,4&lt;2))),1,0)))</x:f>
        <x:v>99</x:v>
      </x:c>
      <x:c r="S379" s="6" t="n">
        <x:f>IF('Debt strategy'!$C$16&gt;0,0,MIN(O379+P379-Q379,MAX(0,'Debt strategy'!$C$5-SUM(E379,K379,Q379,W379,AC379)-SUM(IF(F379&lt;R379,C379+D379-E379,0),IF(L379&lt;R379,I379+J379-K379,0),IF(X379&lt;R379,U379+V379-W379,0),IF(AD379&lt;R379,AA379+AB379-AC379,0)))))</x:f>
        <x:v>0</x:v>
      </x:c>
      <x:c r="T379" s="6" t="n">
        <x:f>ROUND(MAX(0,O379+P379-Q379-S379),2)</x:f>
        <x:v>0</x:v>
      </x:c>
      <x:c r="U379" s="6" t="n">
        <x:f>Z378</x:f>
        <x:v>0</x:v>
      </x:c>
      <x:c r="V379" s="6" t="n">
        <x:f>ROUND(U379*'Debt strategy'!$D$12/12,2)</x:f>
        <x:v>0</x:v>
      </x:c>
      <x:c r="W379" s="6" t="n">
        <x:f>MIN(U379+V379,'Debt strategy'!$E$12)</x:f>
        <x:v>0</x:v>
      </x:c>
      <x:c r="X379" s="27" t="n">
        <x:f>IF(U379+V379-W379&lt;=0,99,1+SUM(IF(AND(C379+D379-E379&gt;0,OR('Debt strategy'!$D$9&gt;'Debt strategy'!$D$12,AND('Debt strategy'!$D$9='Debt strategy'!$D$12,0&lt;3))),1,0),IF(AND(I379+J379-K379&gt;0,OR('Debt strategy'!$D$10&gt;'Debt strategy'!$D$12,AND('Debt strategy'!$D$10='Debt strategy'!$D$12,1&lt;3))),1,0),IF(AND(O379+P379-Q379&gt;0,OR('Debt strategy'!$D$11&gt;'Debt strategy'!$D$12,AND('Debt strategy'!$D$11='Debt strategy'!$D$12,2&lt;3))),1,0),IF(AND(AA379+AB379-AC379&gt;0,OR('Debt strategy'!$D$13&gt;'Debt strategy'!$D$12,AND('Debt strategy'!$D$13='Debt strategy'!$D$12,4&lt;3))),1,0)))</x:f>
        <x:v>99</x:v>
      </x:c>
      <x:c r="Y379" s="6" t="n">
        <x:f>IF('Debt strategy'!$C$16&gt;0,0,MIN(U379+V379-W379,MAX(0,'Debt strategy'!$C$5-SUM(E379,K379,Q379,W379,AC379)-SUM(IF(F379&lt;X379,C379+D379-E379,0),IF(L379&lt;X379,I379+J379-K379,0),IF(R379&lt;X379,O379+P379-Q379,0),IF(AD379&lt;X379,AA379+AB379-AC379,0)))))</x:f>
        <x:v>0</x:v>
      </x:c>
      <x:c r="Z379" s="6" t="n">
        <x:f>ROUND(MAX(0,U379+V379-W379-Y379),2)</x:f>
        <x:v>0</x:v>
      </x:c>
      <x:c r="AA379" s="6" t="n">
        <x:f>AF378</x:f>
        <x:v>0</x:v>
      </x:c>
      <x:c r="AB379" s="6" t="n">
        <x:f>ROUND(AA379*'Debt strategy'!$D$13/12,2)</x:f>
        <x:v>0</x:v>
      </x:c>
      <x:c r="AC379" s="6" t="n">
        <x:f>MIN(AA379+AB379,'Debt strategy'!$E$13)</x:f>
        <x:v>0</x:v>
      </x:c>
      <x:c r="AD379" s="27" t="n">
        <x:f>IF(AA379+AB379-AC379&lt;=0,99,1+SUM(IF(AND(C379+D379-E379&gt;0,OR('Debt strategy'!$D$9&gt;'Debt strategy'!$D$13,AND('Debt strategy'!$D$9='Debt strategy'!$D$13,0&lt;4))),1,0),IF(AND(I379+J379-K379&gt;0,OR('Debt strategy'!$D$10&gt;'Debt strategy'!$D$13,AND('Debt strategy'!$D$10='Debt strategy'!$D$13,1&lt;4))),1,0),IF(AND(O379+P379-Q379&gt;0,OR('Debt strategy'!$D$11&gt;'Debt strategy'!$D$13,AND('Debt strategy'!$D$11='Debt strategy'!$D$13,2&lt;4))),1,0),IF(AND(U379+V379-W379&gt;0,OR('Debt strategy'!$D$12&gt;'Debt strategy'!$D$13,AND('Debt strategy'!$D$12='Debt strategy'!$D$13,3&lt;4))),1,0)))</x:f>
        <x:v>99</x:v>
      </x:c>
      <x:c r="AE379" s="6" t="n">
        <x:f>IF('Debt strategy'!$C$16&gt;0,0,MIN(AA379+AB379-AC379,MAX(0,'Debt strategy'!$C$5-SUM(E379,K379,Q379,W379,AC379)-SUM(IF(F379&lt;AD379,C379+D379-E379,0),IF(L379&lt;AD379,I379+J379-K379,0),IF(R379&lt;AD379,O379+P379-Q379,0),IF(X379&lt;AD379,U379+V379-W379,0)))))</x:f>
        <x:v>0</x:v>
      </x:c>
      <x:c r="AF379" s="6" t="n">
        <x:f>ROUND(MAX(0,AA379+AB379-AC379-AE379),2)</x:f>
        <x:v>0</x:v>
      </x:c>
      <x:c r="AG379" s="6" t="n">
        <x:f>SUM(H379,N379,T379,Z379,AF379)</x:f>
        <x:v>0</x:v>
      </x:c>
      <x:c r="AH379" s="6" t="n">
        <x:f>SUM(D379,J379,P379,V379,AB379)+AH378</x:f>
        <x:v>1220.8400000000001</x:v>
      </x:c>
      <x:c r="AI379" s="2"/>
    </x:row>
    <x:row r="380" ht="23" customHeight="1">
      <x:c r="B380" s="2" t="n">
        <x:f>372</x:f>
        <x:v>372</x:v>
      </x:c>
      <x:c r="C380" s="6" t="n">
        <x:f>H379</x:f>
        <x:v>0</x:v>
      </x:c>
      <x:c r="D380" s="6" t="n">
        <x:f>ROUND(C380*'Debt strategy'!$D$9/12,2)</x:f>
        <x:v>0</x:v>
      </x:c>
      <x:c r="E380" s="6" t="n">
        <x:f>MIN(C380+D380,'Debt strategy'!$E$9)</x:f>
        <x:v>0</x:v>
      </x:c>
      <x:c r="F380" s="27" t="n">
        <x:f>IF(C380+D380-E380&lt;=0,99,1+SUM(IF(AND(I380+J380-K380&gt;0,OR('Debt strategy'!$D$10&gt;'Debt strategy'!$D$9,AND('Debt strategy'!$D$10='Debt strategy'!$D$9,1&lt;0))),1,0),IF(AND(O380+P380-Q380&gt;0,OR('Debt strategy'!$D$11&gt;'Debt strategy'!$D$9,AND('Debt strategy'!$D$11='Debt strategy'!$D$9,2&lt;0))),1,0),IF(AND(U380+V380-W380&gt;0,OR('Debt strategy'!$D$12&gt;'Debt strategy'!$D$9,AND('Debt strategy'!$D$12='Debt strategy'!$D$9,3&lt;0))),1,0),IF(AND(AA380+AB380-AC380&gt;0,OR('Debt strategy'!$D$13&gt;'Debt strategy'!$D$9,AND('Debt strategy'!$D$13='Debt strategy'!$D$9,4&lt;0))),1,0)))</x:f>
        <x:v>99</x:v>
      </x:c>
      <x:c r="G380" s="6" t="n">
        <x:f>IF('Debt strategy'!$C$16&gt;0,0,MIN(C380+D380-E380,MAX(0,'Debt strategy'!$C$5-SUM(E380,K380,Q380,W380,AC380)-SUM(IF(L380&lt;F380,I380+J380-K380,0),IF(R380&lt;F380,O380+P380-Q380,0),IF(X380&lt;F380,U380+V380-W380,0),IF(AD380&lt;F380,AA380+AB380-AC380,0)))))</x:f>
        <x:v>0</x:v>
      </x:c>
      <x:c r="H380" s="6" t="n">
        <x:f>ROUND(MAX(0,C380+D380-E380-G380),2)</x:f>
        <x:v>0</x:v>
      </x:c>
      <x:c r="I380" s="6" t="n">
        <x:f>N379</x:f>
        <x:v>0</x:v>
      </x:c>
      <x:c r="J380" s="6" t="n">
        <x:f>ROUND(I380*'Debt strategy'!$D$10/12,2)</x:f>
        <x:v>0</x:v>
      </x:c>
      <x:c r="K380" s="6" t="n">
        <x:f>MIN(I380+J380,'Debt strategy'!$E$10)</x:f>
        <x:v>0</x:v>
      </x:c>
      <x:c r="L380" s="27" t="n">
        <x:f>IF(I380+J380-K380&lt;=0,99,1+SUM(IF(AND(C380+D380-E380&gt;0,OR('Debt strategy'!$D$9&gt;'Debt strategy'!$D$10,AND('Debt strategy'!$D$9='Debt strategy'!$D$10,0&lt;1))),1,0),IF(AND(O380+P380-Q380&gt;0,OR('Debt strategy'!$D$11&gt;'Debt strategy'!$D$10,AND('Debt strategy'!$D$11='Debt strategy'!$D$10,2&lt;1))),1,0),IF(AND(U380+V380-W380&gt;0,OR('Debt strategy'!$D$12&gt;'Debt strategy'!$D$10,AND('Debt strategy'!$D$12='Debt strategy'!$D$10,3&lt;1))),1,0),IF(AND(AA380+AB380-AC380&gt;0,OR('Debt strategy'!$D$13&gt;'Debt strategy'!$D$10,AND('Debt strategy'!$D$13='Debt strategy'!$D$10,4&lt;1))),1,0)))</x:f>
        <x:v>99</x:v>
      </x:c>
      <x:c r="M380" s="6" t="n">
        <x:f>IF('Debt strategy'!$C$16&gt;0,0,MIN(I380+J380-K380,MAX(0,'Debt strategy'!$C$5-SUM(E380,K380,Q380,W380,AC380)-SUM(IF(F380&lt;L380,C380+D380-E380,0),IF(R380&lt;L380,O380+P380-Q380,0),IF(X380&lt;L380,U380+V380-W380,0),IF(AD380&lt;L380,AA380+AB380-AC380,0)))))</x:f>
        <x:v>0</x:v>
      </x:c>
      <x:c r="N380" s="6" t="n">
        <x:f>ROUND(MAX(0,I380+J380-K380-M380),2)</x:f>
        <x:v>0</x:v>
      </x:c>
      <x:c r="O380" s="6" t="n">
        <x:f>T379</x:f>
        <x:v>0</x:v>
      </x:c>
      <x:c r="P380" s="6" t="n">
        <x:f>ROUND(O380*'Debt strategy'!$D$11/12,2)</x:f>
        <x:v>0</x:v>
      </x:c>
      <x:c r="Q380" s="6" t="n">
        <x:f>MIN(O380+P380,'Debt strategy'!$E$11)</x:f>
        <x:v>0</x:v>
      </x:c>
      <x:c r="R380" s="27" t="n">
        <x:f>IF(O380+P380-Q380&lt;=0,99,1+SUM(IF(AND(C380+D380-E380&gt;0,OR('Debt strategy'!$D$9&gt;'Debt strategy'!$D$11,AND('Debt strategy'!$D$9='Debt strategy'!$D$11,0&lt;2))),1,0),IF(AND(I380+J380-K380&gt;0,OR('Debt strategy'!$D$10&gt;'Debt strategy'!$D$11,AND('Debt strategy'!$D$10='Debt strategy'!$D$11,1&lt;2))),1,0),IF(AND(U380+V380-W380&gt;0,OR('Debt strategy'!$D$12&gt;'Debt strategy'!$D$11,AND('Debt strategy'!$D$12='Debt strategy'!$D$11,3&lt;2))),1,0),IF(AND(AA380+AB380-AC380&gt;0,OR('Debt strategy'!$D$13&gt;'Debt strategy'!$D$11,AND('Debt strategy'!$D$13='Debt strategy'!$D$11,4&lt;2))),1,0)))</x:f>
        <x:v>99</x:v>
      </x:c>
      <x:c r="S380" s="6" t="n">
        <x:f>IF('Debt strategy'!$C$16&gt;0,0,MIN(O380+P380-Q380,MAX(0,'Debt strategy'!$C$5-SUM(E380,K380,Q380,W380,AC380)-SUM(IF(F380&lt;R380,C380+D380-E380,0),IF(L380&lt;R380,I380+J380-K380,0),IF(X380&lt;R380,U380+V380-W380,0),IF(AD380&lt;R380,AA380+AB380-AC380,0)))))</x:f>
        <x:v>0</x:v>
      </x:c>
      <x:c r="T380" s="6" t="n">
        <x:f>ROUND(MAX(0,O380+P380-Q380-S380),2)</x:f>
        <x:v>0</x:v>
      </x:c>
      <x:c r="U380" s="6" t="n">
        <x:f>Z379</x:f>
        <x:v>0</x:v>
      </x:c>
      <x:c r="V380" s="6" t="n">
        <x:f>ROUND(U380*'Debt strategy'!$D$12/12,2)</x:f>
        <x:v>0</x:v>
      </x:c>
      <x:c r="W380" s="6" t="n">
        <x:f>MIN(U380+V380,'Debt strategy'!$E$12)</x:f>
        <x:v>0</x:v>
      </x:c>
      <x:c r="X380" s="27" t="n">
        <x:f>IF(U380+V380-W380&lt;=0,99,1+SUM(IF(AND(C380+D380-E380&gt;0,OR('Debt strategy'!$D$9&gt;'Debt strategy'!$D$12,AND('Debt strategy'!$D$9='Debt strategy'!$D$12,0&lt;3))),1,0),IF(AND(I380+J380-K380&gt;0,OR('Debt strategy'!$D$10&gt;'Debt strategy'!$D$12,AND('Debt strategy'!$D$10='Debt strategy'!$D$12,1&lt;3))),1,0),IF(AND(O380+P380-Q380&gt;0,OR('Debt strategy'!$D$11&gt;'Debt strategy'!$D$12,AND('Debt strategy'!$D$11='Debt strategy'!$D$12,2&lt;3))),1,0),IF(AND(AA380+AB380-AC380&gt;0,OR('Debt strategy'!$D$13&gt;'Debt strategy'!$D$12,AND('Debt strategy'!$D$13='Debt strategy'!$D$12,4&lt;3))),1,0)))</x:f>
        <x:v>99</x:v>
      </x:c>
      <x:c r="Y380" s="6" t="n">
        <x:f>IF('Debt strategy'!$C$16&gt;0,0,MIN(U380+V380-W380,MAX(0,'Debt strategy'!$C$5-SUM(E380,K380,Q380,W380,AC380)-SUM(IF(F380&lt;X380,C380+D380-E380,0),IF(L380&lt;X380,I380+J380-K380,0),IF(R380&lt;X380,O380+P380-Q380,0),IF(AD380&lt;X380,AA380+AB380-AC380,0)))))</x:f>
        <x:v>0</x:v>
      </x:c>
      <x:c r="Z380" s="6" t="n">
        <x:f>ROUND(MAX(0,U380+V380-W380-Y380),2)</x:f>
        <x:v>0</x:v>
      </x:c>
      <x:c r="AA380" s="6" t="n">
        <x:f>AF379</x:f>
        <x:v>0</x:v>
      </x:c>
      <x:c r="AB380" s="6" t="n">
        <x:f>ROUND(AA380*'Debt strategy'!$D$13/12,2)</x:f>
        <x:v>0</x:v>
      </x:c>
      <x:c r="AC380" s="6" t="n">
        <x:f>MIN(AA380+AB380,'Debt strategy'!$E$13)</x:f>
        <x:v>0</x:v>
      </x:c>
      <x:c r="AD380" s="27" t="n">
        <x:f>IF(AA380+AB380-AC380&lt;=0,99,1+SUM(IF(AND(C380+D380-E380&gt;0,OR('Debt strategy'!$D$9&gt;'Debt strategy'!$D$13,AND('Debt strategy'!$D$9='Debt strategy'!$D$13,0&lt;4))),1,0),IF(AND(I380+J380-K380&gt;0,OR('Debt strategy'!$D$10&gt;'Debt strategy'!$D$13,AND('Debt strategy'!$D$10='Debt strategy'!$D$13,1&lt;4))),1,0),IF(AND(O380+P380-Q380&gt;0,OR('Debt strategy'!$D$11&gt;'Debt strategy'!$D$13,AND('Debt strategy'!$D$11='Debt strategy'!$D$13,2&lt;4))),1,0),IF(AND(U380+V380-W380&gt;0,OR('Debt strategy'!$D$12&gt;'Debt strategy'!$D$13,AND('Debt strategy'!$D$12='Debt strategy'!$D$13,3&lt;4))),1,0)))</x:f>
        <x:v>99</x:v>
      </x:c>
      <x:c r="AE380" s="6" t="n">
        <x:f>IF('Debt strategy'!$C$16&gt;0,0,MIN(AA380+AB380-AC380,MAX(0,'Debt strategy'!$C$5-SUM(E380,K380,Q380,W380,AC380)-SUM(IF(F380&lt;AD380,C380+D380-E380,0),IF(L380&lt;AD380,I380+J380-K380,0),IF(R380&lt;AD380,O380+P380-Q380,0),IF(X380&lt;AD380,U380+V380-W380,0)))))</x:f>
        <x:v>0</x:v>
      </x:c>
      <x:c r="AF380" s="6" t="n">
        <x:f>ROUND(MAX(0,AA380+AB380-AC380-AE380),2)</x:f>
        <x:v>0</x:v>
      </x:c>
      <x:c r="AG380" s="6" t="n">
        <x:f>SUM(H380,N380,T380,Z380,AF380)</x:f>
        <x:v>0</x:v>
      </x:c>
      <x:c r="AH380" s="6" t="n">
        <x:f>SUM(D380,J380,P380,V380,AB380)+AH379</x:f>
        <x:v>1220.8400000000001</x:v>
      </x:c>
      <x:c r="AI380" s="2"/>
    </x:row>
    <x:row r="381" ht="23" customHeight="1">
      <x:c r="B381" s="2" t="n">
        <x:f>373</x:f>
        <x:v>373</x:v>
      </x:c>
      <x:c r="C381" s="6" t="n">
        <x:f>H380</x:f>
        <x:v>0</x:v>
      </x:c>
      <x:c r="D381" s="6" t="n">
        <x:f>ROUND(C381*'Debt strategy'!$D$9/12,2)</x:f>
        <x:v>0</x:v>
      </x:c>
      <x:c r="E381" s="6" t="n">
        <x:f>MIN(C381+D381,'Debt strategy'!$E$9)</x:f>
        <x:v>0</x:v>
      </x:c>
      <x:c r="F381" s="27" t="n">
        <x:f>IF(C381+D381-E381&lt;=0,99,1+SUM(IF(AND(I381+J381-K381&gt;0,OR('Debt strategy'!$D$10&gt;'Debt strategy'!$D$9,AND('Debt strategy'!$D$10='Debt strategy'!$D$9,1&lt;0))),1,0),IF(AND(O381+P381-Q381&gt;0,OR('Debt strategy'!$D$11&gt;'Debt strategy'!$D$9,AND('Debt strategy'!$D$11='Debt strategy'!$D$9,2&lt;0))),1,0),IF(AND(U381+V381-W381&gt;0,OR('Debt strategy'!$D$12&gt;'Debt strategy'!$D$9,AND('Debt strategy'!$D$12='Debt strategy'!$D$9,3&lt;0))),1,0),IF(AND(AA381+AB381-AC381&gt;0,OR('Debt strategy'!$D$13&gt;'Debt strategy'!$D$9,AND('Debt strategy'!$D$13='Debt strategy'!$D$9,4&lt;0))),1,0)))</x:f>
        <x:v>99</x:v>
      </x:c>
      <x:c r="G381" s="6" t="n">
        <x:f>IF('Debt strategy'!$C$16&gt;0,0,MIN(C381+D381-E381,MAX(0,'Debt strategy'!$C$5-SUM(E381,K381,Q381,W381,AC381)-SUM(IF(L381&lt;F381,I381+J381-K381,0),IF(R381&lt;F381,O381+P381-Q381,0),IF(X381&lt;F381,U381+V381-W381,0),IF(AD381&lt;F381,AA381+AB381-AC381,0)))))</x:f>
        <x:v>0</x:v>
      </x:c>
      <x:c r="H381" s="6" t="n">
        <x:f>ROUND(MAX(0,C381+D381-E381-G381),2)</x:f>
        <x:v>0</x:v>
      </x:c>
      <x:c r="I381" s="6" t="n">
        <x:f>N380</x:f>
        <x:v>0</x:v>
      </x:c>
      <x:c r="J381" s="6" t="n">
        <x:f>ROUND(I381*'Debt strategy'!$D$10/12,2)</x:f>
        <x:v>0</x:v>
      </x:c>
      <x:c r="K381" s="6" t="n">
        <x:f>MIN(I381+J381,'Debt strategy'!$E$10)</x:f>
        <x:v>0</x:v>
      </x:c>
      <x:c r="L381" s="27" t="n">
        <x:f>IF(I381+J381-K381&lt;=0,99,1+SUM(IF(AND(C381+D381-E381&gt;0,OR('Debt strategy'!$D$9&gt;'Debt strategy'!$D$10,AND('Debt strategy'!$D$9='Debt strategy'!$D$10,0&lt;1))),1,0),IF(AND(O381+P381-Q381&gt;0,OR('Debt strategy'!$D$11&gt;'Debt strategy'!$D$10,AND('Debt strategy'!$D$11='Debt strategy'!$D$10,2&lt;1))),1,0),IF(AND(U381+V381-W381&gt;0,OR('Debt strategy'!$D$12&gt;'Debt strategy'!$D$10,AND('Debt strategy'!$D$12='Debt strategy'!$D$10,3&lt;1))),1,0),IF(AND(AA381+AB381-AC381&gt;0,OR('Debt strategy'!$D$13&gt;'Debt strategy'!$D$10,AND('Debt strategy'!$D$13='Debt strategy'!$D$10,4&lt;1))),1,0)))</x:f>
        <x:v>99</x:v>
      </x:c>
      <x:c r="M381" s="6" t="n">
        <x:f>IF('Debt strategy'!$C$16&gt;0,0,MIN(I381+J381-K381,MAX(0,'Debt strategy'!$C$5-SUM(E381,K381,Q381,W381,AC381)-SUM(IF(F381&lt;L381,C381+D381-E381,0),IF(R381&lt;L381,O381+P381-Q381,0),IF(X381&lt;L381,U381+V381-W381,0),IF(AD381&lt;L381,AA381+AB381-AC381,0)))))</x:f>
        <x:v>0</x:v>
      </x:c>
      <x:c r="N381" s="6" t="n">
        <x:f>ROUND(MAX(0,I381+J381-K381-M381),2)</x:f>
        <x:v>0</x:v>
      </x:c>
      <x:c r="O381" s="6" t="n">
        <x:f>T380</x:f>
        <x:v>0</x:v>
      </x:c>
      <x:c r="P381" s="6" t="n">
        <x:f>ROUND(O381*'Debt strategy'!$D$11/12,2)</x:f>
        <x:v>0</x:v>
      </x:c>
      <x:c r="Q381" s="6" t="n">
        <x:f>MIN(O381+P381,'Debt strategy'!$E$11)</x:f>
        <x:v>0</x:v>
      </x:c>
      <x:c r="R381" s="27" t="n">
        <x:f>IF(O381+P381-Q381&lt;=0,99,1+SUM(IF(AND(C381+D381-E381&gt;0,OR('Debt strategy'!$D$9&gt;'Debt strategy'!$D$11,AND('Debt strategy'!$D$9='Debt strategy'!$D$11,0&lt;2))),1,0),IF(AND(I381+J381-K381&gt;0,OR('Debt strategy'!$D$10&gt;'Debt strategy'!$D$11,AND('Debt strategy'!$D$10='Debt strategy'!$D$11,1&lt;2))),1,0),IF(AND(U381+V381-W381&gt;0,OR('Debt strategy'!$D$12&gt;'Debt strategy'!$D$11,AND('Debt strategy'!$D$12='Debt strategy'!$D$11,3&lt;2))),1,0),IF(AND(AA381+AB381-AC381&gt;0,OR('Debt strategy'!$D$13&gt;'Debt strategy'!$D$11,AND('Debt strategy'!$D$13='Debt strategy'!$D$11,4&lt;2))),1,0)))</x:f>
        <x:v>99</x:v>
      </x:c>
      <x:c r="S381" s="6" t="n">
        <x:f>IF('Debt strategy'!$C$16&gt;0,0,MIN(O381+P381-Q381,MAX(0,'Debt strategy'!$C$5-SUM(E381,K381,Q381,W381,AC381)-SUM(IF(F381&lt;R381,C381+D381-E381,0),IF(L381&lt;R381,I381+J381-K381,0),IF(X381&lt;R381,U381+V381-W381,0),IF(AD381&lt;R381,AA381+AB381-AC381,0)))))</x:f>
        <x:v>0</x:v>
      </x:c>
      <x:c r="T381" s="6" t="n">
        <x:f>ROUND(MAX(0,O381+P381-Q381-S381),2)</x:f>
        <x:v>0</x:v>
      </x:c>
      <x:c r="U381" s="6" t="n">
        <x:f>Z380</x:f>
        <x:v>0</x:v>
      </x:c>
      <x:c r="V381" s="6" t="n">
        <x:f>ROUND(U381*'Debt strategy'!$D$12/12,2)</x:f>
        <x:v>0</x:v>
      </x:c>
      <x:c r="W381" s="6" t="n">
        <x:f>MIN(U381+V381,'Debt strategy'!$E$12)</x:f>
        <x:v>0</x:v>
      </x:c>
      <x:c r="X381" s="27" t="n">
        <x:f>IF(U381+V381-W381&lt;=0,99,1+SUM(IF(AND(C381+D381-E381&gt;0,OR('Debt strategy'!$D$9&gt;'Debt strategy'!$D$12,AND('Debt strategy'!$D$9='Debt strategy'!$D$12,0&lt;3))),1,0),IF(AND(I381+J381-K381&gt;0,OR('Debt strategy'!$D$10&gt;'Debt strategy'!$D$12,AND('Debt strategy'!$D$10='Debt strategy'!$D$12,1&lt;3))),1,0),IF(AND(O381+P381-Q381&gt;0,OR('Debt strategy'!$D$11&gt;'Debt strategy'!$D$12,AND('Debt strategy'!$D$11='Debt strategy'!$D$12,2&lt;3))),1,0),IF(AND(AA381+AB381-AC381&gt;0,OR('Debt strategy'!$D$13&gt;'Debt strategy'!$D$12,AND('Debt strategy'!$D$13='Debt strategy'!$D$12,4&lt;3))),1,0)))</x:f>
        <x:v>99</x:v>
      </x:c>
      <x:c r="Y381" s="6" t="n">
        <x:f>IF('Debt strategy'!$C$16&gt;0,0,MIN(U381+V381-W381,MAX(0,'Debt strategy'!$C$5-SUM(E381,K381,Q381,W381,AC381)-SUM(IF(F381&lt;X381,C381+D381-E381,0),IF(L381&lt;X381,I381+J381-K381,0),IF(R381&lt;X381,O381+P381-Q381,0),IF(AD381&lt;X381,AA381+AB381-AC381,0)))))</x:f>
        <x:v>0</x:v>
      </x:c>
      <x:c r="Z381" s="6" t="n">
        <x:f>ROUND(MAX(0,U381+V381-W381-Y381),2)</x:f>
        <x:v>0</x:v>
      </x:c>
      <x:c r="AA381" s="6" t="n">
        <x:f>AF380</x:f>
        <x:v>0</x:v>
      </x:c>
      <x:c r="AB381" s="6" t="n">
        <x:f>ROUND(AA381*'Debt strategy'!$D$13/12,2)</x:f>
        <x:v>0</x:v>
      </x:c>
      <x:c r="AC381" s="6" t="n">
        <x:f>MIN(AA381+AB381,'Debt strategy'!$E$13)</x:f>
        <x:v>0</x:v>
      </x:c>
      <x:c r="AD381" s="27" t="n">
        <x:f>IF(AA381+AB381-AC381&lt;=0,99,1+SUM(IF(AND(C381+D381-E381&gt;0,OR('Debt strategy'!$D$9&gt;'Debt strategy'!$D$13,AND('Debt strategy'!$D$9='Debt strategy'!$D$13,0&lt;4))),1,0),IF(AND(I381+J381-K381&gt;0,OR('Debt strategy'!$D$10&gt;'Debt strategy'!$D$13,AND('Debt strategy'!$D$10='Debt strategy'!$D$13,1&lt;4))),1,0),IF(AND(O381+P381-Q381&gt;0,OR('Debt strategy'!$D$11&gt;'Debt strategy'!$D$13,AND('Debt strategy'!$D$11='Debt strategy'!$D$13,2&lt;4))),1,0),IF(AND(U381+V381-W381&gt;0,OR('Debt strategy'!$D$12&gt;'Debt strategy'!$D$13,AND('Debt strategy'!$D$12='Debt strategy'!$D$13,3&lt;4))),1,0)))</x:f>
        <x:v>99</x:v>
      </x:c>
      <x:c r="AE381" s="6" t="n">
        <x:f>IF('Debt strategy'!$C$16&gt;0,0,MIN(AA381+AB381-AC381,MAX(0,'Debt strategy'!$C$5-SUM(E381,K381,Q381,W381,AC381)-SUM(IF(F381&lt;AD381,C381+D381-E381,0),IF(L381&lt;AD381,I381+J381-K381,0),IF(R381&lt;AD381,O381+P381-Q381,0),IF(X381&lt;AD381,U381+V381-W381,0)))))</x:f>
        <x:v>0</x:v>
      </x:c>
      <x:c r="AF381" s="6" t="n">
        <x:f>ROUND(MAX(0,AA381+AB381-AC381-AE381),2)</x:f>
        <x:v>0</x:v>
      </x:c>
      <x:c r="AG381" s="6" t="n">
        <x:f>SUM(H381,N381,T381,Z381,AF381)</x:f>
        <x:v>0</x:v>
      </x:c>
      <x:c r="AH381" s="6" t="n">
        <x:f>SUM(D381,J381,P381,V381,AB381)+AH380</x:f>
        <x:v>1220.8400000000001</x:v>
      </x:c>
      <x:c r="AI381" s="2"/>
    </x:row>
    <x:row r="382" ht="23" customHeight="1">
      <x:c r="B382" s="2" t="n">
        <x:f>374</x:f>
        <x:v>374</x:v>
      </x:c>
      <x:c r="C382" s="6" t="n">
        <x:f>H381</x:f>
        <x:v>0</x:v>
      </x:c>
      <x:c r="D382" s="6" t="n">
        <x:f>ROUND(C382*'Debt strategy'!$D$9/12,2)</x:f>
        <x:v>0</x:v>
      </x:c>
      <x:c r="E382" s="6" t="n">
        <x:f>MIN(C382+D382,'Debt strategy'!$E$9)</x:f>
        <x:v>0</x:v>
      </x:c>
      <x:c r="F382" s="27" t="n">
        <x:f>IF(C382+D382-E382&lt;=0,99,1+SUM(IF(AND(I382+J382-K382&gt;0,OR('Debt strategy'!$D$10&gt;'Debt strategy'!$D$9,AND('Debt strategy'!$D$10='Debt strategy'!$D$9,1&lt;0))),1,0),IF(AND(O382+P382-Q382&gt;0,OR('Debt strategy'!$D$11&gt;'Debt strategy'!$D$9,AND('Debt strategy'!$D$11='Debt strategy'!$D$9,2&lt;0))),1,0),IF(AND(U382+V382-W382&gt;0,OR('Debt strategy'!$D$12&gt;'Debt strategy'!$D$9,AND('Debt strategy'!$D$12='Debt strategy'!$D$9,3&lt;0))),1,0),IF(AND(AA382+AB382-AC382&gt;0,OR('Debt strategy'!$D$13&gt;'Debt strategy'!$D$9,AND('Debt strategy'!$D$13='Debt strategy'!$D$9,4&lt;0))),1,0)))</x:f>
        <x:v>99</x:v>
      </x:c>
      <x:c r="G382" s="6" t="n">
        <x:f>IF('Debt strategy'!$C$16&gt;0,0,MIN(C382+D382-E382,MAX(0,'Debt strategy'!$C$5-SUM(E382,K382,Q382,W382,AC382)-SUM(IF(L382&lt;F382,I382+J382-K382,0),IF(R382&lt;F382,O382+P382-Q382,0),IF(X382&lt;F382,U382+V382-W382,0),IF(AD382&lt;F382,AA382+AB382-AC382,0)))))</x:f>
        <x:v>0</x:v>
      </x:c>
      <x:c r="H382" s="6" t="n">
        <x:f>ROUND(MAX(0,C382+D382-E382-G382),2)</x:f>
        <x:v>0</x:v>
      </x:c>
      <x:c r="I382" s="6" t="n">
        <x:f>N381</x:f>
        <x:v>0</x:v>
      </x:c>
      <x:c r="J382" s="6" t="n">
        <x:f>ROUND(I382*'Debt strategy'!$D$10/12,2)</x:f>
        <x:v>0</x:v>
      </x:c>
      <x:c r="K382" s="6" t="n">
        <x:f>MIN(I382+J382,'Debt strategy'!$E$10)</x:f>
        <x:v>0</x:v>
      </x:c>
      <x:c r="L382" s="27" t="n">
        <x:f>IF(I382+J382-K382&lt;=0,99,1+SUM(IF(AND(C382+D382-E382&gt;0,OR('Debt strategy'!$D$9&gt;'Debt strategy'!$D$10,AND('Debt strategy'!$D$9='Debt strategy'!$D$10,0&lt;1))),1,0),IF(AND(O382+P382-Q382&gt;0,OR('Debt strategy'!$D$11&gt;'Debt strategy'!$D$10,AND('Debt strategy'!$D$11='Debt strategy'!$D$10,2&lt;1))),1,0),IF(AND(U382+V382-W382&gt;0,OR('Debt strategy'!$D$12&gt;'Debt strategy'!$D$10,AND('Debt strategy'!$D$12='Debt strategy'!$D$10,3&lt;1))),1,0),IF(AND(AA382+AB382-AC382&gt;0,OR('Debt strategy'!$D$13&gt;'Debt strategy'!$D$10,AND('Debt strategy'!$D$13='Debt strategy'!$D$10,4&lt;1))),1,0)))</x:f>
        <x:v>99</x:v>
      </x:c>
      <x:c r="M382" s="6" t="n">
        <x:f>IF('Debt strategy'!$C$16&gt;0,0,MIN(I382+J382-K382,MAX(0,'Debt strategy'!$C$5-SUM(E382,K382,Q382,W382,AC382)-SUM(IF(F382&lt;L382,C382+D382-E382,0),IF(R382&lt;L382,O382+P382-Q382,0),IF(X382&lt;L382,U382+V382-W382,0),IF(AD382&lt;L382,AA382+AB382-AC382,0)))))</x:f>
        <x:v>0</x:v>
      </x:c>
      <x:c r="N382" s="6" t="n">
        <x:f>ROUND(MAX(0,I382+J382-K382-M382),2)</x:f>
        <x:v>0</x:v>
      </x:c>
      <x:c r="O382" s="6" t="n">
        <x:f>T381</x:f>
        <x:v>0</x:v>
      </x:c>
      <x:c r="P382" s="6" t="n">
        <x:f>ROUND(O382*'Debt strategy'!$D$11/12,2)</x:f>
        <x:v>0</x:v>
      </x:c>
      <x:c r="Q382" s="6" t="n">
        <x:f>MIN(O382+P382,'Debt strategy'!$E$11)</x:f>
        <x:v>0</x:v>
      </x:c>
      <x:c r="R382" s="27" t="n">
        <x:f>IF(O382+P382-Q382&lt;=0,99,1+SUM(IF(AND(C382+D382-E382&gt;0,OR('Debt strategy'!$D$9&gt;'Debt strategy'!$D$11,AND('Debt strategy'!$D$9='Debt strategy'!$D$11,0&lt;2))),1,0),IF(AND(I382+J382-K382&gt;0,OR('Debt strategy'!$D$10&gt;'Debt strategy'!$D$11,AND('Debt strategy'!$D$10='Debt strategy'!$D$11,1&lt;2))),1,0),IF(AND(U382+V382-W382&gt;0,OR('Debt strategy'!$D$12&gt;'Debt strategy'!$D$11,AND('Debt strategy'!$D$12='Debt strategy'!$D$11,3&lt;2))),1,0),IF(AND(AA382+AB382-AC382&gt;0,OR('Debt strategy'!$D$13&gt;'Debt strategy'!$D$11,AND('Debt strategy'!$D$13='Debt strategy'!$D$11,4&lt;2))),1,0)))</x:f>
        <x:v>99</x:v>
      </x:c>
      <x:c r="S382" s="6" t="n">
        <x:f>IF('Debt strategy'!$C$16&gt;0,0,MIN(O382+P382-Q382,MAX(0,'Debt strategy'!$C$5-SUM(E382,K382,Q382,W382,AC382)-SUM(IF(F382&lt;R382,C382+D382-E382,0),IF(L382&lt;R382,I382+J382-K382,0),IF(X382&lt;R382,U382+V382-W382,0),IF(AD382&lt;R382,AA382+AB382-AC382,0)))))</x:f>
        <x:v>0</x:v>
      </x:c>
      <x:c r="T382" s="6" t="n">
        <x:f>ROUND(MAX(0,O382+P382-Q382-S382),2)</x:f>
        <x:v>0</x:v>
      </x:c>
      <x:c r="U382" s="6" t="n">
        <x:f>Z381</x:f>
        <x:v>0</x:v>
      </x:c>
      <x:c r="V382" s="6" t="n">
        <x:f>ROUND(U382*'Debt strategy'!$D$12/12,2)</x:f>
        <x:v>0</x:v>
      </x:c>
      <x:c r="W382" s="6" t="n">
        <x:f>MIN(U382+V382,'Debt strategy'!$E$12)</x:f>
        <x:v>0</x:v>
      </x:c>
      <x:c r="X382" s="27" t="n">
        <x:f>IF(U382+V382-W382&lt;=0,99,1+SUM(IF(AND(C382+D382-E382&gt;0,OR('Debt strategy'!$D$9&gt;'Debt strategy'!$D$12,AND('Debt strategy'!$D$9='Debt strategy'!$D$12,0&lt;3))),1,0),IF(AND(I382+J382-K382&gt;0,OR('Debt strategy'!$D$10&gt;'Debt strategy'!$D$12,AND('Debt strategy'!$D$10='Debt strategy'!$D$12,1&lt;3))),1,0),IF(AND(O382+P382-Q382&gt;0,OR('Debt strategy'!$D$11&gt;'Debt strategy'!$D$12,AND('Debt strategy'!$D$11='Debt strategy'!$D$12,2&lt;3))),1,0),IF(AND(AA382+AB382-AC382&gt;0,OR('Debt strategy'!$D$13&gt;'Debt strategy'!$D$12,AND('Debt strategy'!$D$13='Debt strategy'!$D$12,4&lt;3))),1,0)))</x:f>
        <x:v>99</x:v>
      </x:c>
      <x:c r="Y382" s="6" t="n">
        <x:f>IF('Debt strategy'!$C$16&gt;0,0,MIN(U382+V382-W382,MAX(0,'Debt strategy'!$C$5-SUM(E382,K382,Q382,W382,AC382)-SUM(IF(F382&lt;X382,C382+D382-E382,0),IF(L382&lt;X382,I382+J382-K382,0),IF(R382&lt;X382,O382+P382-Q382,0),IF(AD382&lt;X382,AA382+AB382-AC382,0)))))</x:f>
        <x:v>0</x:v>
      </x:c>
      <x:c r="Z382" s="6" t="n">
        <x:f>ROUND(MAX(0,U382+V382-W382-Y382),2)</x:f>
        <x:v>0</x:v>
      </x:c>
      <x:c r="AA382" s="6" t="n">
        <x:f>AF381</x:f>
        <x:v>0</x:v>
      </x:c>
      <x:c r="AB382" s="6" t="n">
        <x:f>ROUND(AA382*'Debt strategy'!$D$13/12,2)</x:f>
        <x:v>0</x:v>
      </x:c>
      <x:c r="AC382" s="6" t="n">
        <x:f>MIN(AA382+AB382,'Debt strategy'!$E$13)</x:f>
        <x:v>0</x:v>
      </x:c>
      <x:c r="AD382" s="27" t="n">
        <x:f>IF(AA382+AB382-AC382&lt;=0,99,1+SUM(IF(AND(C382+D382-E382&gt;0,OR('Debt strategy'!$D$9&gt;'Debt strategy'!$D$13,AND('Debt strategy'!$D$9='Debt strategy'!$D$13,0&lt;4))),1,0),IF(AND(I382+J382-K382&gt;0,OR('Debt strategy'!$D$10&gt;'Debt strategy'!$D$13,AND('Debt strategy'!$D$10='Debt strategy'!$D$13,1&lt;4))),1,0),IF(AND(O382+P382-Q382&gt;0,OR('Debt strategy'!$D$11&gt;'Debt strategy'!$D$13,AND('Debt strategy'!$D$11='Debt strategy'!$D$13,2&lt;4))),1,0),IF(AND(U382+V382-W382&gt;0,OR('Debt strategy'!$D$12&gt;'Debt strategy'!$D$13,AND('Debt strategy'!$D$12='Debt strategy'!$D$13,3&lt;4))),1,0)))</x:f>
        <x:v>99</x:v>
      </x:c>
      <x:c r="AE382" s="6" t="n">
        <x:f>IF('Debt strategy'!$C$16&gt;0,0,MIN(AA382+AB382-AC382,MAX(0,'Debt strategy'!$C$5-SUM(E382,K382,Q382,W382,AC382)-SUM(IF(F382&lt;AD382,C382+D382-E382,0),IF(L382&lt;AD382,I382+J382-K382,0),IF(R382&lt;AD382,O382+P382-Q382,0),IF(X382&lt;AD382,U382+V382-W382,0)))))</x:f>
        <x:v>0</x:v>
      </x:c>
      <x:c r="AF382" s="6" t="n">
        <x:f>ROUND(MAX(0,AA382+AB382-AC382-AE382),2)</x:f>
        <x:v>0</x:v>
      </x:c>
      <x:c r="AG382" s="6" t="n">
        <x:f>SUM(H382,N382,T382,Z382,AF382)</x:f>
        <x:v>0</x:v>
      </x:c>
      <x:c r="AH382" s="6" t="n">
        <x:f>SUM(D382,J382,P382,V382,AB382)+AH381</x:f>
        <x:v>1220.8400000000001</x:v>
      </x:c>
      <x:c r="AI382" s="2"/>
    </x:row>
    <x:row r="383" ht="23" customHeight="1">
      <x:c r="B383" s="2" t="n">
        <x:f>375</x:f>
        <x:v>375</x:v>
      </x:c>
      <x:c r="C383" s="6" t="n">
        <x:f>H382</x:f>
        <x:v>0</x:v>
      </x:c>
      <x:c r="D383" s="6" t="n">
        <x:f>ROUND(C383*'Debt strategy'!$D$9/12,2)</x:f>
        <x:v>0</x:v>
      </x:c>
      <x:c r="E383" s="6" t="n">
        <x:f>MIN(C383+D383,'Debt strategy'!$E$9)</x:f>
        <x:v>0</x:v>
      </x:c>
      <x:c r="F383" s="27" t="n">
        <x:f>IF(C383+D383-E383&lt;=0,99,1+SUM(IF(AND(I383+J383-K383&gt;0,OR('Debt strategy'!$D$10&gt;'Debt strategy'!$D$9,AND('Debt strategy'!$D$10='Debt strategy'!$D$9,1&lt;0))),1,0),IF(AND(O383+P383-Q383&gt;0,OR('Debt strategy'!$D$11&gt;'Debt strategy'!$D$9,AND('Debt strategy'!$D$11='Debt strategy'!$D$9,2&lt;0))),1,0),IF(AND(U383+V383-W383&gt;0,OR('Debt strategy'!$D$12&gt;'Debt strategy'!$D$9,AND('Debt strategy'!$D$12='Debt strategy'!$D$9,3&lt;0))),1,0),IF(AND(AA383+AB383-AC383&gt;0,OR('Debt strategy'!$D$13&gt;'Debt strategy'!$D$9,AND('Debt strategy'!$D$13='Debt strategy'!$D$9,4&lt;0))),1,0)))</x:f>
        <x:v>99</x:v>
      </x:c>
      <x:c r="G383" s="6" t="n">
        <x:f>IF('Debt strategy'!$C$16&gt;0,0,MIN(C383+D383-E383,MAX(0,'Debt strategy'!$C$5-SUM(E383,K383,Q383,W383,AC383)-SUM(IF(L383&lt;F383,I383+J383-K383,0),IF(R383&lt;F383,O383+P383-Q383,0),IF(X383&lt;F383,U383+V383-W383,0),IF(AD383&lt;F383,AA383+AB383-AC383,0)))))</x:f>
        <x:v>0</x:v>
      </x:c>
      <x:c r="H383" s="6" t="n">
        <x:f>ROUND(MAX(0,C383+D383-E383-G383),2)</x:f>
        <x:v>0</x:v>
      </x:c>
      <x:c r="I383" s="6" t="n">
        <x:f>N382</x:f>
        <x:v>0</x:v>
      </x:c>
      <x:c r="J383" s="6" t="n">
        <x:f>ROUND(I383*'Debt strategy'!$D$10/12,2)</x:f>
        <x:v>0</x:v>
      </x:c>
      <x:c r="K383" s="6" t="n">
        <x:f>MIN(I383+J383,'Debt strategy'!$E$10)</x:f>
        <x:v>0</x:v>
      </x:c>
      <x:c r="L383" s="27" t="n">
        <x:f>IF(I383+J383-K383&lt;=0,99,1+SUM(IF(AND(C383+D383-E383&gt;0,OR('Debt strategy'!$D$9&gt;'Debt strategy'!$D$10,AND('Debt strategy'!$D$9='Debt strategy'!$D$10,0&lt;1))),1,0),IF(AND(O383+P383-Q383&gt;0,OR('Debt strategy'!$D$11&gt;'Debt strategy'!$D$10,AND('Debt strategy'!$D$11='Debt strategy'!$D$10,2&lt;1))),1,0),IF(AND(U383+V383-W383&gt;0,OR('Debt strategy'!$D$12&gt;'Debt strategy'!$D$10,AND('Debt strategy'!$D$12='Debt strategy'!$D$10,3&lt;1))),1,0),IF(AND(AA383+AB383-AC383&gt;0,OR('Debt strategy'!$D$13&gt;'Debt strategy'!$D$10,AND('Debt strategy'!$D$13='Debt strategy'!$D$10,4&lt;1))),1,0)))</x:f>
        <x:v>99</x:v>
      </x:c>
      <x:c r="M383" s="6" t="n">
        <x:f>IF('Debt strategy'!$C$16&gt;0,0,MIN(I383+J383-K383,MAX(0,'Debt strategy'!$C$5-SUM(E383,K383,Q383,W383,AC383)-SUM(IF(F383&lt;L383,C383+D383-E383,0),IF(R383&lt;L383,O383+P383-Q383,0),IF(X383&lt;L383,U383+V383-W383,0),IF(AD383&lt;L383,AA383+AB383-AC383,0)))))</x:f>
        <x:v>0</x:v>
      </x:c>
      <x:c r="N383" s="6" t="n">
        <x:f>ROUND(MAX(0,I383+J383-K383-M383),2)</x:f>
        <x:v>0</x:v>
      </x:c>
      <x:c r="O383" s="6" t="n">
        <x:f>T382</x:f>
        <x:v>0</x:v>
      </x:c>
      <x:c r="P383" s="6" t="n">
        <x:f>ROUND(O383*'Debt strategy'!$D$11/12,2)</x:f>
        <x:v>0</x:v>
      </x:c>
      <x:c r="Q383" s="6" t="n">
        <x:f>MIN(O383+P383,'Debt strategy'!$E$11)</x:f>
        <x:v>0</x:v>
      </x:c>
      <x:c r="R383" s="27" t="n">
        <x:f>IF(O383+P383-Q383&lt;=0,99,1+SUM(IF(AND(C383+D383-E383&gt;0,OR('Debt strategy'!$D$9&gt;'Debt strategy'!$D$11,AND('Debt strategy'!$D$9='Debt strategy'!$D$11,0&lt;2))),1,0),IF(AND(I383+J383-K383&gt;0,OR('Debt strategy'!$D$10&gt;'Debt strategy'!$D$11,AND('Debt strategy'!$D$10='Debt strategy'!$D$11,1&lt;2))),1,0),IF(AND(U383+V383-W383&gt;0,OR('Debt strategy'!$D$12&gt;'Debt strategy'!$D$11,AND('Debt strategy'!$D$12='Debt strategy'!$D$11,3&lt;2))),1,0),IF(AND(AA383+AB383-AC383&gt;0,OR('Debt strategy'!$D$13&gt;'Debt strategy'!$D$11,AND('Debt strategy'!$D$13='Debt strategy'!$D$11,4&lt;2))),1,0)))</x:f>
        <x:v>99</x:v>
      </x:c>
      <x:c r="S383" s="6" t="n">
        <x:f>IF('Debt strategy'!$C$16&gt;0,0,MIN(O383+P383-Q383,MAX(0,'Debt strategy'!$C$5-SUM(E383,K383,Q383,W383,AC383)-SUM(IF(F383&lt;R383,C383+D383-E383,0),IF(L383&lt;R383,I383+J383-K383,0),IF(X383&lt;R383,U383+V383-W383,0),IF(AD383&lt;R383,AA383+AB383-AC383,0)))))</x:f>
        <x:v>0</x:v>
      </x:c>
      <x:c r="T383" s="6" t="n">
        <x:f>ROUND(MAX(0,O383+P383-Q383-S383),2)</x:f>
        <x:v>0</x:v>
      </x:c>
      <x:c r="U383" s="6" t="n">
        <x:f>Z382</x:f>
        <x:v>0</x:v>
      </x:c>
      <x:c r="V383" s="6" t="n">
        <x:f>ROUND(U383*'Debt strategy'!$D$12/12,2)</x:f>
        <x:v>0</x:v>
      </x:c>
      <x:c r="W383" s="6" t="n">
        <x:f>MIN(U383+V383,'Debt strategy'!$E$12)</x:f>
        <x:v>0</x:v>
      </x:c>
      <x:c r="X383" s="27" t="n">
        <x:f>IF(U383+V383-W383&lt;=0,99,1+SUM(IF(AND(C383+D383-E383&gt;0,OR('Debt strategy'!$D$9&gt;'Debt strategy'!$D$12,AND('Debt strategy'!$D$9='Debt strategy'!$D$12,0&lt;3))),1,0),IF(AND(I383+J383-K383&gt;0,OR('Debt strategy'!$D$10&gt;'Debt strategy'!$D$12,AND('Debt strategy'!$D$10='Debt strategy'!$D$12,1&lt;3))),1,0),IF(AND(O383+P383-Q383&gt;0,OR('Debt strategy'!$D$11&gt;'Debt strategy'!$D$12,AND('Debt strategy'!$D$11='Debt strategy'!$D$12,2&lt;3))),1,0),IF(AND(AA383+AB383-AC383&gt;0,OR('Debt strategy'!$D$13&gt;'Debt strategy'!$D$12,AND('Debt strategy'!$D$13='Debt strategy'!$D$12,4&lt;3))),1,0)))</x:f>
        <x:v>99</x:v>
      </x:c>
      <x:c r="Y383" s="6" t="n">
        <x:f>IF('Debt strategy'!$C$16&gt;0,0,MIN(U383+V383-W383,MAX(0,'Debt strategy'!$C$5-SUM(E383,K383,Q383,W383,AC383)-SUM(IF(F383&lt;X383,C383+D383-E383,0),IF(L383&lt;X383,I383+J383-K383,0),IF(R383&lt;X383,O383+P383-Q383,0),IF(AD383&lt;X383,AA383+AB383-AC383,0)))))</x:f>
        <x:v>0</x:v>
      </x:c>
      <x:c r="Z383" s="6" t="n">
        <x:f>ROUND(MAX(0,U383+V383-W383-Y383),2)</x:f>
        <x:v>0</x:v>
      </x:c>
      <x:c r="AA383" s="6" t="n">
        <x:f>AF382</x:f>
        <x:v>0</x:v>
      </x:c>
      <x:c r="AB383" s="6" t="n">
        <x:f>ROUND(AA383*'Debt strategy'!$D$13/12,2)</x:f>
        <x:v>0</x:v>
      </x:c>
      <x:c r="AC383" s="6" t="n">
        <x:f>MIN(AA383+AB383,'Debt strategy'!$E$13)</x:f>
        <x:v>0</x:v>
      </x:c>
      <x:c r="AD383" s="27" t="n">
        <x:f>IF(AA383+AB383-AC383&lt;=0,99,1+SUM(IF(AND(C383+D383-E383&gt;0,OR('Debt strategy'!$D$9&gt;'Debt strategy'!$D$13,AND('Debt strategy'!$D$9='Debt strategy'!$D$13,0&lt;4))),1,0),IF(AND(I383+J383-K383&gt;0,OR('Debt strategy'!$D$10&gt;'Debt strategy'!$D$13,AND('Debt strategy'!$D$10='Debt strategy'!$D$13,1&lt;4))),1,0),IF(AND(O383+P383-Q383&gt;0,OR('Debt strategy'!$D$11&gt;'Debt strategy'!$D$13,AND('Debt strategy'!$D$11='Debt strategy'!$D$13,2&lt;4))),1,0),IF(AND(U383+V383-W383&gt;0,OR('Debt strategy'!$D$12&gt;'Debt strategy'!$D$13,AND('Debt strategy'!$D$12='Debt strategy'!$D$13,3&lt;4))),1,0)))</x:f>
        <x:v>99</x:v>
      </x:c>
      <x:c r="AE383" s="6" t="n">
        <x:f>IF('Debt strategy'!$C$16&gt;0,0,MIN(AA383+AB383-AC383,MAX(0,'Debt strategy'!$C$5-SUM(E383,K383,Q383,W383,AC383)-SUM(IF(F383&lt;AD383,C383+D383-E383,0),IF(L383&lt;AD383,I383+J383-K383,0),IF(R383&lt;AD383,O383+P383-Q383,0),IF(X383&lt;AD383,U383+V383-W383,0)))))</x:f>
        <x:v>0</x:v>
      </x:c>
      <x:c r="AF383" s="6" t="n">
        <x:f>ROUND(MAX(0,AA383+AB383-AC383-AE383),2)</x:f>
        <x:v>0</x:v>
      </x:c>
      <x:c r="AG383" s="6" t="n">
        <x:f>SUM(H383,N383,T383,Z383,AF383)</x:f>
        <x:v>0</x:v>
      </x:c>
      <x:c r="AH383" s="6" t="n">
        <x:f>SUM(D383,J383,P383,V383,AB383)+AH382</x:f>
        <x:v>1220.8400000000001</x:v>
      </x:c>
      <x:c r="AI383" s="2"/>
    </x:row>
    <x:row r="384" ht="23" customHeight="1">
      <x:c r="B384" s="2" t="n">
        <x:f>376</x:f>
        <x:v>376</x:v>
      </x:c>
      <x:c r="C384" s="6" t="n">
        <x:f>H383</x:f>
        <x:v>0</x:v>
      </x:c>
      <x:c r="D384" s="6" t="n">
        <x:f>ROUND(C384*'Debt strategy'!$D$9/12,2)</x:f>
        <x:v>0</x:v>
      </x:c>
      <x:c r="E384" s="6" t="n">
        <x:f>MIN(C384+D384,'Debt strategy'!$E$9)</x:f>
        <x:v>0</x:v>
      </x:c>
      <x:c r="F384" s="27" t="n">
        <x:f>IF(C384+D384-E384&lt;=0,99,1+SUM(IF(AND(I384+J384-K384&gt;0,OR('Debt strategy'!$D$10&gt;'Debt strategy'!$D$9,AND('Debt strategy'!$D$10='Debt strategy'!$D$9,1&lt;0))),1,0),IF(AND(O384+P384-Q384&gt;0,OR('Debt strategy'!$D$11&gt;'Debt strategy'!$D$9,AND('Debt strategy'!$D$11='Debt strategy'!$D$9,2&lt;0))),1,0),IF(AND(U384+V384-W384&gt;0,OR('Debt strategy'!$D$12&gt;'Debt strategy'!$D$9,AND('Debt strategy'!$D$12='Debt strategy'!$D$9,3&lt;0))),1,0),IF(AND(AA384+AB384-AC384&gt;0,OR('Debt strategy'!$D$13&gt;'Debt strategy'!$D$9,AND('Debt strategy'!$D$13='Debt strategy'!$D$9,4&lt;0))),1,0)))</x:f>
        <x:v>99</x:v>
      </x:c>
      <x:c r="G384" s="6" t="n">
        <x:f>IF('Debt strategy'!$C$16&gt;0,0,MIN(C384+D384-E384,MAX(0,'Debt strategy'!$C$5-SUM(E384,K384,Q384,W384,AC384)-SUM(IF(L384&lt;F384,I384+J384-K384,0),IF(R384&lt;F384,O384+P384-Q384,0),IF(X384&lt;F384,U384+V384-W384,0),IF(AD384&lt;F384,AA384+AB384-AC384,0)))))</x:f>
        <x:v>0</x:v>
      </x:c>
      <x:c r="H384" s="6" t="n">
        <x:f>ROUND(MAX(0,C384+D384-E384-G384),2)</x:f>
        <x:v>0</x:v>
      </x:c>
      <x:c r="I384" s="6" t="n">
        <x:f>N383</x:f>
        <x:v>0</x:v>
      </x:c>
      <x:c r="J384" s="6" t="n">
        <x:f>ROUND(I384*'Debt strategy'!$D$10/12,2)</x:f>
        <x:v>0</x:v>
      </x:c>
      <x:c r="K384" s="6" t="n">
        <x:f>MIN(I384+J384,'Debt strategy'!$E$10)</x:f>
        <x:v>0</x:v>
      </x:c>
      <x:c r="L384" s="27" t="n">
        <x:f>IF(I384+J384-K384&lt;=0,99,1+SUM(IF(AND(C384+D384-E384&gt;0,OR('Debt strategy'!$D$9&gt;'Debt strategy'!$D$10,AND('Debt strategy'!$D$9='Debt strategy'!$D$10,0&lt;1))),1,0),IF(AND(O384+P384-Q384&gt;0,OR('Debt strategy'!$D$11&gt;'Debt strategy'!$D$10,AND('Debt strategy'!$D$11='Debt strategy'!$D$10,2&lt;1))),1,0),IF(AND(U384+V384-W384&gt;0,OR('Debt strategy'!$D$12&gt;'Debt strategy'!$D$10,AND('Debt strategy'!$D$12='Debt strategy'!$D$10,3&lt;1))),1,0),IF(AND(AA384+AB384-AC384&gt;0,OR('Debt strategy'!$D$13&gt;'Debt strategy'!$D$10,AND('Debt strategy'!$D$13='Debt strategy'!$D$10,4&lt;1))),1,0)))</x:f>
        <x:v>99</x:v>
      </x:c>
      <x:c r="M384" s="6" t="n">
        <x:f>IF('Debt strategy'!$C$16&gt;0,0,MIN(I384+J384-K384,MAX(0,'Debt strategy'!$C$5-SUM(E384,K384,Q384,W384,AC384)-SUM(IF(F384&lt;L384,C384+D384-E384,0),IF(R384&lt;L384,O384+P384-Q384,0),IF(X384&lt;L384,U384+V384-W384,0),IF(AD384&lt;L384,AA384+AB384-AC384,0)))))</x:f>
        <x:v>0</x:v>
      </x:c>
      <x:c r="N384" s="6" t="n">
        <x:f>ROUND(MAX(0,I384+J384-K384-M384),2)</x:f>
        <x:v>0</x:v>
      </x:c>
      <x:c r="O384" s="6" t="n">
        <x:f>T383</x:f>
        <x:v>0</x:v>
      </x:c>
      <x:c r="P384" s="6" t="n">
        <x:f>ROUND(O384*'Debt strategy'!$D$11/12,2)</x:f>
        <x:v>0</x:v>
      </x:c>
      <x:c r="Q384" s="6" t="n">
        <x:f>MIN(O384+P384,'Debt strategy'!$E$11)</x:f>
        <x:v>0</x:v>
      </x:c>
      <x:c r="R384" s="27" t="n">
        <x:f>IF(O384+P384-Q384&lt;=0,99,1+SUM(IF(AND(C384+D384-E384&gt;0,OR('Debt strategy'!$D$9&gt;'Debt strategy'!$D$11,AND('Debt strategy'!$D$9='Debt strategy'!$D$11,0&lt;2))),1,0),IF(AND(I384+J384-K384&gt;0,OR('Debt strategy'!$D$10&gt;'Debt strategy'!$D$11,AND('Debt strategy'!$D$10='Debt strategy'!$D$11,1&lt;2))),1,0),IF(AND(U384+V384-W384&gt;0,OR('Debt strategy'!$D$12&gt;'Debt strategy'!$D$11,AND('Debt strategy'!$D$12='Debt strategy'!$D$11,3&lt;2))),1,0),IF(AND(AA384+AB384-AC384&gt;0,OR('Debt strategy'!$D$13&gt;'Debt strategy'!$D$11,AND('Debt strategy'!$D$13='Debt strategy'!$D$11,4&lt;2))),1,0)))</x:f>
        <x:v>99</x:v>
      </x:c>
      <x:c r="S384" s="6" t="n">
        <x:f>IF('Debt strategy'!$C$16&gt;0,0,MIN(O384+P384-Q384,MAX(0,'Debt strategy'!$C$5-SUM(E384,K384,Q384,W384,AC384)-SUM(IF(F384&lt;R384,C384+D384-E384,0),IF(L384&lt;R384,I384+J384-K384,0),IF(X384&lt;R384,U384+V384-W384,0),IF(AD384&lt;R384,AA384+AB384-AC384,0)))))</x:f>
        <x:v>0</x:v>
      </x:c>
      <x:c r="T384" s="6" t="n">
        <x:f>ROUND(MAX(0,O384+P384-Q384-S384),2)</x:f>
        <x:v>0</x:v>
      </x:c>
      <x:c r="U384" s="6" t="n">
        <x:f>Z383</x:f>
        <x:v>0</x:v>
      </x:c>
      <x:c r="V384" s="6" t="n">
        <x:f>ROUND(U384*'Debt strategy'!$D$12/12,2)</x:f>
        <x:v>0</x:v>
      </x:c>
      <x:c r="W384" s="6" t="n">
        <x:f>MIN(U384+V384,'Debt strategy'!$E$12)</x:f>
        <x:v>0</x:v>
      </x:c>
      <x:c r="X384" s="27" t="n">
        <x:f>IF(U384+V384-W384&lt;=0,99,1+SUM(IF(AND(C384+D384-E384&gt;0,OR('Debt strategy'!$D$9&gt;'Debt strategy'!$D$12,AND('Debt strategy'!$D$9='Debt strategy'!$D$12,0&lt;3))),1,0),IF(AND(I384+J384-K384&gt;0,OR('Debt strategy'!$D$10&gt;'Debt strategy'!$D$12,AND('Debt strategy'!$D$10='Debt strategy'!$D$12,1&lt;3))),1,0),IF(AND(O384+P384-Q384&gt;0,OR('Debt strategy'!$D$11&gt;'Debt strategy'!$D$12,AND('Debt strategy'!$D$11='Debt strategy'!$D$12,2&lt;3))),1,0),IF(AND(AA384+AB384-AC384&gt;0,OR('Debt strategy'!$D$13&gt;'Debt strategy'!$D$12,AND('Debt strategy'!$D$13='Debt strategy'!$D$12,4&lt;3))),1,0)))</x:f>
        <x:v>99</x:v>
      </x:c>
      <x:c r="Y384" s="6" t="n">
        <x:f>IF('Debt strategy'!$C$16&gt;0,0,MIN(U384+V384-W384,MAX(0,'Debt strategy'!$C$5-SUM(E384,K384,Q384,W384,AC384)-SUM(IF(F384&lt;X384,C384+D384-E384,0),IF(L384&lt;X384,I384+J384-K384,0),IF(R384&lt;X384,O384+P384-Q384,0),IF(AD384&lt;X384,AA384+AB384-AC384,0)))))</x:f>
        <x:v>0</x:v>
      </x:c>
      <x:c r="Z384" s="6" t="n">
        <x:f>ROUND(MAX(0,U384+V384-W384-Y384),2)</x:f>
        <x:v>0</x:v>
      </x:c>
      <x:c r="AA384" s="6" t="n">
        <x:f>AF383</x:f>
        <x:v>0</x:v>
      </x:c>
      <x:c r="AB384" s="6" t="n">
        <x:f>ROUND(AA384*'Debt strategy'!$D$13/12,2)</x:f>
        <x:v>0</x:v>
      </x:c>
      <x:c r="AC384" s="6" t="n">
        <x:f>MIN(AA384+AB384,'Debt strategy'!$E$13)</x:f>
        <x:v>0</x:v>
      </x:c>
      <x:c r="AD384" s="27" t="n">
        <x:f>IF(AA384+AB384-AC384&lt;=0,99,1+SUM(IF(AND(C384+D384-E384&gt;0,OR('Debt strategy'!$D$9&gt;'Debt strategy'!$D$13,AND('Debt strategy'!$D$9='Debt strategy'!$D$13,0&lt;4))),1,0),IF(AND(I384+J384-K384&gt;0,OR('Debt strategy'!$D$10&gt;'Debt strategy'!$D$13,AND('Debt strategy'!$D$10='Debt strategy'!$D$13,1&lt;4))),1,0),IF(AND(O384+P384-Q384&gt;0,OR('Debt strategy'!$D$11&gt;'Debt strategy'!$D$13,AND('Debt strategy'!$D$11='Debt strategy'!$D$13,2&lt;4))),1,0),IF(AND(U384+V384-W384&gt;0,OR('Debt strategy'!$D$12&gt;'Debt strategy'!$D$13,AND('Debt strategy'!$D$12='Debt strategy'!$D$13,3&lt;4))),1,0)))</x:f>
        <x:v>99</x:v>
      </x:c>
      <x:c r="AE384" s="6" t="n">
        <x:f>IF('Debt strategy'!$C$16&gt;0,0,MIN(AA384+AB384-AC384,MAX(0,'Debt strategy'!$C$5-SUM(E384,K384,Q384,W384,AC384)-SUM(IF(F384&lt;AD384,C384+D384-E384,0),IF(L384&lt;AD384,I384+J384-K384,0),IF(R384&lt;AD384,O384+P384-Q384,0),IF(X384&lt;AD384,U384+V384-W384,0)))))</x:f>
        <x:v>0</x:v>
      </x:c>
      <x:c r="AF384" s="6" t="n">
        <x:f>ROUND(MAX(0,AA384+AB384-AC384-AE384),2)</x:f>
        <x:v>0</x:v>
      </x:c>
      <x:c r="AG384" s="6" t="n">
        <x:f>SUM(H384,N384,T384,Z384,AF384)</x:f>
        <x:v>0</x:v>
      </x:c>
      <x:c r="AH384" s="6" t="n">
        <x:f>SUM(D384,J384,P384,V384,AB384)+AH383</x:f>
        <x:v>1220.8400000000001</x:v>
      </x:c>
      <x:c r="AI384" s="2"/>
    </x:row>
    <x:row r="385" ht="23" customHeight="1">
      <x:c r="B385" s="2" t="n">
        <x:f>377</x:f>
        <x:v>377</x:v>
      </x:c>
      <x:c r="C385" s="6" t="n">
        <x:f>H384</x:f>
        <x:v>0</x:v>
      </x:c>
      <x:c r="D385" s="6" t="n">
        <x:f>ROUND(C385*'Debt strategy'!$D$9/12,2)</x:f>
        <x:v>0</x:v>
      </x:c>
      <x:c r="E385" s="6" t="n">
        <x:f>MIN(C385+D385,'Debt strategy'!$E$9)</x:f>
        <x:v>0</x:v>
      </x:c>
      <x:c r="F385" s="27" t="n">
        <x:f>IF(C385+D385-E385&lt;=0,99,1+SUM(IF(AND(I385+J385-K385&gt;0,OR('Debt strategy'!$D$10&gt;'Debt strategy'!$D$9,AND('Debt strategy'!$D$10='Debt strategy'!$D$9,1&lt;0))),1,0),IF(AND(O385+P385-Q385&gt;0,OR('Debt strategy'!$D$11&gt;'Debt strategy'!$D$9,AND('Debt strategy'!$D$11='Debt strategy'!$D$9,2&lt;0))),1,0),IF(AND(U385+V385-W385&gt;0,OR('Debt strategy'!$D$12&gt;'Debt strategy'!$D$9,AND('Debt strategy'!$D$12='Debt strategy'!$D$9,3&lt;0))),1,0),IF(AND(AA385+AB385-AC385&gt;0,OR('Debt strategy'!$D$13&gt;'Debt strategy'!$D$9,AND('Debt strategy'!$D$13='Debt strategy'!$D$9,4&lt;0))),1,0)))</x:f>
        <x:v>99</x:v>
      </x:c>
      <x:c r="G385" s="6" t="n">
        <x:f>IF('Debt strategy'!$C$16&gt;0,0,MIN(C385+D385-E385,MAX(0,'Debt strategy'!$C$5-SUM(E385,K385,Q385,W385,AC385)-SUM(IF(L385&lt;F385,I385+J385-K385,0),IF(R385&lt;F385,O385+P385-Q385,0),IF(X385&lt;F385,U385+V385-W385,0),IF(AD385&lt;F385,AA385+AB385-AC385,0)))))</x:f>
        <x:v>0</x:v>
      </x:c>
      <x:c r="H385" s="6" t="n">
        <x:f>ROUND(MAX(0,C385+D385-E385-G385),2)</x:f>
        <x:v>0</x:v>
      </x:c>
      <x:c r="I385" s="6" t="n">
        <x:f>N384</x:f>
        <x:v>0</x:v>
      </x:c>
      <x:c r="J385" s="6" t="n">
        <x:f>ROUND(I385*'Debt strategy'!$D$10/12,2)</x:f>
        <x:v>0</x:v>
      </x:c>
      <x:c r="K385" s="6" t="n">
        <x:f>MIN(I385+J385,'Debt strategy'!$E$10)</x:f>
        <x:v>0</x:v>
      </x:c>
      <x:c r="L385" s="27" t="n">
        <x:f>IF(I385+J385-K385&lt;=0,99,1+SUM(IF(AND(C385+D385-E385&gt;0,OR('Debt strategy'!$D$9&gt;'Debt strategy'!$D$10,AND('Debt strategy'!$D$9='Debt strategy'!$D$10,0&lt;1))),1,0),IF(AND(O385+P385-Q385&gt;0,OR('Debt strategy'!$D$11&gt;'Debt strategy'!$D$10,AND('Debt strategy'!$D$11='Debt strategy'!$D$10,2&lt;1))),1,0),IF(AND(U385+V385-W385&gt;0,OR('Debt strategy'!$D$12&gt;'Debt strategy'!$D$10,AND('Debt strategy'!$D$12='Debt strategy'!$D$10,3&lt;1))),1,0),IF(AND(AA385+AB385-AC385&gt;0,OR('Debt strategy'!$D$13&gt;'Debt strategy'!$D$10,AND('Debt strategy'!$D$13='Debt strategy'!$D$10,4&lt;1))),1,0)))</x:f>
        <x:v>99</x:v>
      </x:c>
      <x:c r="M385" s="6" t="n">
        <x:f>IF('Debt strategy'!$C$16&gt;0,0,MIN(I385+J385-K385,MAX(0,'Debt strategy'!$C$5-SUM(E385,K385,Q385,W385,AC385)-SUM(IF(F385&lt;L385,C385+D385-E385,0),IF(R385&lt;L385,O385+P385-Q385,0),IF(X385&lt;L385,U385+V385-W385,0),IF(AD385&lt;L385,AA385+AB385-AC385,0)))))</x:f>
        <x:v>0</x:v>
      </x:c>
      <x:c r="N385" s="6" t="n">
        <x:f>ROUND(MAX(0,I385+J385-K385-M385),2)</x:f>
        <x:v>0</x:v>
      </x:c>
      <x:c r="O385" s="6" t="n">
        <x:f>T384</x:f>
        <x:v>0</x:v>
      </x:c>
      <x:c r="P385" s="6" t="n">
        <x:f>ROUND(O385*'Debt strategy'!$D$11/12,2)</x:f>
        <x:v>0</x:v>
      </x:c>
      <x:c r="Q385" s="6" t="n">
        <x:f>MIN(O385+P385,'Debt strategy'!$E$11)</x:f>
        <x:v>0</x:v>
      </x:c>
      <x:c r="R385" s="27" t="n">
        <x:f>IF(O385+P385-Q385&lt;=0,99,1+SUM(IF(AND(C385+D385-E385&gt;0,OR('Debt strategy'!$D$9&gt;'Debt strategy'!$D$11,AND('Debt strategy'!$D$9='Debt strategy'!$D$11,0&lt;2))),1,0),IF(AND(I385+J385-K385&gt;0,OR('Debt strategy'!$D$10&gt;'Debt strategy'!$D$11,AND('Debt strategy'!$D$10='Debt strategy'!$D$11,1&lt;2))),1,0),IF(AND(U385+V385-W385&gt;0,OR('Debt strategy'!$D$12&gt;'Debt strategy'!$D$11,AND('Debt strategy'!$D$12='Debt strategy'!$D$11,3&lt;2))),1,0),IF(AND(AA385+AB385-AC385&gt;0,OR('Debt strategy'!$D$13&gt;'Debt strategy'!$D$11,AND('Debt strategy'!$D$13='Debt strategy'!$D$11,4&lt;2))),1,0)))</x:f>
        <x:v>99</x:v>
      </x:c>
      <x:c r="S385" s="6" t="n">
        <x:f>IF('Debt strategy'!$C$16&gt;0,0,MIN(O385+P385-Q385,MAX(0,'Debt strategy'!$C$5-SUM(E385,K385,Q385,W385,AC385)-SUM(IF(F385&lt;R385,C385+D385-E385,0),IF(L385&lt;R385,I385+J385-K385,0),IF(X385&lt;R385,U385+V385-W385,0),IF(AD385&lt;R385,AA385+AB385-AC385,0)))))</x:f>
        <x:v>0</x:v>
      </x:c>
      <x:c r="T385" s="6" t="n">
        <x:f>ROUND(MAX(0,O385+P385-Q385-S385),2)</x:f>
        <x:v>0</x:v>
      </x:c>
      <x:c r="U385" s="6" t="n">
        <x:f>Z384</x:f>
        <x:v>0</x:v>
      </x:c>
      <x:c r="V385" s="6" t="n">
        <x:f>ROUND(U385*'Debt strategy'!$D$12/12,2)</x:f>
        <x:v>0</x:v>
      </x:c>
      <x:c r="W385" s="6" t="n">
        <x:f>MIN(U385+V385,'Debt strategy'!$E$12)</x:f>
        <x:v>0</x:v>
      </x:c>
      <x:c r="X385" s="27" t="n">
        <x:f>IF(U385+V385-W385&lt;=0,99,1+SUM(IF(AND(C385+D385-E385&gt;0,OR('Debt strategy'!$D$9&gt;'Debt strategy'!$D$12,AND('Debt strategy'!$D$9='Debt strategy'!$D$12,0&lt;3))),1,0),IF(AND(I385+J385-K385&gt;0,OR('Debt strategy'!$D$10&gt;'Debt strategy'!$D$12,AND('Debt strategy'!$D$10='Debt strategy'!$D$12,1&lt;3))),1,0),IF(AND(O385+P385-Q385&gt;0,OR('Debt strategy'!$D$11&gt;'Debt strategy'!$D$12,AND('Debt strategy'!$D$11='Debt strategy'!$D$12,2&lt;3))),1,0),IF(AND(AA385+AB385-AC385&gt;0,OR('Debt strategy'!$D$13&gt;'Debt strategy'!$D$12,AND('Debt strategy'!$D$13='Debt strategy'!$D$12,4&lt;3))),1,0)))</x:f>
        <x:v>99</x:v>
      </x:c>
      <x:c r="Y385" s="6" t="n">
        <x:f>IF('Debt strategy'!$C$16&gt;0,0,MIN(U385+V385-W385,MAX(0,'Debt strategy'!$C$5-SUM(E385,K385,Q385,W385,AC385)-SUM(IF(F385&lt;X385,C385+D385-E385,0),IF(L385&lt;X385,I385+J385-K385,0),IF(R385&lt;X385,O385+P385-Q385,0),IF(AD385&lt;X385,AA385+AB385-AC385,0)))))</x:f>
        <x:v>0</x:v>
      </x:c>
      <x:c r="Z385" s="6" t="n">
        <x:f>ROUND(MAX(0,U385+V385-W385-Y385),2)</x:f>
        <x:v>0</x:v>
      </x:c>
      <x:c r="AA385" s="6" t="n">
        <x:f>AF384</x:f>
        <x:v>0</x:v>
      </x:c>
      <x:c r="AB385" s="6" t="n">
        <x:f>ROUND(AA385*'Debt strategy'!$D$13/12,2)</x:f>
        <x:v>0</x:v>
      </x:c>
      <x:c r="AC385" s="6" t="n">
        <x:f>MIN(AA385+AB385,'Debt strategy'!$E$13)</x:f>
        <x:v>0</x:v>
      </x:c>
      <x:c r="AD385" s="27" t="n">
        <x:f>IF(AA385+AB385-AC385&lt;=0,99,1+SUM(IF(AND(C385+D385-E385&gt;0,OR('Debt strategy'!$D$9&gt;'Debt strategy'!$D$13,AND('Debt strategy'!$D$9='Debt strategy'!$D$13,0&lt;4))),1,0),IF(AND(I385+J385-K385&gt;0,OR('Debt strategy'!$D$10&gt;'Debt strategy'!$D$13,AND('Debt strategy'!$D$10='Debt strategy'!$D$13,1&lt;4))),1,0),IF(AND(O385+P385-Q385&gt;0,OR('Debt strategy'!$D$11&gt;'Debt strategy'!$D$13,AND('Debt strategy'!$D$11='Debt strategy'!$D$13,2&lt;4))),1,0),IF(AND(U385+V385-W385&gt;0,OR('Debt strategy'!$D$12&gt;'Debt strategy'!$D$13,AND('Debt strategy'!$D$12='Debt strategy'!$D$13,3&lt;4))),1,0)))</x:f>
        <x:v>99</x:v>
      </x:c>
      <x:c r="AE385" s="6" t="n">
        <x:f>IF('Debt strategy'!$C$16&gt;0,0,MIN(AA385+AB385-AC385,MAX(0,'Debt strategy'!$C$5-SUM(E385,K385,Q385,W385,AC385)-SUM(IF(F385&lt;AD385,C385+D385-E385,0),IF(L385&lt;AD385,I385+J385-K385,0),IF(R385&lt;AD385,O385+P385-Q385,0),IF(X385&lt;AD385,U385+V385-W385,0)))))</x:f>
        <x:v>0</x:v>
      </x:c>
      <x:c r="AF385" s="6" t="n">
        <x:f>ROUND(MAX(0,AA385+AB385-AC385-AE385),2)</x:f>
        <x:v>0</x:v>
      </x:c>
      <x:c r="AG385" s="6" t="n">
        <x:f>SUM(H385,N385,T385,Z385,AF385)</x:f>
        <x:v>0</x:v>
      </x:c>
      <x:c r="AH385" s="6" t="n">
        <x:f>SUM(D385,J385,P385,V385,AB385)+AH384</x:f>
        <x:v>1220.8400000000001</x:v>
      </x:c>
      <x:c r="AI385" s="2"/>
    </x:row>
    <x:row r="386" ht="23" customHeight="1">
      <x:c r="B386" s="2" t="n">
        <x:f>378</x:f>
        <x:v>378</x:v>
      </x:c>
      <x:c r="C386" s="6" t="n">
        <x:f>H385</x:f>
        <x:v>0</x:v>
      </x:c>
      <x:c r="D386" s="6" t="n">
        <x:f>ROUND(C386*'Debt strategy'!$D$9/12,2)</x:f>
        <x:v>0</x:v>
      </x:c>
      <x:c r="E386" s="6" t="n">
        <x:f>MIN(C386+D386,'Debt strategy'!$E$9)</x:f>
        <x:v>0</x:v>
      </x:c>
      <x:c r="F386" s="27" t="n">
        <x:f>IF(C386+D386-E386&lt;=0,99,1+SUM(IF(AND(I386+J386-K386&gt;0,OR('Debt strategy'!$D$10&gt;'Debt strategy'!$D$9,AND('Debt strategy'!$D$10='Debt strategy'!$D$9,1&lt;0))),1,0),IF(AND(O386+P386-Q386&gt;0,OR('Debt strategy'!$D$11&gt;'Debt strategy'!$D$9,AND('Debt strategy'!$D$11='Debt strategy'!$D$9,2&lt;0))),1,0),IF(AND(U386+V386-W386&gt;0,OR('Debt strategy'!$D$12&gt;'Debt strategy'!$D$9,AND('Debt strategy'!$D$12='Debt strategy'!$D$9,3&lt;0))),1,0),IF(AND(AA386+AB386-AC386&gt;0,OR('Debt strategy'!$D$13&gt;'Debt strategy'!$D$9,AND('Debt strategy'!$D$13='Debt strategy'!$D$9,4&lt;0))),1,0)))</x:f>
        <x:v>99</x:v>
      </x:c>
      <x:c r="G386" s="6" t="n">
        <x:f>IF('Debt strategy'!$C$16&gt;0,0,MIN(C386+D386-E386,MAX(0,'Debt strategy'!$C$5-SUM(E386,K386,Q386,W386,AC386)-SUM(IF(L386&lt;F386,I386+J386-K386,0),IF(R386&lt;F386,O386+P386-Q386,0),IF(X386&lt;F386,U386+V386-W386,0),IF(AD386&lt;F386,AA386+AB386-AC386,0)))))</x:f>
        <x:v>0</x:v>
      </x:c>
      <x:c r="H386" s="6" t="n">
        <x:f>ROUND(MAX(0,C386+D386-E386-G386),2)</x:f>
        <x:v>0</x:v>
      </x:c>
      <x:c r="I386" s="6" t="n">
        <x:f>N385</x:f>
        <x:v>0</x:v>
      </x:c>
      <x:c r="J386" s="6" t="n">
        <x:f>ROUND(I386*'Debt strategy'!$D$10/12,2)</x:f>
        <x:v>0</x:v>
      </x:c>
      <x:c r="K386" s="6" t="n">
        <x:f>MIN(I386+J386,'Debt strategy'!$E$10)</x:f>
        <x:v>0</x:v>
      </x:c>
      <x:c r="L386" s="27" t="n">
        <x:f>IF(I386+J386-K386&lt;=0,99,1+SUM(IF(AND(C386+D386-E386&gt;0,OR('Debt strategy'!$D$9&gt;'Debt strategy'!$D$10,AND('Debt strategy'!$D$9='Debt strategy'!$D$10,0&lt;1))),1,0),IF(AND(O386+P386-Q386&gt;0,OR('Debt strategy'!$D$11&gt;'Debt strategy'!$D$10,AND('Debt strategy'!$D$11='Debt strategy'!$D$10,2&lt;1))),1,0),IF(AND(U386+V386-W386&gt;0,OR('Debt strategy'!$D$12&gt;'Debt strategy'!$D$10,AND('Debt strategy'!$D$12='Debt strategy'!$D$10,3&lt;1))),1,0),IF(AND(AA386+AB386-AC386&gt;0,OR('Debt strategy'!$D$13&gt;'Debt strategy'!$D$10,AND('Debt strategy'!$D$13='Debt strategy'!$D$10,4&lt;1))),1,0)))</x:f>
        <x:v>99</x:v>
      </x:c>
      <x:c r="M386" s="6" t="n">
        <x:f>IF('Debt strategy'!$C$16&gt;0,0,MIN(I386+J386-K386,MAX(0,'Debt strategy'!$C$5-SUM(E386,K386,Q386,W386,AC386)-SUM(IF(F386&lt;L386,C386+D386-E386,0),IF(R386&lt;L386,O386+P386-Q386,0),IF(X386&lt;L386,U386+V386-W386,0),IF(AD386&lt;L386,AA386+AB386-AC386,0)))))</x:f>
        <x:v>0</x:v>
      </x:c>
      <x:c r="N386" s="6" t="n">
        <x:f>ROUND(MAX(0,I386+J386-K386-M386),2)</x:f>
        <x:v>0</x:v>
      </x:c>
      <x:c r="O386" s="6" t="n">
        <x:f>T385</x:f>
        <x:v>0</x:v>
      </x:c>
      <x:c r="P386" s="6" t="n">
        <x:f>ROUND(O386*'Debt strategy'!$D$11/12,2)</x:f>
        <x:v>0</x:v>
      </x:c>
      <x:c r="Q386" s="6" t="n">
        <x:f>MIN(O386+P386,'Debt strategy'!$E$11)</x:f>
        <x:v>0</x:v>
      </x:c>
      <x:c r="R386" s="27" t="n">
        <x:f>IF(O386+P386-Q386&lt;=0,99,1+SUM(IF(AND(C386+D386-E386&gt;0,OR('Debt strategy'!$D$9&gt;'Debt strategy'!$D$11,AND('Debt strategy'!$D$9='Debt strategy'!$D$11,0&lt;2))),1,0),IF(AND(I386+J386-K386&gt;0,OR('Debt strategy'!$D$10&gt;'Debt strategy'!$D$11,AND('Debt strategy'!$D$10='Debt strategy'!$D$11,1&lt;2))),1,0),IF(AND(U386+V386-W386&gt;0,OR('Debt strategy'!$D$12&gt;'Debt strategy'!$D$11,AND('Debt strategy'!$D$12='Debt strategy'!$D$11,3&lt;2))),1,0),IF(AND(AA386+AB386-AC386&gt;0,OR('Debt strategy'!$D$13&gt;'Debt strategy'!$D$11,AND('Debt strategy'!$D$13='Debt strategy'!$D$11,4&lt;2))),1,0)))</x:f>
        <x:v>99</x:v>
      </x:c>
      <x:c r="S386" s="6" t="n">
        <x:f>IF('Debt strategy'!$C$16&gt;0,0,MIN(O386+P386-Q386,MAX(0,'Debt strategy'!$C$5-SUM(E386,K386,Q386,W386,AC386)-SUM(IF(F386&lt;R386,C386+D386-E386,0),IF(L386&lt;R386,I386+J386-K386,0),IF(X386&lt;R386,U386+V386-W386,0),IF(AD386&lt;R386,AA386+AB386-AC386,0)))))</x:f>
        <x:v>0</x:v>
      </x:c>
      <x:c r="T386" s="6" t="n">
        <x:f>ROUND(MAX(0,O386+P386-Q386-S386),2)</x:f>
        <x:v>0</x:v>
      </x:c>
      <x:c r="U386" s="6" t="n">
        <x:f>Z385</x:f>
        <x:v>0</x:v>
      </x:c>
      <x:c r="V386" s="6" t="n">
        <x:f>ROUND(U386*'Debt strategy'!$D$12/12,2)</x:f>
        <x:v>0</x:v>
      </x:c>
      <x:c r="W386" s="6" t="n">
        <x:f>MIN(U386+V386,'Debt strategy'!$E$12)</x:f>
        <x:v>0</x:v>
      </x:c>
      <x:c r="X386" s="27" t="n">
        <x:f>IF(U386+V386-W386&lt;=0,99,1+SUM(IF(AND(C386+D386-E386&gt;0,OR('Debt strategy'!$D$9&gt;'Debt strategy'!$D$12,AND('Debt strategy'!$D$9='Debt strategy'!$D$12,0&lt;3))),1,0),IF(AND(I386+J386-K386&gt;0,OR('Debt strategy'!$D$10&gt;'Debt strategy'!$D$12,AND('Debt strategy'!$D$10='Debt strategy'!$D$12,1&lt;3))),1,0),IF(AND(O386+P386-Q386&gt;0,OR('Debt strategy'!$D$11&gt;'Debt strategy'!$D$12,AND('Debt strategy'!$D$11='Debt strategy'!$D$12,2&lt;3))),1,0),IF(AND(AA386+AB386-AC386&gt;0,OR('Debt strategy'!$D$13&gt;'Debt strategy'!$D$12,AND('Debt strategy'!$D$13='Debt strategy'!$D$12,4&lt;3))),1,0)))</x:f>
        <x:v>99</x:v>
      </x:c>
      <x:c r="Y386" s="6" t="n">
        <x:f>IF('Debt strategy'!$C$16&gt;0,0,MIN(U386+V386-W386,MAX(0,'Debt strategy'!$C$5-SUM(E386,K386,Q386,W386,AC386)-SUM(IF(F386&lt;X386,C386+D386-E386,0),IF(L386&lt;X386,I386+J386-K386,0),IF(R386&lt;X386,O386+P386-Q386,0),IF(AD386&lt;X386,AA386+AB386-AC386,0)))))</x:f>
        <x:v>0</x:v>
      </x:c>
      <x:c r="Z386" s="6" t="n">
        <x:f>ROUND(MAX(0,U386+V386-W386-Y386),2)</x:f>
        <x:v>0</x:v>
      </x:c>
      <x:c r="AA386" s="6" t="n">
        <x:f>AF385</x:f>
        <x:v>0</x:v>
      </x:c>
      <x:c r="AB386" s="6" t="n">
        <x:f>ROUND(AA386*'Debt strategy'!$D$13/12,2)</x:f>
        <x:v>0</x:v>
      </x:c>
      <x:c r="AC386" s="6" t="n">
        <x:f>MIN(AA386+AB386,'Debt strategy'!$E$13)</x:f>
        <x:v>0</x:v>
      </x:c>
      <x:c r="AD386" s="27" t="n">
        <x:f>IF(AA386+AB386-AC386&lt;=0,99,1+SUM(IF(AND(C386+D386-E386&gt;0,OR('Debt strategy'!$D$9&gt;'Debt strategy'!$D$13,AND('Debt strategy'!$D$9='Debt strategy'!$D$13,0&lt;4))),1,0),IF(AND(I386+J386-K386&gt;0,OR('Debt strategy'!$D$10&gt;'Debt strategy'!$D$13,AND('Debt strategy'!$D$10='Debt strategy'!$D$13,1&lt;4))),1,0),IF(AND(O386+P386-Q386&gt;0,OR('Debt strategy'!$D$11&gt;'Debt strategy'!$D$13,AND('Debt strategy'!$D$11='Debt strategy'!$D$13,2&lt;4))),1,0),IF(AND(U386+V386-W386&gt;0,OR('Debt strategy'!$D$12&gt;'Debt strategy'!$D$13,AND('Debt strategy'!$D$12='Debt strategy'!$D$13,3&lt;4))),1,0)))</x:f>
        <x:v>99</x:v>
      </x:c>
      <x:c r="AE386" s="6" t="n">
        <x:f>IF('Debt strategy'!$C$16&gt;0,0,MIN(AA386+AB386-AC386,MAX(0,'Debt strategy'!$C$5-SUM(E386,K386,Q386,W386,AC386)-SUM(IF(F386&lt;AD386,C386+D386-E386,0),IF(L386&lt;AD386,I386+J386-K386,0),IF(R386&lt;AD386,O386+P386-Q386,0),IF(X386&lt;AD386,U386+V386-W386,0)))))</x:f>
        <x:v>0</x:v>
      </x:c>
      <x:c r="AF386" s="6" t="n">
        <x:f>ROUND(MAX(0,AA386+AB386-AC386-AE386),2)</x:f>
        <x:v>0</x:v>
      </x:c>
      <x:c r="AG386" s="6" t="n">
        <x:f>SUM(H386,N386,T386,Z386,AF386)</x:f>
        <x:v>0</x:v>
      </x:c>
      <x:c r="AH386" s="6" t="n">
        <x:f>SUM(D386,J386,P386,V386,AB386)+AH385</x:f>
        <x:v>1220.8400000000001</x:v>
      </x:c>
      <x:c r="AI386" s="2"/>
    </x:row>
    <x:row r="387" ht="23" customHeight="1">
      <x:c r="B387" s="2" t="n">
        <x:f>379</x:f>
        <x:v>379</x:v>
      </x:c>
      <x:c r="C387" s="6" t="n">
        <x:f>H386</x:f>
        <x:v>0</x:v>
      </x:c>
      <x:c r="D387" s="6" t="n">
        <x:f>ROUND(C387*'Debt strategy'!$D$9/12,2)</x:f>
        <x:v>0</x:v>
      </x:c>
      <x:c r="E387" s="6" t="n">
        <x:f>MIN(C387+D387,'Debt strategy'!$E$9)</x:f>
        <x:v>0</x:v>
      </x:c>
      <x:c r="F387" s="27" t="n">
        <x:f>IF(C387+D387-E387&lt;=0,99,1+SUM(IF(AND(I387+J387-K387&gt;0,OR('Debt strategy'!$D$10&gt;'Debt strategy'!$D$9,AND('Debt strategy'!$D$10='Debt strategy'!$D$9,1&lt;0))),1,0),IF(AND(O387+P387-Q387&gt;0,OR('Debt strategy'!$D$11&gt;'Debt strategy'!$D$9,AND('Debt strategy'!$D$11='Debt strategy'!$D$9,2&lt;0))),1,0),IF(AND(U387+V387-W387&gt;0,OR('Debt strategy'!$D$12&gt;'Debt strategy'!$D$9,AND('Debt strategy'!$D$12='Debt strategy'!$D$9,3&lt;0))),1,0),IF(AND(AA387+AB387-AC387&gt;0,OR('Debt strategy'!$D$13&gt;'Debt strategy'!$D$9,AND('Debt strategy'!$D$13='Debt strategy'!$D$9,4&lt;0))),1,0)))</x:f>
        <x:v>99</x:v>
      </x:c>
      <x:c r="G387" s="6" t="n">
        <x:f>IF('Debt strategy'!$C$16&gt;0,0,MIN(C387+D387-E387,MAX(0,'Debt strategy'!$C$5-SUM(E387,K387,Q387,W387,AC387)-SUM(IF(L387&lt;F387,I387+J387-K387,0),IF(R387&lt;F387,O387+P387-Q387,0),IF(X387&lt;F387,U387+V387-W387,0),IF(AD387&lt;F387,AA387+AB387-AC387,0)))))</x:f>
        <x:v>0</x:v>
      </x:c>
      <x:c r="H387" s="6" t="n">
        <x:f>ROUND(MAX(0,C387+D387-E387-G387),2)</x:f>
        <x:v>0</x:v>
      </x:c>
      <x:c r="I387" s="6" t="n">
        <x:f>N386</x:f>
        <x:v>0</x:v>
      </x:c>
      <x:c r="J387" s="6" t="n">
        <x:f>ROUND(I387*'Debt strategy'!$D$10/12,2)</x:f>
        <x:v>0</x:v>
      </x:c>
      <x:c r="K387" s="6" t="n">
        <x:f>MIN(I387+J387,'Debt strategy'!$E$10)</x:f>
        <x:v>0</x:v>
      </x:c>
      <x:c r="L387" s="27" t="n">
        <x:f>IF(I387+J387-K387&lt;=0,99,1+SUM(IF(AND(C387+D387-E387&gt;0,OR('Debt strategy'!$D$9&gt;'Debt strategy'!$D$10,AND('Debt strategy'!$D$9='Debt strategy'!$D$10,0&lt;1))),1,0),IF(AND(O387+P387-Q387&gt;0,OR('Debt strategy'!$D$11&gt;'Debt strategy'!$D$10,AND('Debt strategy'!$D$11='Debt strategy'!$D$10,2&lt;1))),1,0),IF(AND(U387+V387-W387&gt;0,OR('Debt strategy'!$D$12&gt;'Debt strategy'!$D$10,AND('Debt strategy'!$D$12='Debt strategy'!$D$10,3&lt;1))),1,0),IF(AND(AA387+AB387-AC387&gt;0,OR('Debt strategy'!$D$13&gt;'Debt strategy'!$D$10,AND('Debt strategy'!$D$13='Debt strategy'!$D$10,4&lt;1))),1,0)))</x:f>
        <x:v>99</x:v>
      </x:c>
      <x:c r="M387" s="6" t="n">
        <x:f>IF('Debt strategy'!$C$16&gt;0,0,MIN(I387+J387-K387,MAX(0,'Debt strategy'!$C$5-SUM(E387,K387,Q387,W387,AC387)-SUM(IF(F387&lt;L387,C387+D387-E387,0),IF(R387&lt;L387,O387+P387-Q387,0),IF(X387&lt;L387,U387+V387-W387,0),IF(AD387&lt;L387,AA387+AB387-AC387,0)))))</x:f>
        <x:v>0</x:v>
      </x:c>
      <x:c r="N387" s="6" t="n">
        <x:f>ROUND(MAX(0,I387+J387-K387-M387),2)</x:f>
        <x:v>0</x:v>
      </x:c>
      <x:c r="O387" s="6" t="n">
        <x:f>T386</x:f>
        <x:v>0</x:v>
      </x:c>
      <x:c r="P387" s="6" t="n">
        <x:f>ROUND(O387*'Debt strategy'!$D$11/12,2)</x:f>
        <x:v>0</x:v>
      </x:c>
      <x:c r="Q387" s="6" t="n">
        <x:f>MIN(O387+P387,'Debt strategy'!$E$11)</x:f>
        <x:v>0</x:v>
      </x:c>
      <x:c r="R387" s="27" t="n">
        <x:f>IF(O387+P387-Q387&lt;=0,99,1+SUM(IF(AND(C387+D387-E387&gt;0,OR('Debt strategy'!$D$9&gt;'Debt strategy'!$D$11,AND('Debt strategy'!$D$9='Debt strategy'!$D$11,0&lt;2))),1,0),IF(AND(I387+J387-K387&gt;0,OR('Debt strategy'!$D$10&gt;'Debt strategy'!$D$11,AND('Debt strategy'!$D$10='Debt strategy'!$D$11,1&lt;2))),1,0),IF(AND(U387+V387-W387&gt;0,OR('Debt strategy'!$D$12&gt;'Debt strategy'!$D$11,AND('Debt strategy'!$D$12='Debt strategy'!$D$11,3&lt;2))),1,0),IF(AND(AA387+AB387-AC387&gt;0,OR('Debt strategy'!$D$13&gt;'Debt strategy'!$D$11,AND('Debt strategy'!$D$13='Debt strategy'!$D$11,4&lt;2))),1,0)))</x:f>
        <x:v>99</x:v>
      </x:c>
      <x:c r="S387" s="6" t="n">
        <x:f>IF('Debt strategy'!$C$16&gt;0,0,MIN(O387+P387-Q387,MAX(0,'Debt strategy'!$C$5-SUM(E387,K387,Q387,W387,AC387)-SUM(IF(F387&lt;R387,C387+D387-E387,0),IF(L387&lt;R387,I387+J387-K387,0),IF(X387&lt;R387,U387+V387-W387,0),IF(AD387&lt;R387,AA387+AB387-AC387,0)))))</x:f>
        <x:v>0</x:v>
      </x:c>
      <x:c r="T387" s="6" t="n">
        <x:f>ROUND(MAX(0,O387+P387-Q387-S387),2)</x:f>
        <x:v>0</x:v>
      </x:c>
      <x:c r="U387" s="6" t="n">
        <x:f>Z386</x:f>
        <x:v>0</x:v>
      </x:c>
      <x:c r="V387" s="6" t="n">
        <x:f>ROUND(U387*'Debt strategy'!$D$12/12,2)</x:f>
        <x:v>0</x:v>
      </x:c>
      <x:c r="W387" s="6" t="n">
        <x:f>MIN(U387+V387,'Debt strategy'!$E$12)</x:f>
        <x:v>0</x:v>
      </x:c>
      <x:c r="X387" s="27" t="n">
        <x:f>IF(U387+V387-W387&lt;=0,99,1+SUM(IF(AND(C387+D387-E387&gt;0,OR('Debt strategy'!$D$9&gt;'Debt strategy'!$D$12,AND('Debt strategy'!$D$9='Debt strategy'!$D$12,0&lt;3))),1,0),IF(AND(I387+J387-K387&gt;0,OR('Debt strategy'!$D$10&gt;'Debt strategy'!$D$12,AND('Debt strategy'!$D$10='Debt strategy'!$D$12,1&lt;3))),1,0),IF(AND(O387+P387-Q387&gt;0,OR('Debt strategy'!$D$11&gt;'Debt strategy'!$D$12,AND('Debt strategy'!$D$11='Debt strategy'!$D$12,2&lt;3))),1,0),IF(AND(AA387+AB387-AC387&gt;0,OR('Debt strategy'!$D$13&gt;'Debt strategy'!$D$12,AND('Debt strategy'!$D$13='Debt strategy'!$D$12,4&lt;3))),1,0)))</x:f>
        <x:v>99</x:v>
      </x:c>
      <x:c r="Y387" s="6" t="n">
        <x:f>IF('Debt strategy'!$C$16&gt;0,0,MIN(U387+V387-W387,MAX(0,'Debt strategy'!$C$5-SUM(E387,K387,Q387,W387,AC387)-SUM(IF(F387&lt;X387,C387+D387-E387,0),IF(L387&lt;X387,I387+J387-K387,0),IF(R387&lt;X387,O387+P387-Q387,0),IF(AD387&lt;X387,AA387+AB387-AC387,0)))))</x:f>
        <x:v>0</x:v>
      </x:c>
      <x:c r="Z387" s="6" t="n">
        <x:f>ROUND(MAX(0,U387+V387-W387-Y387),2)</x:f>
        <x:v>0</x:v>
      </x:c>
      <x:c r="AA387" s="6" t="n">
        <x:f>AF386</x:f>
        <x:v>0</x:v>
      </x:c>
      <x:c r="AB387" s="6" t="n">
        <x:f>ROUND(AA387*'Debt strategy'!$D$13/12,2)</x:f>
        <x:v>0</x:v>
      </x:c>
      <x:c r="AC387" s="6" t="n">
        <x:f>MIN(AA387+AB387,'Debt strategy'!$E$13)</x:f>
        <x:v>0</x:v>
      </x:c>
      <x:c r="AD387" s="27" t="n">
        <x:f>IF(AA387+AB387-AC387&lt;=0,99,1+SUM(IF(AND(C387+D387-E387&gt;0,OR('Debt strategy'!$D$9&gt;'Debt strategy'!$D$13,AND('Debt strategy'!$D$9='Debt strategy'!$D$13,0&lt;4))),1,0),IF(AND(I387+J387-K387&gt;0,OR('Debt strategy'!$D$10&gt;'Debt strategy'!$D$13,AND('Debt strategy'!$D$10='Debt strategy'!$D$13,1&lt;4))),1,0),IF(AND(O387+P387-Q387&gt;0,OR('Debt strategy'!$D$11&gt;'Debt strategy'!$D$13,AND('Debt strategy'!$D$11='Debt strategy'!$D$13,2&lt;4))),1,0),IF(AND(U387+V387-W387&gt;0,OR('Debt strategy'!$D$12&gt;'Debt strategy'!$D$13,AND('Debt strategy'!$D$12='Debt strategy'!$D$13,3&lt;4))),1,0)))</x:f>
        <x:v>99</x:v>
      </x:c>
      <x:c r="AE387" s="6" t="n">
        <x:f>IF('Debt strategy'!$C$16&gt;0,0,MIN(AA387+AB387-AC387,MAX(0,'Debt strategy'!$C$5-SUM(E387,K387,Q387,W387,AC387)-SUM(IF(F387&lt;AD387,C387+D387-E387,0),IF(L387&lt;AD387,I387+J387-K387,0),IF(R387&lt;AD387,O387+P387-Q387,0),IF(X387&lt;AD387,U387+V387-W387,0)))))</x:f>
        <x:v>0</x:v>
      </x:c>
      <x:c r="AF387" s="6" t="n">
        <x:f>ROUND(MAX(0,AA387+AB387-AC387-AE387),2)</x:f>
        <x:v>0</x:v>
      </x:c>
      <x:c r="AG387" s="6" t="n">
        <x:f>SUM(H387,N387,T387,Z387,AF387)</x:f>
        <x:v>0</x:v>
      </x:c>
      <x:c r="AH387" s="6" t="n">
        <x:f>SUM(D387,J387,P387,V387,AB387)+AH386</x:f>
        <x:v>1220.8400000000001</x:v>
      </x:c>
      <x:c r="AI387" s="2"/>
    </x:row>
    <x:row r="388" ht="23" customHeight="1">
      <x:c r="B388" s="2" t="n">
        <x:f>380</x:f>
        <x:v>380</x:v>
      </x:c>
      <x:c r="C388" s="6" t="n">
        <x:f>H387</x:f>
        <x:v>0</x:v>
      </x:c>
      <x:c r="D388" s="6" t="n">
        <x:f>ROUND(C388*'Debt strategy'!$D$9/12,2)</x:f>
        <x:v>0</x:v>
      </x:c>
      <x:c r="E388" s="6" t="n">
        <x:f>MIN(C388+D388,'Debt strategy'!$E$9)</x:f>
        <x:v>0</x:v>
      </x:c>
      <x:c r="F388" s="27" t="n">
        <x:f>IF(C388+D388-E388&lt;=0,99,1+SUM(IF(AND(I388+J388-K388&gt;0,OR('Debt strategy'!$D$10&gt;'Debt strategy'!$D$9,AND('Debt strategy'!$D$10='Debt strategy'!$D$9,1&lt;0))),1,0),IF(AND(O388+P388-Q388&gt;0,OR('Debt strategy'!$D$11&gt;'Debt strategy'!$D$9,AND('Debt strategy'!$D$11='Debt strategy'!$D$9,2&lt;0))),1,0),IF(AND(U388+V388-W388&gt;0,OR('Debt strategy'!$D$12&gt;'Debt strategy'!$D$9,AND('Debt strategy'!$D$12='Debt strategy'!$D$9,3&lt;0))),1,0),IF(AND(AA388+AB388-AC388&gt;0,OR('Debt strategy'!$D$13&gt;'Debt strategy'!$D$9,AND('Debt strategy'!$D$13='Debt strategy'!$D$9,4&lt;0))),1,0)))</x:f>
        <x:v>99</x:v>
      </x:c>
      <x:c r="G388" s="6" t="n">
        <x:f>IF('Debt strategy'!$C$16&gt;0,0,MIN(C388+D388-E388,MAX(0,'Debt strategy'!$C$5-SUM(E388,K388,Q388,W388,AC388)-SUM(IF(L388&lt;F388,I388+J388-K388,0),IF(R388&lt;F388,O388+P388-Q388,0),IF(X388&lt;F388,U388+V388-W388,0),IF(AD388&lt;F388,AA388+AB388-AC388,0)))))</x:f>
        <x:v>0</x:v>
      </x:c>
      <x:c r="H388" s="6" t="n">
        <x:f>ROUND(MAX(0,C388+D388-E388-G388),2)</x:f>
        <x:v>0</x:v>
      </x:c>
      <x:c r="I388" s="6" t="n">
        <x:f>N387</x:f>
        <x:v>0</x:v>
      </x:c>
      <x:c r="J388" s="6" t="n">
        <x:f>ROUND(I388*'Debt strategy'!$D$10/12,2)</x:f>
        <x:v>0</x:v>
      </x:c>
      <x:c r="K388" s="6" t="n">
        <x:f>MIN(I388+J388,'Debt strategy'!$E$10)</x:f>
        <x:v>0</x:v>
      </x:c>
      <x:c r="L388" s="27" t="n">
        <x:f>IF(I388+J388-K388&lt;=0,99,1+SUM(IF(AND(C388+D388-E388&gt;0,OR('Debt strategy'!$D$9&gt;'Debt strategy'!$D$10,AND('Debt strategy'!$D$9='Debt strategy'!$D$10,0&lt;1))),1,0),IF(AND(O388+P388-Q388&gt;0,OR('Debt strategy'!$D$11&gt;'Debt strategy'!$D$10,AND('Debt strategy'!$D$11='Debt strategy'!$D$10,2&lt;1))),1,0),IF(AND(U388+V388-W388&gt;0,OR('Debt strategy'!$D$12&gt;'Debt strategy'!$D$10,AND('Debt strategy'!$D$12='Debt strategy'!$D$10,3&lt;1))),1,0),IF(AND(AA388+AB388-AC388&gt;0,OR('Debt strategy'!$D$13&gt;'Debt strategy'!$D$10,AND('Debt strategy'!$D$13='Debt strategy'!$D$10,4&lt;1))),1,0)))</x:f>
        <x:v>99</x:v>
      </x:c>
      <x:c r="M388" s="6" t="n">
        <x:f>IF('Debt strategy'!$C$16&gt;0,0,MIN(I388+J388-K388,MAX(0,'Debt strategy'!$C$5-SUM(E388,K388,Q388,W388,AC388)-SUM(IF(F388&lt;L388,C388+D388-E388,0),IF(R388&lt;L388,O388+P388-Q388,0),IF(X388&lt;L388,U388+V388-W388,0),IF(AD388&lt;L388,AA388+AB388-AC388,0)))))</x:f>
        <x:v>0</x:v>
      </x:c>
      <x:c r="N388" s="6" t="n">
        <x:f>ROUND(MAX(0,I388+J388-K388-M388),2)</x:f>
        <x:v>0</x:v>
      </x:c>
      <x:c r="O388" s="6" t="n">
        <x:f>T387</x:f>
        <x:v>0</x:v>
      </x:c>
      <x:c r="P388" s="6" t="n">
        <x:f>ROUND(O388*'Debt strategy'!$D$11/12,2)</x:f>
        <x:v>0</x:v>
      </x:c>
      <x:c r="Q388" s="6" t="n">
        <x:f>MIN(O388+P388,'Debt strategy'!$E$11)</x:f>
        <x:v>0</x:v>
      </x:c>
      <x:c r="R388" s="27" t="n">
        <x:f>IF(O388+P388-Q388&lt;=0,99,1+SUM(IF(AND(C388+D388-E388&gt;0,OR('Debt strategy'!$D$9&gt;'Debt strategy'!$D$11,AND('Debt strategy'!$D$9='Debt strategy'!$D$11,0&lt;2))),1,0),IF(AND(I388+J388-K388&gt;0,OR('Debt strategy'!$D$10&gt;'Debt strategy'!$D$11,AND('Debt strategy'!$D$10='Debt strategy'!$D$11,1&lt;2))),1,0),IF(AND(U388+V388-W388&gt;0,OR('Debt strategy'!$D$12&gt;'Debt strategy'!$D$11,AND('Debt strategy'!$D$12='Debt strategy'!$D$11,3&lt;2))),1,0),IF(AND(AA388+AB388-AC388&gt;0,OR('Debt strategy'!$D$13&gt;'Debt strategy'!$D$11,AND('Debt strategy'!$D$13='Debt strategy'!$D$11,4&lt;2))),1,0)))</x:f>
        <x:v>99</x:v>
      </x:c>
      <x:c r="S388" s="6" t="n">
        <x:f>IF('Debt strategy'!$C$16&gt;0,0,MIN(O388+P388-Q388,MAX(0,'Debt strategy'!$C$5-SUM(E388,K388,Q388,W388,AC388)-SUM(IF(F388&lt;R388,C388+D388-E388,0),IF(L388&lt;R388,I388+J388-K388,0),IF(X388&lt;R388,U388+V388-W388,0),IF(AD388&lt;R388,AA388+AB388-AC388,0)))))</x:f>
        <x:v>0</x:v>
      </x:c>
      <x:c r="T388" s="6" t="n">
        <x:f>ROUND(MAX(0,O388+P388-Q388-S388),2)</x:f>
        <x:v>0</x:v>
      </x:c>
      <x:c r="U388" s="6" t="n">
        <x:f>Z387</x:f>
        <x:v>0</x:v>
      </x:c>
      <x:c r="V388" s="6" t="n">
        <x:f>ROUND(U388*'Debt strategy'!$D$12/12,2)</x:f>
        <x:v>0</x:v>
      </x:c>
      <x:c r="W388" s="6" t="n">
        <x:f>MIN(U388+V388,'Debt strategy'!$E$12)</x:f>
        <x:v>0</x:v>
      </x:c>
      <x:c r="X388" s="27" t="n">
        <x:f>IF(U388+V388-W388&lt;=0,99,1+SUM(IF(AND(C388+D388-E388&gt;0,OR('Debt strategy'!$D$9&gt;'Debt strategy'!$D$12,AND('Debt strategy'!$D$9='Debt strategy'!$D$12,0&lt;3))),1,0),IF(AND(I388+J388-K388&gt;0,OR('Debt strategy'!$D$10&gt;'Debt strategy'!$D$12,AND('Debt strategy'!$D$10='Debt strategy'!$D$12,1&lt;3))),1,0),IF(AND(O388+P388-Q388&gt;0,OR('Debt strategy'!$D$11&gt;'Debt strategy'!$D$12,AND('Debt strategy'!$D$11='Debt strategy'!$D$12,2&lt;3))),1,0),IF(AND(AA388+AB388-AC388&gt;0,OR('Debt strategy'!$D$13&gt;'Debt strategy'!$D$12,AND('Debt strategy'!$D$13='Debt strategy'!$D$12,4&lt;3))),1,0)))</x:f>
        <x:v>99</x:v>
      </x:c>
      <x:c r="Y388" s="6" t="n">
        <x:f>IF('Debt strategy'!$C$16&gt;0,0,MIN(U388+V388-W388,MAX(0,'Debt strategy'!$C$5-SUM(E388,K388,Q388,W388,AC388)-SUM(IF(F388&lt;X388,C388+D388-E388,0),IF(L388&lt;X388,I388+J388-K388,0),IF(R388&lt;X388,O388+P388-Q388,0),IF(AD388&lt;X388,AA388+AB388-AC388,0)))))</x:f>
        <x:v>0</x:v>
      </x:c>
      <x:c r="Z388" s="6" t="n">
        <x:f>ROUND(MAX(0,U388+V388-W388-Y388),2)</x:f>
        <x:v>0</x:v>
      </x:c>
      <x:c r="AA388" s="6" t="n">
        <x:f>AF387</x:f>
        <x:v>0</x:v>
      </x:c>
      <x:c r="AB388" s="6" t="n">
        <x:f>ROUND(AA388*'Debt strategy'!$D$13/12,2)</x:f>
        <x:v>0</x:v>
      </x:c>
      <x:c r="AC388" s="6" t="n">
        <x:f>MIN(AA388+AB388,'Debt strategy'!$E$13)</x:f>
        <x:v>0</x:v>
      </x:c>
      <x:c r="AD388" s="27" t="n">
        <x:f>IF(AA388+AB388-AC388&lt;=0,99,1+SUM(IF(AND(C388+D388-E388&gt;0,OR('Debt strategy'!$D$9&gt;'Debt strategy'!$D$13,AND('Debt strategy'!$D$9='Debt strategy'!$D$13,0&lt;4))),1,0),IF(AND(I388+J388-K388&gt;0,OR('Debt strategy'!$D$10&gt;'Debt strategy'!$D$13,AND('Debt strategy'!$D$10='Debt strategy'!$D$13,1&lt;4))),1,0),IF(AND(O388+P388-Q388&gt;0,OR('Debt strategy'!$D$11&gt;'Debt strategy'!$D$13,AND('Debt strategy'!$D$11='Debt strategy'!$D$13,2&lt;4))),1,0),IF(AND(U388+V388-W388&gt;0,OR('Debt strategy'!$D$12&gt;'Debt strategy'!$D$13,AND('Debt strategy'!$D$12='Debt strategy'!$D$13,3&lt;4))),1,0)))</x:f>
        <x:v>99</x:v>
      </x:c>
      <x:c r="AE388" s="6" t="n">
        <x:f>IF('Debt strategy'!$C$16&gt;0,0,MIN(AA388+AB388-AC388,MAX(0,'Debt strategy'!$C$5-SUM(E388,K388,Q388,W388,AC388)-SUM(IF(F388&lt;AD388,C388+D388-E388,0),IF(L388&lt;AD388,I388+J388-K388,0),IF(R388&lt;AD388,O388+P388-Q388,0),IF(X388&lt;AD388,U388+V388-W388,0)))))</x:f>
        <x:v>0</x:v>
      </x:c>
      <x:c r="AF388" s="6" t="n">
        <x:f>ROUND(MAX(0,AA388+AB388-AC388-AE388),2)</x:f>
        <x:v>0</x:v>
      </x:c>
      <x:c r="AG388" s="6" t="n">
        <x:f>SUM(H388,N388,T388,Z388,AF388)</x:f>
        <x:v>0</x:v>
      </x:c>
      <x:c r="AH388" s="6" t="n">
        <x:f>SUM(D388,J388,P388,V388,AB388)+AH387</x:f>
        <x:v>1220.8400000000001</x:v>
      </x:c>
      <x:c r="AI388" s="2"/>
    </x:row>
    <x:row r="389" ht="23" customHeight="1">
      <x:c r="B389" s="2" t="n">
        <x:f>381</x:f>
        <x:v>381</x:v>
      </x:c>
      <x:c r="C389" s="6" t="n">
        <x:f>H388</x:f>
        <x:v>0</x:v>
      </x:c>
      <x:c r="D389" s="6" t="n">
        <x:f>ROUND(C389*'Debt strategy'!$D$9/12,2)</x:f>
        <x:v>0</x:v>
      </x:c>
      <x:c r="E389" s="6" t="n">
        <x:f>MIN(C389+D389,'Debt strategy'!$E$9)</x:f>
        <x:v>0</x:v>
      </x:c>
      <x:c r="F389" s="27" t="n">
        <x:f>IF(C389+D389-E389&lt;=0,99,1+SUM(IF(AND(I389+J389-K389&gt;0,OR('Debt strategy'!$D$10&gt;'Debt strategy'!$D$9,AND('Debt strategy'!$D$10='Debt strategy'!$D$9,1&lt;0))),1,0),IF(AND(O389+P389-Q389&gt;0,OR('Debt strategy'!$D$11&gt;'Debt strategy'!$D$9,AND('Debt strategy'!$D$11='Debt strategy'!$D$9,2&lt;0))),1,0),IF(AND(U389+V389-W389&gt;0,OR('Debt strategy'!$D$12&gt;'Debt strategy'!$D$9,AND('Debt strategy'!$D$12='Debt strategy'!$D$9,3&lt;0))),1,0),IF(AND(AA389+AB389-AC389&gt;0,OR('Debt strategy'!$D$13&gt;'Debt strategy'!$D$9,AND('Debt strategy'!$D$13='Debt strategy'!$D$9,4&lt;0))),1,0)))</x:f>
        <x:v>99</x:v>
      </x:c>
      <x:c r="G389" s="6" t="n">
        <x:f>IF('Debt strategy'!$C$16&gt;0,0,MIN(C389+D389-E389,MAX(0,'Debt strategy'!$C$5-SUM(E389,K389,Q389,W389,AC389)-SUM(IF(L389&lt;F389,I389+J389-K389,0),IF(R389&lt;F389,O389+P389-Q389,0),IF(X389&lt;F389,U389+V389-W389,0),IF(AD389&lt;F389,AA389+AB389-AC389,0)))))</x:f>
        <x:v>0</x:v>
      </x:c>
      <x:c r="H389" s="6" t="n">
        <x:f>ROUND(MAX(0,C389+D389-E389-G389),2)</x:f>
        <x:v>0</x:v>
      </x:c>
      <x:c r="I389" s="6" t="n">
        <x:f>N388</x:f>
        <x:v>0</x:v>
      </x:c>
      <x:c r="J389" s="6" t="n">
        <x:f>ROUND(I389*'Debt strategy'!$D$10/12,2)</x:f>
        <x:v>0</x:v>
      </x:c>
      <x:c r="K389" s="6" t="n">
        <x:f>MIN(I389+J389,'Debt strategy'!$E$10)</x:f>
        <x:v>0</x:v>
      </x:c>
      <x:c r="L389" s="27" t="n">
        <x:f>IF(I389+J389-K389&lt;=0,99,1+SUM(IF(AND(C389+D389-E389&gt;0,OR('Debt strategy'!$D$9&gt;'Debt strategy'!$D$10,AND('Debt strategy'!$D$9='Debt strategy'!$D$10,0&lt;1))),1,0),IF(AND(O389+P389-Q389&gt;0,OR('Debt strategy'!$D$11&gt;'Debt strategy'!$D$10,AND('Debt strategy'!$D$11='Debt strategy'!$D$10,2&lt;1))),1,0),IF(AND(U389+V389-W389&gt;0,OR('Debt strategy'!$D$12&gt;'Debt strategy'!$D$10,AND('Debt strategy'!$D$12='Debt strategy'!$D$10,3&lt;1))),1,0),IF(AND(AA389+AB389-AC389&gt;0,OR('Debt strategy'!$D$13&gt;'Debt strategy'!$D$10,AND('Debt strategy'!$D$13='Debt strategy'!$D$10,4&lt;1))),1,0)))</x:f>
        <x:v>99</x:v>
      </x:c>
      <x:c r="M389" s="6" t="n">
        <x:f>IF('Debt strategy'!$C$16&gt;0,0,MIN(I389+J389-K389,MAX(0,'Debt strategy'!$C$5-SUM(E389,K389,Q389,W389,AC389)-SUM(IF(F389&lt;L389,C389+D389-E389,0),IF(R389&lt;L389,O389+P389-Q389,0),IF(X389&lt;L389,U389+V389-W389,0),IF(AD389&lt;L389,AA389+AB389-AC389,0)))))</x:f>
        <x:v>0</x:v>
      </x:c>
      <x:c r="N389" s="6" t="n">
        <x:f>ROUND(MAX(0,I389+J389-K389-M389),2)</x:f>
        <x:v>0</x:v>
      </x:c>
      <x:c r="O389" s="6" t="n">
        <x:f>T388</x:f>
        <x:v>0</x:v>
      </x:c>
      <x:c r="P389" s="6" t="n">
        <x:f>ROUND(O389*'Debt strategy'!$D$11/12,2)</x:f>
        <x:v>0</x:v>
      </x:c>
      <x:c r="Q389" s="6" t="n">
        <x:f>MIN(O389+P389,'Debt strategy'!$E$11)</x:f>
        <x:v>0</x:v>
      </x:c>
      <x:c r="R389" s="27" t="n">
        <x:f>IF(O389+P389-Q389&lt;=0,99,1+SUM(IF(AND(C389+D389-E389&gt;0,OR('Debt strategy'!$D$9&gt;'Debt strategy'!$D$11,AND('Debt strategy'!$D$9='Debt strategy'!$D$11,0&lt;2))),1,0),IF(AND(I389+J389-K389&gt;0,OR('Debt strategy'!$D$10&gt;'Debt strategy'!$D$11,AND('Debt strategy'!$D$10='Debt strategy'!$D$11,1&lt;2))),1,0),IF(AND(U389+V389-W389&gt;0,OR('Debt strategy'!$D$12&gt;'Debt strategy'!$D$11,AND('Debt strategy'!$D$12='Debt strategy'!$D$11,3&lt;2))),1,0),IF(AND(AA389+AB389-AC389&gt;0,OR('Debt strategy'!$D$13&gt;'Debt strategy'!$D$11,AND('Debt strategy'!$D$13='Debt strategy'!$D$11,4&lt;2))),1,0)))</x:f>
        <x:v>99</x:v>
      </x:c>
      <x:c r="S389" s="6" t="n">
        <x:f>IF('Debt strategy'!$C$16&gt;0,0,MIN(O389+P389-Q389,MAX(0,'Debt strategy'!$C$5-SUM(E389,K389,Q389,W389,AC389)-SUM(IF(F389&lt;R389,C389+D389-E389,0),IF(L389&lt;R389,I389+J389-K389,0),IF(X389&lt;R389,U389+V389-W389,0),IF(AD389&lt;R389,AA389+AB389-AC389,0)))))</x:f>
        <x:v>0</x:v>
      </x:c>
      <x:c r="T389" s="6" t="n">
        <x:f>ROUND(MAX(0,O389+P389-Q389-S389),2)</x:f>
        <x:v>0</x:v>
      </x:c>
      <x:c r="U389" s="6" t="n">
        <x:f>Z388</x:f>
        <x:v>0</x:v>
      </x:c>
      <x:c r="V389" s="6" t="n">
        <x:f>ROUND(U389*'Debt strategy'!$D$12/12,2)</x:f>
        <x:v>0</x:v>
      </x:c>
      <x:c r="W389" s="6" t="n">
        <x:f>MIN(U389+V389,'Debt strategy'!$E$12)</x:f>
        <x:v>0</x:v>
      </x:c>
      <x:c r="X389" s="27" t="n">
        <x:f>IF(U389+V389-W389&lt;=0,99,1+SUM(IF(AND(C389+D389-E389&gt;0,OR('Debt strategy'!$D$9&gt;'Debt strategy'!$D$12,AND('Debt strategy'!$D$9='Debt strategy'!$D$12,0&lt;3))),1,0),IF(AND(I389+J389-K389&gt;0,OR('Debt strategy'!$D$10&gt;'Debt strategy'!$D$12,AND('Debt strategy'!$D$10='Debt strategy'!$D$12,1&lt;3))),1,0),IF(AND(O389+P389-Q389&gt;0,OR('Debt strategy'!$D$11&gt;'Debt strategy'!$D$12,AND('Debt strategy'!$D$11='Debt strategy'!$D$12,2&lt;3))),1,0),IF(AND(AA389+AB389-AC389&gt;0,OR('Debt strategy'!$D$13&gt;'Debt strategy'!$D$12,AND('Debt strategy'!$D$13='Debt strategy'!$D$12,4&lt;3))),1,0)))</x:f>
        <x:v>99</x:v>
      </x:c>
      <x:c r="Y389" s="6" t="n">
        <x:f>IF('Debt strategy'!$C$16&gt;0,0,MIN(U389+V389-W389,MAX(0,'Debt strategy'!$C$5-SUM(E389,K389,Q389,W389,AC389)-SUM(IF(F389&lt;X389,C389+D389-E389,0),IF(L389&lt;X389,I389+J389-K389,0),IF(R389&lt;X389,O389+P389-Q389,0),IF(AD389&lt;X389,AA389+AB389-AC389,0)))))</x:f>
        <x:v>0</x:v>
      </x:c>
      <x:c r="Z389" s="6" t="n">
        <x:f>ROUND(MAX(0,U389+V389-W389-Y389),2)</x:f>
        <x:v>0</x:v>
      </x:c>
      <x:c r="AA389" s="6" t="n">
        <x:f>AF388</x:f>
        <x:v>0</x:v>
      </x:c>
      <x:c r="AB389" s="6" t="n">
        <x:f>ROUND(AA389*'Debt strategy'!$D$13/12,2)</x:f>
        <x:v>0</x:v>
      </x:c>
      <x:c r="AC389" s="6" t="n">
        <x:f>MIN(AA389+AB389,'Debt strategy'!$E$13)</x:f>
        <x:v>0</x:v>
      </x:c>
      <x:c r="AD389" s="27" t="n">
        <x:f>IF(AA389+AB389-AC389&lt;=0,99,1+SUM(IF(AND(C389+D389-E389&gt;0,OR('Debt strategy'!$D$9&gt;'Debt strategy'!$D$13,AND('Debt strategy'!$D$9='Debt strategy'!$D$13,0&lt;4))),1,0),IF(AND(I389+J389-K389&gt;0,OR('Debt strategy'!$D$10&gt;'Debt strategy'!$D$13,AND('Debt strategy'!$D$10='Debt strategy'!$D$13,1&lt;4))),1,0),IF(AND(O389+P389-Q389&gt;0,OR('Debt strategy'!$D$11&gt;'Debt strategy'!$D$13,AND('Debt strategy'!$D$11='Debt strategy'!$D$13,2&lt;4))),1,0),IF(AND(U389+V389-W389&gt;0,OR('Debt strategy'!$D$12&gt;'Debt strategy'!$D$13,AND('Debt strategy'!$D$12='Debt strategy'!$D$13,3&lt;4))),1,0)))</x:f>
        <x:v>99</x:v>
      </x:c>
      <x:c r="AE389" s="6" t="n">
        <x:f>IF('Debt strategy'!$C$16&gt;0,0,MIN(AA389+AB389-AC389,MAX(0,'Debt strategy'!$C$5-SUM(E389,K389,Q389,W389,AC389)-SUM(IF(F389&lt;AD389,C389+D389-E389,0),IF(L389&lt;AD389,I389+J389-K389,0),IF(R389&lt;AD389,O389+P389-Q389,0),IF(X389&lt;AD389,U389+V389-W389,0)))))</x:f>
        <x:v>0</x:v>
      </x:c>
      <x:c r="AF389" s="6" t="n">
        <x:f>ROUND(MAX(0,AA389+AB389-AC389-AE389),2)</x:f>
        <x:v>0</x:v>
      </x:c>
      <x:c r="AG389" s="6" t="n">
        <x:f>SUM(H389,N389,T389,Z389,AF389)</x:f>
        <x:v>0</x:v>
      </x:c>
      <x:c r="AH389" s="6" t="n">
        <x:f>SUM(D389,J389,P389,V389,AB389)+AH388</x:f>
        <x:v>1220.8400000000001</x:v>
      </x:c>
      <x:c r="AI389" s="2"/>
    </x:row>
    <x:row r="390" ht="23" customHeight="1">
      <x:c r="B390" s="2" t="n">
        <x:f>382</x:f>
        <x:v>382</x:v>
      </x:c>
      <x:c r="C390" s="6" t="n">
        <x:f>H389</x:f>
        <x:v>0</x:v>
      </x:c>
      <x:c r="D390" s="6" t="n">
        <x:f>ROUND(C390*'Debt strategy'!$D$9/12,2)</x:f>
        <x:v>0</x:v>
      </x:c>
      <x:c r="E390" s="6" t="n">
        <x:f>MIN(C390+D390,'Debt strategy'!$E$9)</x:f>
        <x:v>0</x:v>
      </x:c>
      <x:c r="F390" s="27" t="n">
        <x:f>IF(C390+D390-E390&lt;=0,99,1+SUM(IF(AND(I390+J390-K390&gt;0,OR('Debt strategy'!$D$10&gt;'Debt strategy'!$D$9,AND('Debt strategy'!$D$10='Debt strategy'!$D$9,1&lt;0))),1,0),IF(AND(O390+P390-Q390&gt;0,OR('Debt strategy'!$D$11&gt;'Debt strategy'!$D$9,AND('Debt strategy'!$D$11='Debt strategy'!$D$9,2&lt;0))),1,0),IF(AND(U390+V390-W390&gt;0,OR('Debt strategy'!$D$12&gt;'Debt strategy'!$D$9,AND('Debt strategy'!$D$12='Debt strategy'!$D$9,3&lt;0))),1,0),IF(AND(AA390+AB390-AC390&gt;0,OR('Debt strategy'!$D$13&gt;'Debt strategy'!$D$9,AND('Debt strategy'!$D$13='Debt strategy'!$D$9,4&lt;0))),1,0)))</x:f>
        <x:v>99</x:v>
      </x:c>
      <x:c r="G390" s="6" t="n">
        <x:f>IF('Debt strategy'!$C$16&gt;0,0,MIN(C390+D390-E390,MAX(0,'Debt strategy'!$C$5-SUM(E390,K390,Q390,W390,AC390)-SUM(IF(L390&lt;F390,I390+J390-K390,0),IF(R390&lt;F390,O390+P390-Q390,0),IF(X390&lt;F390,U390+V390-W390,0),IF(AD390&lt;F390,AA390+AB390-AC390,0)))))</x:f>
        <x:v>0</x:v>
      </x:c>
      <x:c r="H390" s="6" t="n">
        <x:f>ROUND(MAX(0,C390+D390-E390-G390),2)</x:f>
        <x:v>0</x:v>
      </x:c>
      <x:c r="I390" s="6" t="n">
        <x:f>N389</x:f>
        <x:v>0</x:v>
      </x:c>
      <x:c r="J390" s="6" t="n">
        <x:f>ROUND(I390*'Debt strategy'!$D$10/12,2)</x:f>
        <x:v>0</x:v>
      </x:c>
      <x:c r="K390" s="6" t="n">
        <x:f>MIN(I390+J390,'Debt strategy'!$E$10)</x:f>
        <x:v>0</x:v>
      </x:c>
      <x:c r="L390" s="27" t="n">
        <x:f>IF(I390+J390-K390&lt;=0,99,1+SUM(IF(AND(C390+D390-E390&gt;0,OR('Debt strategy'!$D$9&gt;'Debt strategy'!$D$10,AND('Debt strategy'!$D$9='Debt strategy'!$D$10,0&lt;1))),1,0),IF(AND(O390+P390-Q390&gt;0,OR('Debt strategy'!$D$11&gt;'Debt strategy'!$D$10,AND('Debt strategy'!$D$11='Debt strategy'!$D$10,2&lt;1))),1,0),IF(AND(U390+V390-W390&gt;0,OR('Debt strategy'!$D$12&gt;'Debt strategy'!$D$10,AND('Debt strategy'!$D$12='Debt strategy'!$D$10,3&lt;1))),1,0),IF(AND(AA390+AB390-AC390&gt;0,OR('Debt strategy'!$D$13&gt;'Debt strategy'!$D$10,AND('Debt strategy'!$D$13='Debt strategy'!$D$10,4&lt;1))),1,0)))</x:f>
        <x:v>99</x:v>
      </x:c>
      <x:c r="M390" s="6" t="n">
        <x:f>IF('Debt strategy'!$C$16&gt;0,0,MIN(I390+J390-K390,MAX(0,'Debt strategy'!$C$5-SUM(E390,K390,Q390,W390,AC390)-SUM(IF(F390&lt;L390,C390+D390-E390,0),IF(R390&lt;L390,O390+P390-Q390,0),IF(X390&lt;L390,U390+V390-W390,0),IF(AD390&lt;L390,AA390+AB390-AC390,0)))))</x:f>
        <x:v>0</x:v>
      </x:c>
      <x:c r="N390" s="6" t="n">
        <x:f>ROUND(MAX(0,I390+J390-K390-M390),2)</x:f>
        <x:v>0</x:v>
      </x:c>
      <x:c r="O390" s="6" t="n">
        <x:f>T389</x:f>
        <x:v>0</x:v>
      </x:c>
      <x:c r="P390" s="6" t="n">
        <x:f>ROUND(O390*'Debt strategy'!$D$11/12,2)</x:f>
        <x:v>0</x:v>
      </x:c>
      <x:c r="Q390" s="6" t="n">
        <x:f>MIN(O390+P390,'Debt strategy'!$E$11)</x:f>
        <x:v>0</x:v>
      </x:c>
      <x:c r="R390" s="27" t="n">
        <x:f>IF(O390+P390-Q390&lt;=0,99,1+SUM(IF(AND(C390+D390-E390&gt;0,OR('Debt strategy'!$D$9&gt;'Debt strategy'!$D$11,AND('Debt strategy'!$D$9='Debt strategy'!$D$11,0&lt;2))),1,0),IF(AND(I390+J390-K390&gt;0,OR('Debt strategy'!$D$10&gt;'Debt strategy'!$D$11,AND('Debt strategy'!$D$10='Debt strategy'!$D$11,1&lt;2))),1,0),IF(AND(U390+V390-W390&gt;0,OR('Debt strategy'!$D$12&gt;'Debt strategy'!$D$11,AND('Debt strategy'!$D$12='Debt strategy'!$D$11,3&lt;2))),1,0),IF(AND(AA390+AB390-AC390&gt;0,OR('Debt strategy'!$D$13&gt;'Debt strategy'!$D$11,AND('Debt strategy'!$D$13='Debt strategy'!$D$11,4&lt;2))),1,0)))</x:f>
        <x:v>99</x:v>
      </x:c>
      <x:c r="S390" s="6" t="n">
        <x:f>IF('Debt strategy'!$C$16&gt;0,0,MIN(O390+P390-Q390,MAX(0,'Debt strategy'!$C$5-SUM(E390,K390,Q390,W390,AC390)-SUM(IF(F390&lt;R390,C390+D390-E390,0),IF(L390&lt;R390,I390+J390-K390,0),IF(X390&lt;R390,U390+V390-W390,0),IF(AD390&lt;R390,AA390+AB390-AC390,0)))))</x:f>
        <x:v>0</x:v>
      </x:c>
      <x:c r="T390" s="6" t="n">
        <x:f>ROUND(MAX(0,O390+P390-Q390-S390),2)</x:f>
        <x:v>0</x:v>
      </x:c>
      <x:c r="U390" s="6" t="n">
        <x:f>Z389</x:f>
        <x:v>0</x:v>
      </x:c>
      <x:c r="V390" s="6" t="n">
        <x:f>ROUND(U390*'Debt strategy'!$D$12/12,2)</x:f>
        <x:v>0</x:v>
      </x:c>
      <x:c r="W390" s="6" t="n">
        <x:f>MIN(U390+V390,'Debt strategy'!$E$12)</x:f>
        <x:v>0</x:v>
      </x:c>
      <x:c r="X390" s="27" t="n">
        <x:f>IF(U390+V390-W390&lt;=0,99,1+SUM(IF(AND(C390+D390-E390&gt;0,OR('Debt strategy'!$D$9&gt;'Debt strategy'!$D$12,AND('Debt strategy'!$D$9='Debt strategy'!$D$12,0&lt;3))),1,0),IF(AND(I390+J390-K390&gt;0,OR('Debt strategy'!$D$10&gt;'Debt strategy'!$D$12,AND('Debt strategy'!$D$10='Debt strategy'!$D$12,1&lt;3))),1,0),IF(AND(O390+P390-Q390&gt;0,OR('Debt strategy'!$D$11&gt;'Debt strategy'!$D$12,AND('Debt strategy'!$D$11='Debt strategy'!$D$12,2&lt;3))),1,0),IF(AND(AA390+AB390-AC390&gt;0,OR('Debt strategy'!$D$13&gt;'Debt strategy'!$D$12,AND('Debt strategy'!$D$13='Debt strategy'!$D$12,4&lt;3))),1,0)))</x:f>
        <x:v>99</x:v>
      </x:c>
      <x:c r="Y390" s="6" t="n">
        <x:f>IF('Debt strategy'!$C$16&gt;0,0,MIN(U390+V390-W390,MAX(0,'Debt strategy'!$C$5-SUM(E390,K390,Q390,W390,AC390)-SUM(IF(F390&lt;X390,C390+D390-E390,0),IF(L390&lt;X390,I390+J390-K390,0),IF(R390&lt;X390,O390+P390-Q390,0),IF(AD390&lt;X390,AA390+AB390-AC390,0)))))</x:f>
        <x:v>0</x:v>
      </x:c>
      <x:c r="Z390" s="6" t="n">
        <x:f>ROUND(MAX(0,U390+V390-W390-Y390),2)</x:f>
        <x:v>0</x:v>
      </x:c>
      <x:c r="AA390" s="6" t="n">
        <x:f>AF389</x:f>
        <x:v>0</x:v>
      </x:c>
      <x:c r="AB390" s="6" t="n">
        <x:f>ROUND(AA390*'Debt strategy'!$D$13/12,2)</x:f>
        <x:v>0</x:v>
      </x:c>
      <x:c r="AC390" s="6" t="n">
        <x:f>MIN(AA390+AB390,'Debt strategy'!$E$13)</x:f>
        <x:v>0</x:v>
      </x:c>
      <x:c r="AD390" s="27" t="n">
        <x:f>IF(AA390+AB390-AC390&lt;=0,99,1+SUM(IF(AND(C390+D390-E390&gt;0,OR('Debt strategy'!$D$9&gt;'Debt strategy'!$D$13,AND('Debt strategy'!$D$9='Debt strategy'!$D$13,0&lt;4))),1,0),IF(AND(I390+J390-K390&gt;0,OR('Debt strategy'!$D$10&gt;'Debt strategy'!$D$13,AND('Debt strategy'!$D$10='Debt strategy'!$D$13,1&lt;4))),1,0),IF(AND(O390+P390-Q390&gt;0,OR('Debt strategy'!$D$11&gt;'Debt strategy'!$D$13,AND('Debt strategy'!$D$11='Debt strategy'!$D$13,2&lt;4))),1,0),IF(AND(U390+V390-W390&gt;0,OR('Debt strategy'!$D$12&gt;'Debt strategy'!$D$13,AND('Debt strategy'!$D$12='Debt strategy'!$D$13,3&lt;4))),1,0)))</x:f>
        <x:v>99</x:v>
      </x:c>
      <x:c r="AE390" s="6" t="n">
        <x:f>IF('Debt strategy'!$C$16&gt;0,0,MIN(AA390+AB390-AC390,MAX(0,'Debt strategy'!$C$5-SUM(E390,K390,Q390,W390,AC390)-SUM(IF(F390&lt;AD390,C390+D390-E390,0),IF(L390&lt;AD390,I390+J390-K390,0),IF(R390&lt;AD390,O390+P390-Q390,0),IF(X390&lt;AD390,U390+V390-W390,0)))))</x:f>
        <x:v>0</x:v>
      </x:c>
      <x:c r="AF390" s="6" t="n">
        <x:f>ROUND(MAX(0,AA390+AB390-AC390-AE390),2)</x:f>
        <x:v>0</x:v>
      </x:c>
      <x:c r="AG390" s="6" t="n">
        <x:f>SUM(H390,N390,T390,Z390,AF390)</x:f>
        <x:v>0</x:v>
      </x:c>
      <x:c r="AH390" s="6" t="n">
        <x:f>SUM(D390,J390,P390,V390,AB390)+AH389</x:f>
        <x:v>1220.8400000000001</x:v>
      </x:c>
      <x:c r="AI390" s="2"/>
    </x:row>
    <x:row r="391" ht="23" customHeight="1">
      <x:c r="B391" s="2" t="n">
        <x:f>383</x:f>
        <x:v>383</x:v>
      </x:c>
      <x:c r="C391" s="6" t="n">
        <x:f>H390</x:f>
        <x:v>0</x:v>
      </x:c>
      <x:c r="D391" s="6" t="n">
        <x:f>ROUND(C391*'Debt strategy'!$D$9/12,2)</x:f>
        <x:v>0</x:v>
      </x:c>
      <x:c r="E391" s="6" t="n">
        <x:f>MIN(C391+D391,'Debt strategy'!$E$9)</x:f>
        <x:v>0</x:v>
      </x:c>
      <x:c r="F391" s="27" t="n">
        <x:f>IF(C391+D391-E391&lt;=0,99,1+SUM(IF(AND(I391+J391-K391&gt;0,OR('Debt strategy'!$D$10&gt;'Debt strategy'!$D$9,AND('Debt strategy'!$D$10='Debt strategy'!$D$9,1&lt;0))),1,0),IF(AND(O391+P391-Q391&gt;0,OR('Debt strategy'!$D$11&gt;'Debt strategy'!$D$9,AND('Debt strategy'!$D$11='Debt strategy'!$D$9,2&lt;0))),1,0),IF(AND(U391+V391-W391&gt;0,OR('Debt strategy'!$D$12&gt;'Debt strategy'!$D$9,AND('Debt strategy'!$D$12='Debt strategy'!$D$9,3&lt;0))),1,0),IF(AND(AA391+AB391-AC391&gt;0,OR('Debt strategy'!$D$13&gt;'Debt strategy'!$D$9,AND('Debt strategy'!$D$13='Debt strategy'!$D$9,4&lt;0))),1,0)))</x:f>
        <x:v>99</x:v>
      </x:c>
      <x:c r="G391" s="6" t="n">
        <x:f>IF('Debt strategy'!$C$16&gt;0,0,MIN(C391+D391-E391,MAX(0,'Debt strategy'!$C$5-SUM(E391,K391,Q391,W391,AC391)-SUM(IF(L391&lt;F391,I391+J391-K391,0),IF(R391&lt;F391,O391+P391-Q391,0),IF(X391&lt;F391,U391+V391-W391,0),IF(AD391&lt;F391,AA391+AB391-AC391,0)))))</x:f>
        <x:v>0</x:v>
      </x:c>
      <x:c r="H391" s="6" t="n">
        <x:f>ROUND(MAX(0,C391+D391-E391-G391),2)</x:f>
        <x:v>0</x:v>
      </x:c>
      <x:c r="I391" s="6" t="n">
        <x:f>N390</x:f>
        <x:v>0</x:v>
      </x:c>
      <x:c r="J391" s="6" t="n">
        <x:f>ROUND(I391*'Debt strategy'!$D$10/12,2)</x:f>
        <x:v>0</x:v>
      </x:c>
      <x:c r="K391" s="6" t="n">
        <x:f>MIN(I391+J391,'Debt strategy'!$E$10)</x:f>
        <x:v>0</x:v>
      </x:c>
      <x:c r="L391" s="27" t="n">
        <x:f>IF(I391+J391-K391&lt;=0,99,1+SUM(IF(AND(C391+D391-E391&gt;0,OR('Debt strategy'!$D$9&gt;'Debt strategy'!$D$10,AND('Debt strategy'!$D$9='Debt strategy'!$D$10,0&lt;1))),1,0),IF(AND(O391+P391-Q391&gt;0,OR('Debt strategy'!$D$11&gt;'Debt strategy'!$D$10,AND('Debt strategy'!$D$11='Debt strategy'!$D$10,2&lt;1))),1,0),IF(AND(U391+V391-W391&gt;0,OR('Debt strategy'!$D$12&gt;'Debt strategy'!$D$10,AND('Debt strategy'!$D$12='Debt strategy'!$D$10,3&lt;1))),1,0),IF(AND(AA391+AB391-AC391&gt;0,OR('Debt strategy'!$D$13&gt;'Debt strategy'!$D$10,AND('Debt strategy'!$D$13='Debt strategy'!$D$10,4&lt;1))),1,0)))</x:f>
        <x:v>99</x:v>
      </x:c>
      <x:c r="M391" s="6" t="n">
        <x:f>IF('Debt strategy'!$C$16&gt;0,0,MIN(I391+J391-K391,MAX(0,'Debt strategy'!$C$5-SUM(E391,K391,Q391,W391,AC391)-SUM(IF(F391&lt;L391,C391+D391-E391,0),IF(R391&lt;L391,O391+P391-Q391,0),IF(X391&lt;L391,U391+V391-W391,0),IF(AD391&lt;L391,AA391+AB391-AC391,0)))))</x:f>
        <x:v>0</x:v>
      </x:c>
      <x:c r="N391" s="6" t="n">
        <x:f>ROUND(MAX(0,I391+J391-K391-M391),2)</x:f>
        <x:v>0</x:v>
      </x:c>
      <x:c r="O391" s="6" t="n">
        <x:f>T390</x:f>
        <x:v>0</x:v>
      </x:c>
      <x:c r="P391" s="6" t="n">
        <x:f>ROUND(O391*'Debt strategy'!$D$11/12,2)</x:f>
        <x:v>0</x:v>
      </x:c>
      <x:c r="Q391" s="6" t="n">
        <x:f>MIN(O391+P391,'Debt strategy'!$E$11)</x:f>
        <x:v>0</x:v>
      </x:c>
      <x:c r="R391" s="27" t="n">
        <x:f>IF(O391+P391-Q391&lt;=0,99,1+SUM(IF(AND(C391+D391-E391&gt;0,OR('Debt strategy'!$D$9&gt;'Debt strategy'!$D$11,AND('Debt strategy'!$D$9='Debt strategy'!$D$11,0&lt;2))),1,0),IF(AND(I391+J391-K391&gt;0,OR('Debt strategy'!$D$10&gt;'Debt strategy'!$D$11,AND('Debt strategy'!$D$10='Debt strategy'!$D$11,1&lt;2))),1,0),IF(AND(U391+V391-W391&gt;0,OR('Debt strategy'!$D$12&gt;'Debt strategy'!$D$11,AND('Debt strategy'!$D$12='Debt strategy'!$D$11,3&lt;2))),1,0),IF(AND(AA391+AB391-AC391&gt;0,OR('Debt strategy'!$D$13&gt;'Debt strategy'!$D$11,AND('Debt strategy'!$D$13='Debt strategy'!$D$11,4&lt;2))),1,0)))</x:f>
        <x:v>99</x:v>
      </x:c>
      <x:c r="S391" s="6" t="n">
        <x:f>IF('Debt strategy'!$C$16&gt;0,0,MIN(O391+P391-Q391,MAX(0,'Debt strategy'!$C$5-SUM(E391,K391,Q391,W391,AC391)-SUM(IF(F391&lt;R391,C391+D391-E391,0),IF(L391&lt;R391,I391+J391-K391,0),IF(X391&lt;R391,U391+V391-W391,0),IF(AD391&lt;R391,AA391+AB391-AC391,0)))))</x:f>
        <x:v>0</x:v>
      </x:c>
      <x:c r="T391" s="6" t="n">
        <x:f>ROUND(MAX(0,O391+P391-Q391-S391),2)</x:f>
        <x:v>0</x:v>
      </x:c>
      <x:c r="U391" s="6" t="n">
        <x:f>Z390</x:f>
        <x:v>0</x:v>
      </x:c>
      <x:c r="V391" s="6" t="n">
        <x:f>ROUND(U391*'Debt strategy'!$D$12/12,2)</x:f>
        <x:v>0</x:v>
      </x:c>
      <x:c r="W391" s="6" t="n">
        <x:f>MIN(U391+V391,'Debt strategy'!$E$12)</x:f>
        <x:v>0</x:v>
      </x:c>
      <x:c r="X391" s="27" t="n">
        <x:f>IF(U391+V391-W391&lt;=0,99,1+SUM(IF(AND(C391+D391-E391&gt;0,OR('Debt strategy'!$D$9&gt;'Debt strategy'!$D$12,AND('Debt strategy'!$D$9='Debt strategy'!$D$12,0&lt;3))),1,0),IF(AND(I391+J391-K391&gt;0,OR('Debt strategy'!$D$10&gt;'Debt strategy'!$D$12,AND('Debt strategy'!$D$10='Debt strategy'!$D$12,1&lt;3))),1,0),IF(AND(O391+P391-Q391&gt;0,OR('Debt strategy'!$D$11&gt;'Debt strategy'!$D$12,AND('Debt strategy'!$D$11='Debt strategy'!$D$12,2&lt;3))),1,0),IF(AND(AA391+AB391-AC391&gt;0,OR('Debt strategy'!$D$13&gt;'Debt strategy'!$D$12,AND('Debt strategy'!$D$13='Debt strategy'!$D$12,4&lt;3))),1,0)))</x:f>
        <x:v>99</x:v>
      </x:c>
      <x:c r="Y391" s="6" t="n">
        <x:f>IF('Debt strategy'!$C$16&gt;0,0,MIN(U391+V391-W391,MAX(0,'Debt strategy'!$C$5-SUM(E391,K391,Q391,W391,AC391)-SUM(IF(F391&lt;X391,C391+D391-E391,0),IF(L391&lt;X391,I391+J391-K391,0),IF(R391&lt;X391,O391+P391-Q391,0),IF(AD391&lt;X391,AA391+AB391-AC391,0)))))</x:f>
        <x:v>0</x:v>
      </x:c>
      <x:c r="Z391" s="6" t="n">
        <x:f>ROUND(MAX(0,U391+V391-W391-Y391),2)</x:f>
        <x:v>0</x:v>
      </x:c>
      <x:c r="AA391" s="6" t="n">
        <x:f>AF390</x:f>
        <x:v>0</x:v>
      </x:c>
      <x:c r="AB391" s="6" t="n">
        <x:f>ROUND(AA391*'Debt strategy'!$D$13/12,2)</x:f>
        <x:v>0</x:v>
      </x:c>
      <x:c r="AC391" s="6" t="n">
        <x:f>MIN(AA391+AB391,'Debt strategy'!$E$13)</x:f>
        <x:v>0</x:v>
      </x:c>
      <x:c r="AD391" s="27" t="n">
        <x:f>IF(AA391+AB391-AC391&lt;=0,99,1+SUM(IF(AND(C391+D391-E391&gt;0,OR('Debt strategy'!$D$9&gt;'Debt strategy'!$D$13,AND('Debt strategy'!$D$9='Debt strategy'!$D$13,0&lt;4))),1,0),IF(AND(I391+J391-K391&gt;0,OR('Debt strategy'!$D$10&gt;'Debt strategy'!$D$13,AND('Debt strategy'!$D$10='Debt strategy'!$D$13,1&lt;4))),1,0),IF(AND(O391+P391-Q391&gt;0,OR('Debt strategy'!$D$11&gt;'Debt strategy'!$D$13,AND('Debt strategy'!$D$11='Debt strategy'!$D$13,2&lt;4))),1,0),IF(AND(U391+V391-W391&gt;0,OR('Debt strategy'!$D$12&gt;'Debt strategy'!$D$13,AND('Debt strategy'!$D$12='Debt strategy'!$D$13,3&lt;4))),1,0)))</x:f>
        <x:v>99</x:v>
      </x:c>
      <x:c r="AE391" s="6" t="n">
        <x:f>IF('Debt strategy'!$C$16&gt;0,0,MIN(AA391+AB391-AC391,MAX(0,'Debt strategy'!$C$5-SUM(E391,K391,Q391,W391,AC391)-SUM(IF(F391&lt;AD391,C391+D391-E391,0),IF(L391&lt;AD391,I391+J391-K391,0),IF(R391&lt;AD391,O391+P391-Q391,0),IF(X391&lt;AD391,U391+V391-W391,0)))))</x:f>
        <x:v>0</x:v>
      </x:c>
      <x:c r="AF391" s="6" t="n">
        <x:f>ROUND(MAX(0,AA391+AB391-AC391-AE391),2)</x:f>
        <x:v>0</x:v>
      </x:c>
      <x:c r="AG391" s="6" t="n">
        <x:f>SUM(H391,N391,T391,Z391,AF391)</x:f>
        <x:v>0</x:v>
      </x:c>
      <x:c r="AH391" s="6" t="n">
        <x:f>SUM(D391,J391,P391,V391,AB391)+AH390</x:f>
        <x:v>1220.8400000000001</x:v>
      </x:c>
      <x:c r="AI391" s="2"/>
    </x:row>
    <x:row r="392" ht="23" customHeight="1">
      <x:c r="B392" s="2" t="n">
        <x:f>384</x:f>
        <x:v>384</x:v>
      </x:c>
      <x:c r="C392" s="6" t="n">
        <x:f>H391</x:f>
        <x:v>0</x:v>
      </x:c>
      <x:c r="D392" s="6" t="n">
        <x:f>ROUND(C392*'Debt strategy'!$D$9/12,2)</x:f>
        <x:v>0</x:v>
      </x:c>
      <x:c r="E392" s="6" t="n">
        <x:f>MIN(C392+D392,'Debt strategy'!$E$9)</x:f>
        <x:v>0</x:v>
      </x:c>
      <x:c r="F392" s="27" t="n">
        <x:f>IF(C392+D392-E392&lt;=0,99,1+SUM(IF(AND(I392+J392-K392&gt;0,OR('Debt strategy'!$D$10&gt;'Debt strategy'!$D$9,AND('Debt strategy'!$D$10='Debt strategy'!$D$9,1&lt;0))),1,0),IF(AND(O392+P392-Q392&gt;0,OR('Debt strategy'!$D$11&gt;'Debt strategy'!$D$9,AND('Debt strategy'!$D$11='Debt strategy'!$D$9,2&lt;0))),1,0),IF(AND(U392+V392-W392&gt;0,OR('Debt strategy'!$D$12&gt;'Debt strategy'!$D$9,AND('Debt strategy'!$D$12='Debt strategy'!$D$9,3&lt;0))),1,0),IF(AND(AA392+AB392-AC392&gt;0,OR('Debt strategy'!$D$13&gt;'Debt strategy'!$D$9,AND('Debt strategy'!$D$13='Debt strategy'!$D$9,4&lt;0))),1,0)))</x:f>
        <x:v>99</x:v>
      </x:c>
      <x:c r="G392" s="6" t="n">
        <x:f>IF('Debt strategy'!$C$16&gt;0,0,MIN(C392+D392-E392,MAX(0,'Debt strategy'!$C$5-SUM(E392,K392,Q392,W392,AC392)-SUM(IF(L392&lt;F392,I392+J392-K392,0),IF(R392&lt;F392,O392+P392-Q392,0),IF(X392&lt;F392,U392+V392-W392,0),IF(AD392&lt;F392,AA392+AB392-AC392,0)))))</x:f>
        <x:v>0</x:v>
      </x:c>
      <x:c r="H392" s="6" t="n">
        <x:f>ROUND(MAX(0,C392+D392-E392-G392),2)</x:f>
        <x:v>0</x:v>
      </x:c>
      <x:c r="I392" s="6" t="n">
        <x:f>N391</x:f>
        <x:v>0</x:v>
      </x:c>
      <x:c r="J392" s="6" t="n">
        <x:f>ROUND(I392*'Debt strategy'!$D$10/12,2)</x:f>
        <x:v>0</x:v>
      </x:c>
      <x:c r="K392" s="6" t="n">
        <x:f>MIN(I392+J392,'Debt strategy'!$E$10)</x:f>
        <x:v>0</x:v>
      </x:c>
      <x:c r="L392" s="27" t="n">
        <x:f>IF(I392+J392-K392&lt;=0,99,1+SUM(IF(AND(C392+D392-E392&gt;0,OR('Debt strategy'!$D$9&gt;'Debt strategy'!$D$10,AND('Debt strategy'!$D$9='Debt strategy'!$D$10,0&lt;1))),1,0),IF(AND(O392+P392-Q392&gt;0,OR('Debt strategy'!$D$11&gt;'Debt strategy'!$D$10,AND('Debt strategy'!$D$11='Debt strategy'!$D$10,2&lt;1))),1,0),IF(AND(U392+V392-W392&gt;0,OR('Debt strategy'!$D$12&gt;'Debt strategy'!$D$10,AND('Debt strategy'!$D$12='Debt strategy'!$D$10,3&lt;1))),1,0),IF(AND(AA392+AB392-AC392&gt;0,OR('Debt strategy'!$D$13&gt;'Debt strategy'!$D$10,AND('Debt strategy'!$D$13='Debt strategy'!$D$10,4&lt;1))),1,0)))</x:f>
        <x:v>99</x:v>
      </x:c>
      <x:c r="M392" s="6" t="n">
        <x:f>IF('Debt strategy'!$C$16&gt;0,0,MIN(I392+J392-K392,MAX(0,'Debt strategy'!$C$5-SUM(E392,K392,Q392,W392,AC392)-SUM(IF(F392&lt;L392,C392+D392-E392,0),IF(R392&lt;L392,O392+P392-Q392,0),IF(X392&lt;L392,U392+V392-W392,0),IF(AD392&lt;L392,AA392+AB392-AC392,0)))))</x:f>
        <x:v>0</x:v>
      </x:c>
      <x:c r="N392" s="6" t="n">
        <x:f>ROUND(MAX(0,I392+J392-K392-M392),2)</x:f>
        <x:v>0</x:v>
      </x:c>
      <x:c r="O392" s="6" t="n">
        <x:f>T391</x:f>
        <x:v>0</x:v>
      </x:c>
      <x:c r="P392" s="6" t="n">
        <x:f>ROUND(O392*'Debt strategy'!$D$11/12,2)</x:f>
        <x:v>0</x:v>
      </x:c>
      <x:c r="Q392" s="6" t="n">
        <x:f>MIN(O392+P392,'Debt strategy'!$E$11)</x:f>
        <x:v>0</x:v>
      </x:c>
      <x:c r="R392" s="27" t="n">
        <x:f>IF(O392+P392-Q392&lt;=0,99,1+SUM(IF(AND(C392+D392-E392&gt;0,OR('Debt strategy'!$D$9&gt;'Debt strategy'!$D$11,AND('Debt strategy'!$D$9='Debt strategy'!$D$11,0&lt;2))),1,0),IF(AND(I392+J392-K392&gt;0,OR('Debt strategy'!$D$10&gt;'Debt strategy'!$D$11,AND('Debt strategy'!$D$10='Debt strategy'!$D$11,1&lt;2))),1,0),IF(AND(U392+V392-W392&gt;0,OR('Debt strategy'!$D$12&gt;'Debt strategy'!$D$11,AND('Debt strategy'!$D$12='Debt strategy'!$D$11,3&lt;2))),1,0),IF(AND(AA392+AB392-AC392&gt;0,OR('Debt strategy'!$D$13&gt;'Debt strategy'!$D$11,AND('Debt strategy'!$D$13='Debt strategy'!$D$11,4&lt;2))),1,0)))</x:f>
        <x:v>99</x:v>
      </x:c>
      <x:c r="S392" s="6" t="n">
        <x:f>IF('Debt strategy'!$C$16&gt;0,0,MIN(O392+P392-Q392,MAX(0,'Debt strategy'!$C$5-SUM(E392,K392,Q392,W392,AC392)-SUM(IF(F392&lt;R392,C392+D392-E392,0),IF(L392&lt;R392,I392+J392-K392,0),IF(X392&lt;R392,U392+V392-W392,0),IF(AD392&lt;R392,AA392+AB392-AC392,0)))))</x:f>
        <x:v>0</x:v>
      </x:c>
      <x:c r="T392" s="6" t="n">
        <x:f>ROUND(MAX(0,O392+P392-Q392-S392),2)</x:f>
        <x:v>0</x:v>
      </x:c>
      <x:c r="U392" s="6" t="n">
        <x:f>Z391</x:f>
        <x:v>0</x:v>
      </x:c>
      <x:c r="V392" s="6" t="n">
        <x:f>ROUND(U392*'Debt strategy'!$D$12/12,2)</x:f>
        <x:v>0</x:v>
      </x:c>
      <x:c r="W392" s="6" t="n">
        <x:f>MIN(U392+V392,'Debt strategy'!$E$12)</x:f>
        <x:v>0</x:v>
      </x:c>
      <x:c r="X392" s="27" t="n">
        <x:f>IF(U392+V392-W392&lt;=0,99,1+SUM(IF(AND(C392+D392-E392&gt;0,OR('Debt strategy'!$D$9&gt;'Debt strategy'!$D$12,AND('Debt strategy'!$D$9='Debt strategy'!$D$12,0&lt;3))),1,0),IF(AND(I392+J392-K392&gt;0,OR('Debt strategy'!$D$10&gt;'Debt strategy'!$D$12,AND('Debt strategy'!$D$10='Debt strategy'!$D$12,1&lt;3))),1,0),IF(AND(O392+P392-Q392&gt;0,OR('Debt strategy'!$D$11&gt;'Debt strategy'!$D$12,AND('Debt strategy'!$D$11='Debt strategy'!$D$12,2&lt;3))),1,0),IF(AND(AA392+AB392-AC392&gt;0,OR('Debt strategy'!$D$13&gt;'Debt strategy'!$D$12,AND('Debt strategy'!$D$13='Debt strategy'!$D$12,4&lt;3))),1,0)))</x:f>
        <x:v>99</x:v>
      </x:c>
      <x:c r="Y392" s="6" t="n">
        <x:f>IF('Debt strategy'!$C$16&gt;0,0,MIN(U392+V392-W392,MAX(0,'Debt strategy'!$C$5-SUM(E392,K392,Q392,W392,AC392)-SUM(IF(F392&lt;X392,C392+D392-E392,0),IF(L392&lt;X392,I392+J392-K392,0),IF(R392&lt;X392,O392+P392-Q392,0),IF(AD392&lt;X392,AA392+AB392-AC392,0)))))</x:f>
        <x:v>0</x:v>
      </x:c>
      <x:c r="Z392" s="6" t="n">
        <x:f>ROUND(MAX(0,U392+V392-W392-Y392),2)</x:f>
        <x:v>0</x:v>
      </x:c>
      <x:c r="AA392" s="6" t="n">
        <x:f>AF391</x:f>
        <x:v>0</x:v>
      </x:c>
      <x:c r="AB392" s="6" t="n">
        <x:f>ROUND(AA392*'Debt strategy'!$D$13/12,2)</x:f>
        <x:v>0</x:v>
      </x:c>
      <x:c r="AC392" s="6" t="n">
        <x:f>MIN(AA392+AB392,'Debt strategy'!$E$13)</x:f>
        <x:v>0</x:v>
      </x:c>
      <x:c r="AD392" s="27" t="n">
        <x:f>IF(AA392+AB392-AC392&lt;=0,99,1+SUM(IF(AND(C392+D392-E392&gt;0,OR('Debt strategy'!$D$9&gt;'Debt strategy'!$D$13,AND('Debt strategy'!$D$9='Debt strategy'!$D$13,0&lt;4))),1,0),IF(AND(I392+J392-K392&gt;0,OR('Debt strategy'!$D$10&gt;'Debt strategy'!$D$13,AND('Debt strategy'!$D$10='Debt strategy'!$D$13,1&lt;4))),1,0),IF(AND(O392+P392-Q392&gt;0,OR('Debt strategy'!$D$11&gt;'Debt strategy'!$D$13,AND('Debt strategy'!$D$11='Debt strategy'!$D$13,2&lt;4))),1,0),IF(AND(U392+V392-W392&gt;0,OR('Debt strategy'!$D$12&gt;'Debt strategy'!$D$13,AND('Debt strategy'!$D$12='Debt strategy'!$D$13,3&lt;4))),1,0)))</x:f>
        <x:v>99</x:v>
      </x:c>
      <x:c r="AE392" s="6" t="n">
        <x:f>IF('Debt strategy'!$C$16&gt;0,0,MIN(AA392+AB392-AC392,MAX(0,'Debt strategy'!$C$5-SUM(E392,K392,Q392,W392,AC392)-SUM(IF(F392&lt;AD392,C392+D392-E392,0),IF(L392&lt;AD392,I392+J392-K392,0),IF(R392&lt;AD392,O392+P392-Q392,0),IF(X392&lt;AD392,U392+V392-W392,0)))))</x:f>
        <x:v>0</x:v>
      </x:c>
      <x:c r="AF392" s="6" t="n">
        <x:f>ROUND(MAX(0,AA392+AB392-AC392-AE392),2)</x:f>
        <x:v>0</x:v>
      </x:c>
      <x:c r="AG392" s="6" t="n">
        <x:f>SUM(H392,N392,T392,Z392,AF392)</x:f>
        <x:v>0</x:v>
      </x:c>
      <x:c r="AH392" s="6" t="n">
        <x:f>SUM(D392,J392,P392,V392,AB392)+AH391</x:f>
        <x:v>1220.8400000000001</x:v>
      </x:c>
      <x:c r="AI392" s="2"/>
    </x:row>
    <x:row r="393" ht="23" customHeight="1">
      <x:c r="B393" s="2" t="n">
        <x:f>385</x:f>
        <x:v>385</x:v>
      </x:c>
      <x:c r="C393" s="6" t="n">
        <x:f>H392</x:f>
        <x:v>0</x:v>
      </x:c>
      <x:c r="D393" s="6" t="n">
        <x:f>ROUND(C393*'Debt strategy'!$D$9/12,2)</x:f>
        <x:v>0</x:v>
      </x:c>
      <x:c r="E393" s="6" t="n">
        <x:f>MIN(C393+D393,'Debt strategy'!$E$9)</x:f>
        <x:v>0</x:v>
      </x:c>
      <x:c r="F393" s="27" t="n">
        <x:f>IF(C393+D393-E393&lt;=0,99,1+SUM(IF(AND(I393+J393-K393&gt;0,OR('Debt strategy'!$D$10&gt;'Debt strategy'!$D$9,AND('Debt strategy'!$D$10='Debt strategy'!$D$9,1&lt;0))),1,0),IF(AND(O393+P393-Q393&gt;0,OR('Debt strategy'!$D$11&gt;'Debt strategy'!$D$9,AND('Debt strategy'!$D$11='Debt strategy'!$D$9,2&lt;0))),1,0),IF(AND(U393+V393-W393&gt;0,OR('Debt strategy'!$D$12&gt;'Debt strategy'!$D$9,AND('Debt strategy'!$D$12='Debt strategy'!$D$9,3&lt;0))),1,0),IF(AND(AA393+AB393-AC393&gt;0,OR('Debt strategy'!$D$13&gt;'Debt strategy'!$D$9,AND('Debt strategy'!$D$13='Debt strategy'!$D$9,4&lt;0))),1,0)))</x:f>
        <x:v>99</x:v>
      </x:c>
      <x:c r="G393" s="6" t="n">
        <x:f>IF('Debt strategy'!$C$16&gt;0,0,MIN(C393+D393-E393,MAX(0,'Debt strategy'!$C$5-SUM(E393,K393,Q393,W393,AC393)-SUM(IF(L393&lt;F393,I393+J393-K393,0),IF(R393&lt;F393,O393+P393-Q393,0),IF(X393&lt;F393,U393+V393-W393,0),IF(AD393&lt;F393,AA393+AB393-AC393,0)))))</x:f>
        <x:v>0</x:v>
      </x:c>
      <x:c r="H393" s="6" t="n">
        <x:f>ROUND(MAX(0,C393+D393-E393-G393),2)</x:f>
        <x:v>0</x:v>
      </x:c>
      <x:c r="I393" s="6" t="n">
        <x:f>N392</x:f>
        <x:v>0</x:v>
      </x:c>
      <x:c r="J393" s="6" t="n">
        <x:f>ROUND(I393*'Debt strategy'!$D$10/12,2)</x:f>
        <x:v>0</x:v>
      </x:c>
      <x:c r="K393" s="6" t="n">
        <x:f>MIN(I393+J393,'Debt strategy'!$E$10)</x:f>
        <x:v>0</x:v>
      </x:c>
      <x:c r="L393" s="27" t="n">
        <x:f>IF(I393+J393-K393&lt;=0,99,1+SUM(IF(AND(C393+D393-E393&gt;0,OR('Debt strategy'!$D$9&gt;'Debt strategy'!$D$10,AND('Debt strategy'!$D$9='Debt strategy'!$D$10,0&lt;1))),1,0),IF(AND(O393+P393-Q393&gt;0,OR('Debt strategy'!$D$11&gt;'Debt strategy'!$D$10,AND('Debt strategy'!$D$11='Debt strategy'!$D$10,2&lt;1))),1,0),IF(AND(U393+V393-W393&gt;0,OR('Debt strategy'!$D$12&gt;'Debt strategy'!$D$10,AND('Debt strategy'!$D$12='Debt strategy'!$D$10,3&lt;1))),1,0),IF(AND(AA393+AB393-AC393&gt;0,OR('Debt strategy'!$D$13&gt;'Debt strategy'!$D$10,AND('Debt strategy'!$D$13='Debt strategy'!$D$10,4&lt;1))),1,0)))</x:f>
        <x:v>99</x:v>
      </x:c>
      <x:c r="M393" s="6" t="n">
        <x:f>IF('Debt strategy'!$C$16&gt;0,0,MIN(I393+J393-K393,MAX(0,'Debt strategy'!$C$5-SUM(E393,K393,Q393,W393,AC393)-SUM(IF(F393&lt;L393,C393+D393-E393,0),IF(R393&lt;L393,O393+P393-Q393,0),IF(X393&lt;L393,U393+V393-W393,0),IF(AD393&lt;L393,AA393+AB393-AC393,0)))))</x:f>
        <x:v>0</x:v>
      </x:c>
      <x:c r="N393" s="6" t="n">
        <x:f>ROUND(MAX(0,I393+J393-K393-M393),2)</x:f>
        <x:v>0</x:v>
      </x:c>
      <x:c r="O393" s="6" t="n">
        <x:f>T392</x:f>
        <x:v>0</x:v>
      </x:c>
      <x:c r="P393" s="6" t="n">
        <x:f>ROUND(O393*'Debt strategy'!$D$11/12,2)</x:f>
        <x:v>0</x:v>
      </x:c>
      <x:c r="Q393" s="6" t="n">
        <x:f>MIN(O393+P393,'Debt strategy'!$E$11)</x:f>
        <x:v>0</x:v>
      </x:c>
      <x:c r="R393" s="27" t="n">
        <x:f>IF(O393+P393-Q393&lt;=0,99,1+SUM(IF(AND(C393+D393-E393&gt;0,OR('Debt strategy'!$D$9&gt;'Debt strategy'!$D$11,AND('Debt strategy'!$D$9='Debt strategy'!$D$11,0&lt;2))),1,0),IF(AND(I393+J393-K393&gt;0,OR('Debt strategy'!$D$10&gt;'Debt strategy'!$D$11,AND('Debt strategy'!$D$10='Debt strategy'!$D$11,1&lt;2))),1,0),IF(AND(U393+V393-W393&gt;0,OR('Debt strategy'!$D$12&gt;'Debt strategy'!$D$11,AND('Debt strategy'!$D$12='Debt strategy'!$D$11,3&lt;2))),1,0),IF(AND(AA393+AB393-AC393&gt;0,OR('Debt strategy'!$D$13&gt;'Debt strategy'!$D$11,AND('Debt strategy'!$D$13='Debt strategy'!$D$11,4&lt;2))),1,0)))</x:f>
        <x:v>99</x:v>
      </x:c>
      <x:c r="S393" s="6" t="n">
        <x:f>IF('Debt strategy'!$C$16&gt;0,0,MIN(O393+P393-Q393,MAX(0,'Debt strategy'!$C$5-SUM(E393,K393,Q393,W393,AC393)-SUM(IF(F393&lt;R393,C393+D393-E393,0),IF(L393&lt;R393,I393+J393-K393,0),IF(X393&lt;R393,U393+V393-W393,0),IF(AD393&lt;R393,AA393+AB393-AC393,0)))))</x:f>
        <x:v>0</x:v>
      </x:c>
      <x:c r="T393" s="6" t="n">
        <x:f>ROUND(MAX(0,O393+P393-Q393-S393),2)</x:f>
        <x:v>0</x:v>
      </x:c>
      <x:c r="U393" s="6" t="n">
        <x:f>Z392</x:f>
        <x:v>0</x:v>
      </x:c>
      <x:c r="V393" s="6" t="n">
        <x:f>ROUND(U393*'Debt strategy'!$D$12/12,2)</x:f>
        <x:v>0</x:v>
      </x:c>
      <x:c r="W393" s="6" t="n">
        <x:f>MIN(U393+V393,'Debt strategy'!$E$12)</x:f>
        <x:v>0</x:v>
      </x:c>
      <x:c r="X393" s="27" t="n">
        <x:f>IF(U393+V393-W393&lt;=0,99,1+SUM(IF(AND(C393+D393-E393&gt;0,OR('Debt strategy'!$D$9&gt;'Debt strategy'!$D$12,AND('Debt strategy'!$D$9='Debt strategy'!$D$12,0&lt;3))),1,0),IF(AND(I393+J393-K393&gt;0,OR('Debt strategy'!$D$10&gt;'Debt strategy'!$D$12,AND('Debt strategy'!$D$10='Debt strategy'!$D$12,1&lt;3))),1,0),IF(AND(O393+P393-Q393&gt;0,OR('Debt strategy'!$D$11&gt;'Debt strategy'!$D$12,AND('Debt strategy'!$D$11='Debt strategy'!$D$12,2&lt;3))),1,0),IF(AND(AA393+AB393-AC393&gt;0,OR('Debt strategy'!$D$13&gt;'Debt strategy'!$D$12,AND('Debt strategy'!$D$13='Debt strategy'!$D$12,4&lt;3))),1,0)))</x:f>
        <x:v>99</x:v>
      </x:c>
      <x:c r="Y393" s="6" t="n">
        <x:f>IF('Debt strategy'!$C$16&gt;0,0,MIN(U393+V393-W393,MAX(0,'Debt strategy'!$C$5-SUM(E393,K393,Q393,W393,AC393)-SUM(IF(F393&lt;X393,C393+D393-E393,0),IF(L393&lt;X393,I393+J393-K393,0),IF(R393&lt;X393,O393+P393-Q393,0),IF(AD393&lt;X393,AA393+AB393-AC393,0)))))</x:f>
        <x:v>0</x:v>
      </x:c>
      <x:c r="Z393" s="6" t="n">
        <x:f>ROUND(MAX(0,U393+V393-W393-Y393),2)</x:f>
        <x:v>0</x:v>
      </x:c>
      <x:c r="AA393" s="6" t="n">
        <x:f>AF392</x:f>
        <x:v>0</x:v>
      </x:c>
      <x:c r="AB393" s="6" t="n">
        <x:f>ROUND(AA393*'Debt strategy'!$D$13/12,2)</x:f>
        <x:v>0</x:v>
      </x:c>
      <x:c r="AC393" s="6" t="n">
        <x:f>MIN(AA393+AB393,'Debt strategy'!$E$13)</x:f>
        <x:v>0</x:v>
      </x:c>
      <x:c r="AD393" s="27" t="n">
        <x:f>IF(AA393+AB393-AC393&lt;=0,99,1+SUM(IF(AND(C393+D393-E393&gt;0,OR('Debt strategy'!$D$9&gt;'Debt strategy'!$D$13,AND('Debt strategy'!$D$9='Debt strategy'!$D$13,0&lt;4))),1,0),IF(AND(I393+J393-K393&gt;0,OR('Debt strategy'!$D$10&gt;'Debt strategy'!$D$13,AND('Debt strategy'!$D$10='Debt strategy'!$D$13,1&lt;4))),1,0),IF(AND(O393+P393-Q393&gt;0,OR('Debt strategy'!$D$11&gt;'Debt strategy'!$D$13,AND('Debt strategy'!$D$11='Debt strategy'!$D$13,2&lt;4))),1,0),IF(AND(U393+V393-W393&gt;0,OR('Debt strategy'!$D$12&gt;'Debt strategy'!$D$13,AND('Debt strategy'!$D$12='Debt strategy'!$D$13,3&lt;4))),1,0)))</x:f>
        <x:v>99</x:v>
      </x:c>
      <x:c r="AE393" s="6" t="n">
        <x:f>IF('Debt strategy'!$C$16&gt;0,0,MIN(AA393+AB393-AC393,MAX(0,'Debt strategy'!$C$5-SUM(E393,K393,Q393,W393,AC393)-SUM(IF(F393&lt;AD393,C393+D393-E393,0),IF(L393&lt;AD393,I393+J393-K393,0),IF(R393&lt;AD393,O393+P393-Q393,0),IF(X393&lt;AD393,U393+V393-W393,0)))))</x:f>
        <x:v>0</x:v>
      </x:c>
      <x:c r="AF393" s="6" t="n">
        <x:f>ROUND(MAX(0,AA393+AB393-AC393-AE393),2)</x:f>
        <x:v>0</x:v>
      </x:c>
      <x:c r="AG393" s="6" t="n">
        <x:f>SUM(H393,N393,T393,Z393,AF393)</x:f>
        <x:v>0</x:v>
      </x:c>
      <x:c r="AH393" s="6" t="n">
        <x:f>SUM(D393,J393,P393,V393,AB393)+AH392</x:f>
        <x:v>1220.8400000000001</x:v>
      </x:c>
      <x:c r="AI393" s="2"/>
    </x:row>
    <x:row r="394" ht="23" customHeight="1">
      <x:c r="B394" s="2" t="n">
        <x:f>386</x:f>
        <x:v>386</x:v>
      </x:c>
      <x:c r="C394" s="6" t="n">
        <x:f>H393</x:f>
        <x:v>0</x:v>
      </x:c>
      <x:c r="D394" s="6" t="n">
        <x:f>ROUND(C394*'Debt strategy'!$D$9/12,2)</x:f>
        <x:v>0</x:v>
      </x:c>
      <x:c r="E394" s="6" t="n">
        <x:f>MIN(C394+D394,'Debt strategy'!$E$9)</x:f>
        <x:v>0</x:v>
      </x:c>
      <x:c r="F394" s="27" t="n">
        <x:f>IF(C394+D394-E394&lt;=0,99,1+SUM(IF(AND(I394+J394-K394&gt;0,OR('Debt strategy'!$D$10&gt;'Debt strategy'!$D$9,AND('Debt strategy'!$D$10='Debt strategy'!$D$9,1&lt;0))),1,0),IF(AND(O394+P394-Q394&gt;0,OR('Debt strategy'!$D$11&gt;'Debt strategy'!$D$9,AND('Debt strategy'!$D$11='Debt strategy'!$D$9,2&lt;0))),1,0),IF(AND(U394+V394-W394&gt;0,OR('Debt strategy'!$D$12&gt;'Debt strategy'!$D$9,AND('Debt strategy'!$D$12='Debt strategy'!$D$9,3&lt;0))),1,0),IF(AND(AA394+AB394-AC394&gt;0,OR('Debt strategy'!$D$13&gt;'Debt strategy'!$D$9,AND('Debt strategy'!$D$13='Debt strategy'!$D$9,4&lt;0))),1,0)))</x:f>
        <x:v>99</x:v>
      </x:c>
      <x:c r="G394" s="6" t="n">
        <x:f>IF('Debt strategy'!$C$16&gt;0,0,MIN(C394+D394-E394,MAX(0,'Debt strategy'!$C$5-SUM(E394,K394,Q394,W394,AC394)-SUM(IF(L394&lt;F394,I394+J394-K394,0),IF(R394&lt;F394,O394+P394-Q394,0),IF(X394&lt;F394,U394+V394-W394,0),IF(AD394&lt;F394,AA394+AB394-AC394,0)))))</x:f>
        <x:v>0</x:v>
      </x:c>
      <x:c r="H394" s="6" t="n">
        <x:f>ROUND(MAX(0,C394+D394-E394-G394),2)</x:f>
        <x:v>0</x:v>
      </x:c>
      <x:c r="I394" s="6" t="n">
        <x:f>N393</x:f>
        <x:v>0</x:v>
      </x:c>
      <x:c r="J394" s="6" t="n">
        <x:f>ROUND(I394*'Debt strategy'!$D$10/12,2)</x:f>
        <x:v>0</x:v>
      </x:c>
      <x:c r="K394" s="6" t="n">
        <x:f>MIN(I394+J394,'Debt strategy'!$E$10)</x:f>
        <x:v>0</x:v>
      </x:c>
      <x:c r="L394" s="27" t="n">
        <x:f>IF(I394+J394-K394&lt;=0,99,1+SUM(IF(AND(C394+D394-E394&gt;0,OR('Debt strategy'!$D$9&gt;'Debt strategy'!$D$10,AND('Debt strategy'!$D$9='Debt strategy'!$D$10,0&lt;1))),1,0),IF(AND(O394+P394-Q394&gt;0,OR('Debt strategy'!$D$11&gt;'Debt strategy'!$D$10,AND('Debt strategy'!$D$11='Debt strategy'!$D$10,2&lt;1))),1,0),IF(AND(U394+V394-W394&gt;0,OR('Debt strategy'!$D$12&gt;'Debt strategy'!$D$10,AND('Debt strategy'!$D$12='Debt strategy'!$D$10,3&lt;1))),1,0),IF(AND(AA394+AB394-AC394&gt;0,OR('Debt strategy'!$D$13&gt;'Debt strategy'!$D$10,AND('Debt strategy'!$D$13='Debt strategy'!$D$10,4&lt;1))),1,0)))</x:f>
        <x:v>99</x:v>
      </x:c>
      <x:c r="M394" s="6" t="n">
        <x:f>IF('Debt strategy'!$C$16&gt;0,0,MIN(I394+J394-K394,MAX(0,'Debt strategy'!$C$5-SUM(E394,K394,Q394,W394,AC394)-SUM(IF(F394&lt;L394,C394+D394-E394,0),IF(R394&lt;L394,O394+P394-Q394,0),IF(X394&lt;L394,U394+V394-W394,0),IF(AD394&lt;L394,AA394+AB394-AC394,0)))))</x:f>
        <x:v>0</x:v>
      </x:c>
      <x:c r="N394" s="6" t="n">
        <x:f>ROUND(MAX(0,I394+J394-K394-M394),2)</x:f>
        <x:v>0</x:v>
      </x:c>
      <x:c r="O394" s="6" t="n">
        <x:f>T393</x:f>
        <x:v>0</x:v>
      </x:c>
      <x:c r="P394" s="6" t="n">
        <x:f>ROUND(O394*'Debt strategy'!$D$11/12,2)</x:f>
        <x:v>0</x:v>
      </x:c>
      <x:c r="Q394" s="6" t="n">
        <x:f>MIN(O394+P394,'Debt strategy'!$E$11)</x:f>
        <x:v>0</x:v>
      </x:c>
      <x:c r="R394" s="27" t="n">
        <x:f>IF(O394+P394-Q394&lt;=0,99,1+SUM(IF(AND(C394+D394-E394&gt;0,OR('Debt strategy'!$D$9&gt;'Debt strategy'!$D$11,AND('Debt strategy'!$D$9='Debt strategy'!$D$11,0&lt;2))),1,0),IF(AND(I394+J394-K394&gt;0,OR('Debt strategy'!$D$10&gt;'Debt strategy'!$D$11,AND('Debt strategy'!$D$10='Debt strategy'!$D$11,1&lt;2))),1,0),IF(AND(U394+V394-W394&gt;0,OR('Debt strategy'!$D$12&gt;'Debt strategy'!$D$11,AND('Debt strategy'!$D$12='Debt strategy'!$D$11,3&lt;2))),1,0),IF(AND(AA394+AB394-AC394&gt;0,OR('Debt strategy'!$D$13&gt;'Debt strategy'!$D$11,AND('Debt strategy'!$D$13='Debt strategy'!$D$11,4&lt;2))),1,0)))</x:f>
        <x:v>99</x:v>
      </x:c>
      <x:c r="S394" s="6" t="n">
        <x:f>IF('Debt strategy'!$C$16&gt;0,0,MIN(O394+P394-Q394,MAX(0,'Debt strategy'!$C$5-SUM(E394,K394,Q394,W394,AC394)-SUM(IF(F394&lt;R394,C394+D394-E394,0),IF(L394&lt;R394,I394+J394-K394,0),IF(X394&lt;R394,U394+V394-W394,0),IF(AD394&lt;R394,AA394+AB394-AC394,0)))))</x:f>
        <x:v>0</x:v>
      </x:c>
      <x:c r="T394" s="6" t="n">
        <x:f>ROUND(MAX(0,O394+P394-Q394-S394),2)</x:f>
        <x:v>0</x:v>
      </x:c>
      <x:c r="U394" s="6" t="n">
        <x:f>Z393</x:f>
        <x:v>0</x:v>
      </x:c>
      <x:c r="V394" s="6" t="n">
        <x:f>ROUND(U394*'Debt strategy'!$D$12/12,2)</x:f>
        <x:v>0</x:v>
      </x:c>
      <x:c r="W394" s="6" t="n">
        <x:f>MIN(U394+V394,'Debt strategy'!$E$12)</x:f>
        <x:v>0</x:v>
      </x:c>
      <x:c r="X394" s="27" t="n">
        <x:f>IF(U394+V394-W394&lt;=0,99,1+SUM(IF(AND(C394+D394-E394&gt;0,OR('Debt strategy'!$D$9&gt;'Debt strategy'!$D$12,AND('Debt strategy'!$D$9='Debt strategy'!$D$12,0&lt;3))),1,0),IF(AND(I394+J394-K394&gt;0,OR('Debt strategy'!$D$10&gt;'Debt strategy'!$D$12,AND('Debt strategy'!$D$10='Debt strategy'!$D$12,1&lt;3))),1,0),IF(AND(O394+P394-Q394&gt;0,OR('Debt strategy'!$D$11&gt;'Debt strategy'!$D$12,AND('Debt strategy'!$D$11='Debt strategy'!$D$12,2&lt;3))),1,0),IF(AND(AA394+AB394-AC394&gt;0,OR('Debt strategy'!$D$13&gt;'Debt strategy'!$D$12,AND('Debt strategy'!$D$13='Debt strategy'!$D$12,4&lt;3))),1,0)))</x:f>
        <x:v>99</x:v>
      </x:c>
      <x:c r="Y394" s="6" t="n">
        <x:f>IF('Debt strategy'!$C$16&gt;0,0,MIN(U394+V394-W394,MAX(0,'Debt strategy'!$C$5-SUM(E394,K394,Q394,W394,AC394)-SUM(IF(F394&lt;X394,C394+D394-E394,0),IF(L394&lt;X394,I394+J394-K394,0),IF(R394&lt;X394,O394+P394-Q394,0),IF(AD394&lt;X394,AA394+AB394-AC394,0)))))</x:f>
        <x:v>0</x:v>
      </x:c>
      <x:c r="Z394" s="6" t="n">
        <x:f>ROUND(MAX(0,U394+V394-W394-Y394),2)</x:f>
        <x:v>0</x:v>
      </x:c>
      <x:c r="AA394" s="6" t="n">
        <x:f>AF393</x:f>
        <x:v>0</x:v>
      </x:c>
      <x:c r="AB394" s="6" t="n">
        <x:f>ROUND(AA394*'Debt strategy'!$D$13/12,2)</x:f>
        <x:v>0</x:v>
      </x:c>
      <x:c r="AC394" s="6" t="n">
        <x:f>MIN(AA394+AB394,'Debt strategy'!$E$13)</x:f>
        <x:v>0</x:v>
      </x:c>
      <x:c r="AD394" s="27" t="n">
        <x:f>IF(AA394+AB394-AC394&lt;=0,99,1+SUM(IF(AND(C394+D394-E394&gt;0,OR('Debt strategy'!$D$9&gt;'Debt strategy'!$D$13,AND('Debt strategy'!$D$9='Debt strategy'!$D$13,0&lt;4))),1,0),IF(AND(I394+J394-K394&gt;0,OR('Debt strategy'!$D$10&gt;'Debt strategy'!$D$13,AND('Debt strategy'!$D$10='Debt strategy'!$D$13,1&lt;4))),1,0),IF(AND(O394+P394-Q394&gt;0,OR('Debt strategy'!$D$11&gt;'Debt strategy'!$D$13,AND('Debt strategy'!$D$11='Debt strategy'!$D$13,2&lt;4))),1,0),IF(AND(U394+V394-W394&gt;0,OR('Debt strategy'!$D$12&gt;'Debt strategy'!$D$13,AND('Debt strategy'!$D$12='Debt strategy'!$D$13,3&lt;4))),1,0)))</x:f>
        <x:v>99</x:v>
      </x:c>
      <x:c r="AE394" s="6" t="n">
        <x:f>IF('Debt strategy'!$C$16&gt;0,0,MIN(AA394+AB394-AC394,MAX(0,'Debt strategy'!$C$5-SUM(E394,K394,Q394,W394,AC394)-SUM(IF(F394&lt;AD394,C394+D394-E394,0),IF(L394&lt;AD394,I394+J394-K394,0),IF(R394&lt;AD394,O394+P394-Q394,0),IF(X394&lt;AD394,U394+V394-W394,0)))))</x:f>
        <x:v>0</x:v>
      </x:c>
      <x:c r="AF394" s="6" t="n">
        <x:f>ROUND(MAX(0,AA394+AB394-AC394-AE394),2)</x:f>
        <x:v>0</x:v>
      </x:c>
      <x:c r="AG394" s="6" t="n">
        <x:f>SUM(H394,N394,T394,Z394,AF394)</x:f>
        <x:v>0</x:v>
      </x:c>
      <x:c r="AH394" s="6" t="n">
        <x:f>SUM(D394,J394,P394,V394,AB394)+AH393</x:f>
        <x:v>1220.8400000000001</x:v>
      </x:c>
      <x:c r="AI394" s="2"/>
    </x:row>
    <x:row r="395" ht="23" customHeight="1">
      <x:c r="B395" s="2" t="n">
        <x:f>387</x:f>
        <x:v>387</x:v>
      </x:c>
      <x:c r="C395" s="6" t="n">
        <x:f>H394</x:f>
        <x:v>0</x:v>
      </x:c>
      <x:c r="D395" s="6" t="n">
        <x:f>ROUND(C395*'Debt strategy'!$D$9/12,2)</x:f>
        <x:v>0</x:v>
      </x:c>
      <x:c r="E395" s="6" t="n">
        <x:f>MIN(C395+D395,'Debt strategy'!$E$9)</x:f>
        <x:v>0</x:v>
      </x:c>
      <x:c r="F395" s="27" t="n">
        <x:f>IF(C395+D395-E395&lt;=0,99,1+SUM(IF(AND(I395+J395-K395&gt;0,OR('Debt strategy'!$D$10&gt;'Debt strategy'!$D$9,AND('Debt strategy'!$D$10='Debt strategy'!$D$9,1&lt;0))),1,0),IF(AND(O395+P395-Q395&gt;0,OR('Debt strategy'!$D$11&gt;'Debt strategy'!$D$9,AND('Debt strategy'!$D$11='Debt strategy'!$D$9,2&lt;0))),1,0),IF(AND(U395+V395-W395&gt;0,OR('Debt strategy'!$D$12&gt;'Debt strategy'!$D$9,AND('Debt strategy'!$D$12='Debt strategy'!$D$9,3&lt;0))),1,0),IF(AND(AA395+AB395-AC395&gt;0,OR('Debt strategy'!$D$13&gt;'Debt strategy'!$D$9,AND('Debt strategy'!$D$13='Debt strategy'!$D$9,4&lt;0))),1,0)))</x:f>
        <x:v>99</x:v>
      </x:c>
      <x:c r="G395" s="6" t="n">
        <x:f>IF('Debt strategy'!$C$16&gt;0,0,MIN(C395+D395-E395,MAX(0,'Debt strategy'!$C$5-SUM(E395,K395,Q395,W395,AC395)-SUM(IF(L395&lt;F395,I395+J395-K395,0),IF(R395&lt;F395,O395+P395-Q395,0),IF(X395&lt;F395,U395+V395-W395,0),IF(AD395&lt;F395,AA395+AB395-AC395,0)))))</x:f>
        <x:v>0</x:v>
      </x:c>
      <x:c r="H395" s="6" t="n">
        <x:f>ROUND(MAX(0,C395+D395-E395-G395),2)</x:f>
        <x:v>0</x:v>
      </x:c>
      <x:c r="I395" s="6" t="n">
        <x:f>N394</x:f>
        <x:v>0</x:v>
      </x:c>
      <x:c r="J395" s="6" t="n">
        <x:f>ROUND(I395*'Debt strategy'!$D$10/12,2)</x:f>
        <x:v>0</x:v>
      </x:c>
      <x:c r="K395" s="6" t="n">
        <x:f>MIN(I395+J395,'Debt strategy'!$E$10)</x:f>
        <x:v>0</x:v>
      </x:c>
      <x:c r="L395" s="27" t="n">
        <x:f>IF(I395+J395-K395&lt;=0,99,1+SUM(IF(AND(C395+D395-E395&gt;0,OR('Debt strategy'!$D$9&gt;'Debt strategy'!$D$10,AND('Debt strategy'!$D$9='Debt strategy'!$D$10,0&lt;1))),1,0),IF(AND(O395+P395-Q395&gt;0,OR('Debt strategy'!$D$11&gt;'Debt strategy'!$D$10,AND('Debt strategy'!$D$11='Debt strategy'!$D$10,2&lt;1))),1,0),IF(AND(U395+V395-W395&gt;0,OR('Debt strategy'!$D$12&gt;'Debt strategy'!$D$10,AND('Debt strategy'!$D$12='Debt strategy'!$D$10,3&lt;1))),1,0),IF(AND(AA395+AB395-AC395&gt;0,OR('Debt strategy'!$D$13&gt;'Debt strategy'!$D$10,AND('Debt strategy'!$D$13='Debt strategy'!$D$10,4&lt;1))),1,0)))</x:f>
        <x:v>99</x:v>
      </x:c>
      <x:c r="M395" s="6" t="n">
        <x:f>IF('Debt strategy'!$C$16&gt;0,0,MIN(I395+J395-K395,MAX(0,'Debt strategy'!$C$5-SUM(E395,K395,Q395,W395,AC395)-SUM(IF(F395&lt;L395,C395+D395-E395,0),IF(R395&lt;L395,O395+P395-Q395,0),IF(X395&lt;L395,U395+V395-W395,0),IF(AD395&lt;L395,AA395+AB395-AC395,0)))))</x:f>
        <x:v>0</x:v>
      </x:c>
      <x:c r="N395" s="6" t="n">
        <x:f>ROUND(MAX(0,I395+J395-K395-M395),2)</x:f>
        <x:v>0</x:v>
      </x:c>
      <x:c r="O395" s="6" t="n">
        <x:f>T394</x:f>
        <x:v>0</x:v>
      </x:c>
      <x:c r="P395" s="6" t="n">
        <x:f>ROUND(O395*'Debt strategy'!$D$11/12,2)</x:f>
        <x:v>0</x:v>
      </x:c>
      <x:c r="Q395" s="6" t="n">
        <x:f>MIN(O395+P395,'Debt strategy'!$E$11)</x:f>
        <x:v>0</x:v>
      </x:c>
      <x:c r="R395" s="27" t="n">
        <x:f>IF(O395+P395-Q395&lt;=0,99,1+SUM(IF(AND(C395+D395-E395&gt;0,OR('Debt strategy'!$D$9&gt;'Debt strategy'!$D$11,AND('Debt strategy'!$D$9='Debt strategy'!$D$11,0&lt;2))),1,0),IF(AND(I395+J395-K395&gt;0,OR('Debt strategy'!$D$10&gt;'Debt strategy'!$D$11,AND('Debt strategy'!$D$10='Debt strategy'!$D$11,1&lt;2))),1,0),IF(AND(U395+V395-W395&gt;0,OR('Debt strategy'!$D$12&gt;'Debt strategy'!$D$11,AND('Debt strategy'!$D$12='Debt strategy'!$D$11,3&lt;2))),1,0),IF(AND(AA395+AB395-AC395&gt;0,OR('Debt strategy'!$D$13&gt;'Debt strategy'!$D$11,AND('Debt strategy'!$D$13='Debt strategy'!$D$11,4&lt;2))),1,0)))</x:f>
        <x:v>99</x:v>
      </x:c>
      <x:c r="S395" s="6" t="n">
        <x:f>IF('Debt strategy'!$C$16&gt;0,0,MIN(O395+P395-Q395,MAX(0,'Debt strategy'!$C$5-SUM(E395,K395,Q395,W395,AC395)-SUM(IF(F395&lt;R395,C395+D395-E395,0),IF(L395&lt;R395,I395+J395-K395,0),IF(X395&lt;R395,U395+V395-W395,0),IF(AD395&lt;R395,AA395+AB395-AC395,0)))))</x:f>
        <x:v>0</x:v>
      </x:c>
      <x:c r="T395" s="6" t="n">
        <x:f>ROUND(MAX(0,O395+P395-Q395-S395),2)</x:f>
        <x:v>0</x:v>
      </x:c>
      <x:c r="U395" s="6" t="n">
        <x:f>Z394</x:f>
        <x:v>0</x:v>
      </x:c>
      <x:c r="V395" s="6" t="n">
        <x:f>ROUND(U395*'Debt strategy'!$D$12/12,2)</x:f>
        <x:v>0</x:v>
      </x:c>
      <x:c r="W395" s="6" t="n">
        <x:f>MIN(U395+V395,'Debt strategy'!$E$12)</x:f>
        <x:v>0</x:v>
      </x:c>
      <x:c r="X395" s="27" t="n">
        <x:f>IF(U395+V395-W395&lt;=0,99,1+SUM(IF(AND(C395+D395-E395&gt;0,OR('Debt strategy'!$D$9&gt;'Debt strategy'!$D$12,AND('Debt strategy'!$D$9='Debt strategy'!$D$12,0&lt;3))),1,0),IF(AND(I395+J395-K395&gt;0,OR('Debt strategy'!$D$10&gt;'Debt strategy'!$D$12,AND('Debt strategy'!$D$10='Debt strategy'!$D$12,1&lt;3))),1,0),IF(AND(O395+P395-Q395&gt;0,OR('Debt strategy'!$D$11&gt;'Debt strategy'!$D$12,AND('Debt strategy'!$D$11='Debt strategy'!$D$12,2&lt;3))),1,0),IF(AND(AA395+AB395-AC395&gt;0,OR('Debt strategy'!$D$13&gt;'Debt strategy'!$D$12,AND('Debt strategy'!$D$13='Debt strategy'!$D$12,4&lt;3))),1,0)))</x:f>
        <x:v>99</x:v>
      </x:c>
      <x:c r="Y395" s="6" t="n">
        <x:f>IF('Debt strategy'!$C$16&gt;0,0,MIN(U395+V395-W395,MAX(0,'Debt strategy'!$C$5-SUM(E395,K395,Q395,W395,AC395)-SUM(IF(F395&lt;X395,C395+D395-E395,0),IF(L395&lt;X395,I395+J395-K395,0),IF(R395&lt;X395,O395+P395-Q395,0),IF(AD395&lt;X395,AA395+AB395-AC395,0)))))</x:f>
        <x:v>0</x:v>
      </x:c>
      <x:c r="Z395" s="6" t="n">
        <x:f>ROUND(MAX(0,U395+V395-W395-Y395),2)</x:f>
        <x:v>0</x:v>
      </x:c>
      <x:c r="AA395" s="6" t="n">
        <x:f>AF394</x:f>
        <x:v>0</x:v>
      </x:c>
      <x:c r="AB395" s="6" t="n">
        <x:f>ROUND(AA395*'Debt strategy'!$D$13/12,2)</x:f>
        <x:v>0</x:v>
      </x:c>
      <x:c r="AC395" s="6" t="n">
        <x:f>MIN(AA395+AB395,'Debt strategy'!$E$13)</x:f>
        <x:v>0</x:v>
      </x:c>
      <x:c r="AD395" s="27" t="n">
        <x:f>IF(AA395+AB395-AC395&lt;=0,99,1+SUM(IF(AND(C395+D395-E395&gt;0,OR('Debt strategy'!$D$9&gt;'Debt strategy'!$D$13,AND('Debt strategy'!$D$9='Debt strategy'!$D$13,0&lt;4))),1,0),IF(AND(I395+J395-K395&gt;0,OR('Debt strategy'!$D$10&gt;'Debt strategy'!$D$13,AND('Debt strategy'!$D$10='Debt strategy'!$D$13,1&lt;4))),1,0),IF(AND(O395+P395-Q395&gt;0,OR('Debt strategy'!$D$11&gt;'Debt strategy'!$D$13,AND('Debt strategy'!$D$11='Debt strategy'!$D$13,2&lt;4))),1,0),IF(AND(U395+V395-W395&gt;0,OR('Debt strategy'!$D$12&gt;'Debt strategy'!$D$13,AND('Debt strategy'!$D$12='Debt strategy'!$D$13,3&lt;4))),1,0)))</x:f>
        <x:v>99</x:v>
      </x:c>
      <x:c r="AE395" s="6" t="n">
        <x:f>IF('Debt strategy'!$C$16&gt;0,0,MIN(AA395+AB395-AC395,MAX(0,'Debt strategy'!$C$5-SUM(E395,K395,Q395,W395,AC395)-SUM(IF(F395&lt;AD395,C395+D395-E395,0),IF(L395&lt;AD395,I395+J395-K395,0),IF(R395&lt;AD395,O395+P395-Q395,0),IF(X395&lt;AD395,U395+V395-W395,0)))))</x:f>
        <x:v>0</x:v>
      </x:c>
      <x:c r="AF395" s="6" t="n">
        <x:f>ROUND(MAX(0,AA395+AB395-AC395-AE395),2)</x:f>
        <x:v>0</x:v>
      </x:c>
      <x:c r="AG395" s="6" t="n">
        <x:f>SUM(H395,N395,T395,Z395,AF395)</x:f>
        <x:v>0</x:v>
      </x:c>
      <x:c r="AH395" s="6" t="n">
        <x:f>SUM(D395,J395,P395,V395,AB395)+AH394</x:f>
        <x:v>1220.8400000000001</x:v>
      </x:c>
      <x:c r="AI395" s="2"/>
    </x:row>
    <x:row r="396" ht="23" customHeight="1">
      <x:c r="B396" s="2" t="n">
        <x:f>388</x:f>
        <x:v>388</x:v>
      </x:c>
      <x:c r="C396" s="6" t="n">
        <x:f>H395</x:f>
        <x:v>0</x:v>
      </x:c>
      <x:c r="D396" s="6" t="n">
        <x:f>ROUND(C396*'Debt strategy'!$D$9/12,2)</x:f>
        <x:v>0</x:v>
      </x:c>
      <x:c r="E396" s="6" t="n">
        <x:f>MIN(C396+D396,'Debt strategy'!$E$9)</x:f>
        <x:v>0</x:v>
      </x:c>
      <x:c r="F396" s="27" t="n">
        <x:f>IF(C396+D396-E396&lt;=0,99,1+SUM(IF(AND(I396+J396-K396&gt;0,OR('Debt strategy'!$D$10&gt;'Debt strategy'!$D$9,AND('Debt strategy'!$D$10='Debt strategy'!$D$9,1&lt;0))),1,0),IF(AND(O396+P396-Q396&gt;0,OR('Debt strategy'!$D$11&gt;'Debt strategy'!$D$9,AND('Debt strategy'!$D$11='Debt strategy'!$D$9,2&lt;0))),1,0),IF(AND(U396+V396-W396&gt;0,OR('Debt strategy'!$D$12&gt;'Debt strategy'!$D$9,AND('Debt strategy'!$D$12='Debt strategy'!$D$9,3&lt;0))),1,0),IF(AND(AA396+AB396-AC396&gt;0,OR('Debt strategy'!$D$13&gt;'Debt strategy'!$D$9,AND('Debt strategy'!$D$13='Debt strategy'!$D$9,4&lt;0))),1,0)))</x:f>
        <x:v>99</x:v>
      </x:c>
      <x:c r="G396" s="6" t="n">
        <x:f>IF('Debt strategy'!$C$16&gt;0,0,MIN(C396+D396-E396,MAX(0,'Debt strategy'!$C$5-SUM(E396,K396,Q396,W396,AC396)-SUM(IF(L396&lt;F396,I396+J396-K396,0),IF(R396&lt;F396,O396+P396-Q396,0),IF(X396&lt;F396,U396+V396-W396,0),IF(AD396&lt;F396,AA396+AB396-AC396,0)))))</x:f>
        <x:v>0</x:v>
      </x:c>
      <x:c r="H396" s="6" t="n">
        <x:f>ROUND(MAX(0,C396+D396-E396-G396),2)</x:f>
        <x:v>0</x:v>
      </x:c>
      <x:c r="I396" s="6" t="n">
        <x:f>N395</x:f>
        <x:v>0</x:v>
      </x:c>
      <x:c r="J396" s="6" t="n">
        <x:f>ROUND(I396*'Debt strategy'!$D$10/12,2)</x:f>
        <x:v>0</x:v>
      </x:c>
      <x:c r="K396" s="6" t="n">
        <x:f>MIN(I396+J396,'Debt strategy'!$E$10)</x:f>
        <x:v>0</x:v>
      </x:c>
      <x:c r="L396" s="27" t="n">
        <x:f>IF(I396+J396-K396&lt;=0,99,1+SUM(IF(AND(C396+D396-E396&gt;0,OR('Debt strategy'!$D$9&gt;'Debt strategy'!$D$10,AND('Debt strategy'!$D$9='Debt strategy'!$D$10,0&lt;1))),1,0),IF(AND(O396+P396-Q396&gt;0,OR('Debt strategy'!$D$11&gt;'Debt strategy'!$D$10,AND('Debt strategy'!$D$11='Debt strategy'!$D$10,2&lt;1))),1,0),IF(AND(U396+V396-W396&gt;0,OR('Debt strategy'!$D$12&gt;'Debt strategy'!$D$10,AND('Debt strategy'!$D$12='Debt strategy'!$D$10,3&lt;1))),1,0),IF(AND(AA396+AB396-AC396&gt;0,OR('Debt strategy'!$D$13&gt;'Debt strategy'!$D$10,AND('Debt strategy'!$D$13='Debt strategy'!$D$10,4&lt;1))),1,0)))</x:f>
        <x:v>99</x:v>
      </x:c>
      <x:c r="M396" s="6" t="n">
        <x:f>IF('Debt strategy'!$C$16&gt;0,0,MIN(I396+J396-K396,MAX(0,'Debt strategy'!$C$5-SUM(E396,K396,Q396,W396,AC396)-SUM(IF(F396&lt;L396,C396+D396-E396,0),IF(R396&lt;L396,O396+P396-Q396,0),IF(X396&lt;L396,U396+V396-W396,0),IF(AD396&lt;L396,AA396+AB396-AC396,0)))))</x:f>
        <x:v>0</x:v>
      </x:c>
      <x:c r="N396" s="6" t="n">
        <x:f>ROUND(MAX(0,I396+J396-K396-M396),2)</x:f>
        <x:v>0</x:v>
      </x:c>
      <x:c r="O396" s="6" t="n">
        <x:f>T395</x:f>
        <x:v>0</x:v>
      </x:c>
      <x:c r="P396" s="6" t="n">
        <x:f>ROUND(O396*'Debt strategy'!$D$11/12,2)</x:f>
        <x:v>0</x:v>
      </x:c>
      <x:c r="Q396" s="6" t="n">
        <x:f>MIN(O396+P396,'Debt strategy'!$E$11)</x:f>
        <x:v>0</x:v>
      </x:c>
      <x:c r="R396" s="27" t="n">
        <x:f>IF(O396+P396-Q396&lt;=0,99,1+SUM(IF(AND(C396+D396-E396&gt;0,OR('Debt strategy'!$D$9&gt;'Debt strategy'!$D$11,AND('Debt strategy'!$D$9='Debt strategy'!$D$11,0&lt;2))),1,0),IF(AND(I396+J396-K396&gt;0,OR('Debt strategy'!$D$10&gt;'Debt strategy'!$D$11,AND('Debt strategy'!$D$10='Debt strategy'!$D$11,1&lt;2))),1,0),IF(AND(U396+V396-W396&gt;0,OR('Debt strategy'!$D$12&gt;'Debt strategy'!$D$11,AND('Debt strategy'!$D$12='Debt strategy'!$D$11,3&lt;2))),1,0),IF(AND(AA396+AB396-AC396&gt;0,OR('Debt strategy'!$D$13&gt;'Debt strategy'!$D$11,AND('Debt strategy'!$D$13='Debt strategy'!$D$11,4&lt;2))),1,0)))</x:f>
        <x:v>99</x:v>
      </x:c>
      <x:c r="S396" s="6" t="n">
        <x:f>IF('Debt strategy'!$C$16&gt;0,0,MIN(O396+P396-Q396,MAX(0,'Debt strategy'!$C$5-SUM(E396,K396,Q396,W396,AC396)-SUM(IF(F396&lt;R396,C396+D396-E396,0),IF(L396&lt;R396,I396+J396-K396,0),IF(X396&lt;R396,U396+V396-W396,0),IF(AD396&lt;R396,AA396+AB396-AC396,0)))))</x:f>
        <x:v>0</x:v>
      </x:c>
      <x:c r="T396" s="6" t="n">
        <x:f>ROUND(MAX(0,O396+P396-Q396-S396),2)</x:f>
        <x:v>0</x:v>
      </x:c>
      <x:c r="U396" s="6" t="n">
        <x:f>Z395</x:f>
        <x:v>0</x:v>
      </x:c>
      <x:c r="V396" s="6" t="n">
        <x:f>ROUND(U396*'Debt strategy'!$D$12/12,2)</x:f>
        <x:v>0</x:v>
      </x:c>
      <x:c r="W396" s="6" t="n">
        <x:f>MIN(U396+V396,'Debt strategy'!$E$12)</x:f>
        <x:v>0</x:v>
      </x:c>
      <x:c r="X396" s="27" t="n">
        <x:f>IF(U396+V396-W396&lt;=0,99,1+SUM(IF(AND(C396+D396-E396&gt;0,OR('Debt strategy'!$D$9&gt;'Debt strategy'!$D$12,AND('Debt strategy'!$D$9='Debt strategy'!$D$12,0&lt;3))),1,0),IF(AND(I396+J396-K396&gt;0,OR('Debt strategy'!$D$10&gt;'Debt strategy'!$D$12,AND('Debt strategy'!$D$10='Debt strategy'!$D$12,1&lt;3))),1,0),IF(AND(O396+P396-Q396&gt;0,OR('Debt strategy'!$D$11&gt;'Debt strategy'!$D$12,AND('Debt strategy'!$D$11='Debt strategy'!$D$12,2&lt;3))),1,0),IF(AND(AA396+AB396-AC396&gt;0,OR('Debt strategy'!$D$13&gt;'Debt strategy'!$D$12,AND('Debt strategy'!$D$13='Debt strategy'!$D$12,4&lt;3))),1,0)))</x:f>
        <x:v>99</x:v>
      </x:c>
      <x:c r="Y396" s="6" t="n">
        <x:f>IF('Debt strategy'!$C$16&gt;0,0,MIN(U396+V396-W396,MAX(0,'Debt strategy'!$C$5-SUM(E396,K396,Q396,W396,AC396)-SUM(IF(F396&lt;X396,C396+D396-E396,0),IF(L396&lt;X396,I396+J396-K396,0),IF(R396&lt;X396,O396+P396-Q396,0),IF(AD396&lt;X396,AA396+AB396-AC396,0)))))</x:f>
        <x:v>0</x:v>
      </x:c>
      <x:c r="Z396" s="6" t="n">
        <x:f>ROUND(MAX(0,U396+V396-W396-Y396),2)</x:f>
        <x:v>0</x:v>
      </x:c>
      <x:c r="AA396" s="6" t="n">
        <x:f>AF395</x:f>
        <x:v>0</x:v>
      </x:c>
      <x:c r="AB396" s="6" t="n">
        <x:f>ROUND(AA396*'Debt strategy'!$D$13/12,2)</x:f>
        <x:v>0</x:v>
      </x:c>
      <x:c r="AC396" s="6" t="n">
        <x:f>MIN(AA396+AB396,'Debt strategy'!$E$13)</x:f>
        <x:v>0</x:v>
      </x:c>
      <x:c r="AD396" s="27" t="n">
        <x:f>IF(AA396+AB396-AC396&lt;=0,99,1+SUM(IF(AND(C396+D396-E396&gt;0,OR('Debt strategy'!$D$9&gt;'Debt strategy'!$D$13,AND('Debt strategy'!$D$9='Debt strategy'!$D$13,0&lt;4))),1,0),IF(AND(I396+J396-K396&gt;0,OR('Debt strategy'!$D$10&gt;'Debt strategy'!$D$13,AND('Debt strategy'!$D$10='Debt strategy'!$D$13,1&lt;4))),1,0),IF(AND(O396+P396-Q396&gt;0,OR('Debt strategy'!$D$11&gt;'Debt strategy'!$D$13,AND('Debt strategy'!$D$11='Debt strategy'!$D$13,2&lt;4))),1,0),IF(AND(U396+V396-W396&gt;0,OR('Debt strategy'!$D$12&gt;'Debt strategy'!$D$13,AND('Debt strategy'!$D$12='Debt strategy'!$D$13,3&lt;4))),1,0)))</x:f>
        <x:v>99</x:v>
      </x:c>
      <x:c r="AE396" s="6" t="n">
        <x:f>IF('Debt strategy'!$C$16&gt;0,0,MIN(AA396+AB396-AC396,MAX(0,'Debt strategy'!$C$5-SUM(E396,K396,Q396,W396,AC396)-SUM(IF(F396&lt;AD396,C396+D396-E396,0),IF(L396&lt;AD396,I396+J396-K396,0),IF(R396&lt;AD396,O396+P396-Q396,0),IF(X396&lt;AD396,U396+V396-W396,0)))))</x:f>
        <x:v>0</x:v>
      </x:c>
      <x:c r="AF396" s="6" t="n">
        <x:f>ROUND(MAX(0,AA396+AB396-AC396-AE396),2)</x:f>
        <x:v>0</x:v>
      </x:c>
      <x:c r="AG396" s="6" t="n">
        <x:f>SUM(H396,N396,T396,Z396,AF396)</x:f>
        <x:v>0</x:v>
      </x:c>
      <x:c r="AH396" s="6" t="n">
        <x:f>SUM(D396,J396,P396,V396,AB396)+AH395</x:f>
        <x:v>1220.8400000000001</x:v>
      </x:c>
      <x:c r="AI396" s="2"/>
    </x:row>
    <x:row r="397" ht="23" customHeight="1">
      <x:c r="B397" s="2" t="n">
        <x:f>389</x:f>
        <x:v>389</x:v>
      </x:c>
      <x:c r="C397" s="6" t="n">
        <x:f>H396</x:f>
        <x:v>0</x:v>
      </x:c>
      <x:c r="D397" s="6" t="n">
        <x:f>ROUND(C397*'Debt strategy'!$D$9/12,2)</x:f>
        <x:v>0</x:v>
      </x:c>
      <x:c r="E397" s="6" t="n">
        <x:f>MIN(C397+D397,'Debt strategy'!$E$9)</x:f>
        <x:v>0</x:v>
      </x:c>
      <x:c r="F397" s="27" t="n">
        <x:f>IF(C397+D397-E397&lt;=0,99,1+SUM(IF(AND(I397+J397-K397&gt;0,OR('Debt strategy'!$D$10&gt;'Debt strategy'!$D$9,AND('Debt strategy'!$D$10='Debt strategy'!$D$9,1&lt;0))),1,0),IF(AND(O397+P397-Q397&gt;0,OR('Debt strategy'!$D$11&gt;'Debt strategy'!$D$9,AND('Debt strategy'!$D$11='Debt strategy'!$D$9,2&lt;0))),1,0),IF(AND(U397+V397-W397&gt;0,OR('Debt strategy'!$D$12&gt;'Debt strategy'!$D$9,AND('Debt strategy'!$D$12='Debt strategy'!$D$9,3&lt;0))),1,0),IF(AND(AA397+AB397-AC397&gt;0,OR('Debt strategy'!$D$13&gt;'Debt strategy'!$D$9,AND('Debt strategy'!$D$13='Debt strategy'!$D$9,4&lt;0))),1,0)))</x:f>
        <x:v>99</x:v>
      </x:c>
      <x:c r="G397" s="6" t="n">
        <x:f>IF('Debt strategy'!$C$16&gt;0,0,MIN(C397+D397-E397,MAX(0,'Debt strategy'!$C$5-SUM(E397,K397,Q397,W397,AC397)-SUM(IF(L397&lt;F397,I397+J397-K397,0),IF(R397&lt;F397,O397+P397-Q397,0),IF(X397&lt;F397,U397+V397-W397,0),IF(AD397&lt;F397,AA397+AB397-AC397,0)))))</x:f>
        <x:v>0</x:v>
      </x:c>
      <x:c r="H397" s="6" t="n">
        <x:f>ROUND(MAX(0,C397+D397-E397-G397),2)</x:f>
        <x:v>0</x:v>
      </x:c>
      <x:c r="I397" s="6" t="n">
        <x:f>N396</x:f>
        <x:v>0</x:v>
      </x:c>
      <x:c r="J397" s="6" t="n">
        <x:f>ROUND(I397*'Debt strategy'!$D$10/12,2)</x:f>
        <x:v>0</x:v>
      </x:c>
      <x:c r="K397" s="6" t="n">
        <x:f>MIN(I397+J397,'Debt strategy'!$E$10)</x:f>
        <x:v>0</x:v>
      </x:c>
      <x:c r="L397" s="27" t="n">
        <x:f>IF(I397+J397-K397&lt;=0,99,1+SUM(IF(AND(C397+D397-E397&gt;0,OR('Debt strategy'!$D$9&gt;'Debt strategy'!$D$10,AND('Debt strategy'!$D$9='Debt strategy'!$D$10,0&lt;1))),1,0),IF(AND(O397+P397-Q397&gt;0,OR('Debt strategy'!$D$11&gt;'Debt strategy'!$D$10,AND('Debt strategy'!$D$11='Debt strategy'!$D$10,2&lt;1))),1,0),IF(AND(U397+V397-W397&gt;0,OR('Debt strategy'!$D$12&gt;'Debt strategy'!$D$10,AND('Debt strategy'!$D$12='Debt strategy'!$D$10,3&lt;1))),1,0),IF(AND(AA397+AB397-AC397&gt;0,OR('Debt strategy'!$D$13&gt;'Debt strategy'!$D$10,AND('Debt strategy'!$D$13='Debt strategy'!$D$10,4&lt;1))),1,0)))</x:f>
        <x:v>99</x:v>
      </x:c>
      <x:c r="M397" s="6" t="n">
        <x:f>IF('Debt strategy'!$C$16&gt;0,0,MIN(I397+J397-K397,MAX(0,'Debt strategy'!$C$5-SUM(E397,K397,Q397,W397,AC397)-SUM(IF(F397&lt;L397,C397+D397-E397,0),IF(R397&lt;L397,O397+P397-Q397,0),IF(X397&lt;L397,U397+V397-W397,0),IF(AD397&lt;L397,AA397+AB397-AC397,0)))))</x:f>
        <x:v>0</x:v>
      </x:c>
      <x:c r="N397" s="6" t="n">
        <x:f>ROUND(MAX(0,I397+J397-K397-M397),2)</x:f>
        <x:v>0</x:v>
      </x:c>
      <x:c r="O397" s="6" t="n">
        <x:f>T396</x:f>
        <x:v>0</x:v>
      </x:c>
      <x:c r="P397" s="6" t="n">
        <x:f>ROUND(O397*'Debt strategy'!$D$11/12,2)</x:f>
        <x:v>0</x:v>
      </x:c>
      <x:c r="Q397" s="6" t="n">
        <x:f>MIN(O397+P397,'Debt strategy'!$E$11)</x:f>
        <x:v>0</x:v>
      </x:c>
      <x:c r="R397" s="27" t="n">
        <x:f>IF(O397+P397-Q397&lt;=0,99,1+SUM(IF(AND(C397+D397-E397&gt;0,OR('Debt strategy'!$D$9&gt;'Debt strategy'!$D$11,AND('Debt strategy'!$D$9='Debt strategy'!$D$11,0&lt;2))),1,0),IF(AND(I397+J397-K397&gt;0,OR('Debt strategy'!$D$10&gt;'Debt strategy'!$D$11,AND('Debt strategy'!$D$10='Debt strategy'!$D$11,1&lt;2))),1,0),IF(AND(U397+V397-W397&gt;0,OR('Debt strategy'!$D$12&gt;'Debt strategy'!$D$11,AND('Debt strategy'!$D$12='Debt strategy'!$D$11,3&lt;2))),1,0),IF(AND(AA397+AB397-AC397&gt;0,OR('Debt strategy'!$D$13&gt;'Debt strategy'!$D$11,AND('Debt strategy'!$D$13='Debt strategy'!$D$11,4&lt;2))),1,0)))</x:f>
        <x:v>99</x:v>
      </x:c>
      <x:c r="S397" s="6" t="n">
        <x:f>IF('Debt strategy'!$C$16&gt;0,0,MIN(O397+P397-Q397,MAX(0,'Debt strategy'!$C$5-SUM(E397,K397,Q397,W397,AC397)-SUM(IF(F397&lt;R397,C397+D397-E397,0),IF(L397&lt;R397,I397+J397-K397,0),IF(X397&lt;R397,U397+V397-W397,0),IF(AD397&lt;R397,AA397+AB397-AC397,0)))))</x:f>
        <x:v>0</x:v>
      </x:c>
      <x:c r="T397" s="6" t="n">
        <x:f>ROUND(MAX(0,O397+P397-Q397-S397),2)</x:f>
        <x:v>0</x:v>
      </x:c>
      <x:c r="U397" s="6" t="n">
        <x:f>Z396</x:f>
        <x:v>0</x:v>
      </x:c>
      <x:c r="V397" s="6" t="n">
        <x:f>ROUND(U397*'Debt strategy'!$D$12/12,2)</x:f>
        <x:v>0</x:v>
      </x:c>
      <x:c r="W397" s="6" t="n">
        <x:f>MIN(U397+V397,'Debt strategy'!$E$12)</x:f>
        <x:v>0</x:v>
      </x:c>
      <x:c r="X397" s="27" t="n">
        <x:f>IF(U397+V397-W397&lt;=0,99,1+SUM(IF(AND(C397+D397-E397&gt;0,OR('Debt strategy'!$D$9&gt;'Debt strategy'!$D$12,AND('Debt strategy'!$D$9='Debt strategy'!$D$12,0&lt;3))),1,0),IF(AND(I397+J397-K397&gt;0,OR('Debt strategy'!$D$10&gt;'Debt strategy'!$D$12,AND('Debt strategy'!$D$10='Debt strategy'!$D$12,1&lt;3))),1,0),IF(AND(O397+P397-Q397&gt;0,OR('Debt strategy'!$D$11&gt;'Debt strategy'!$D$12,AND('Debt strategy'!$D$11='Debt strategy'!$D$12,2&lt;3))),1,0),IF(AND(AA397+AB397-AC397&gt;0,OR('Debt strategy'!$D$13&gt;'Debt strategy'!$D$12,AND('Debt strategy'!$D$13='Debt strategy'!$D$12,4&lt;3))),1,0)))</x:f>
        <x:v>99</x:v>
      </x:c>
      <x:c r="Y397" s="6" t="n">
        <x:f>IF('Debt strategy'!$C$16&gt;0,0,MIN(U397+V397-W397,MAX(0,'Debt strategy'!$C$5-SUM(E397,K397,Q397,W397,AC397)-SUM(IF(F397&lt;X397,C397+D397-E397,0),IF(L397&lt;X397,I397+J397-K397,0),IF(R397&lt;X397,O397+P397-Q397,0),IF(AD397&lt;X397,AA397+AB397-AC397,0)))))</x:f>
        <x:v>0</x:v>
      </x:c>
      <x:c r="Z397" s="6" t="n">
        <x:f>ROUND(MAX(0,U397+V397-W397-Y397),2)</x:f>
        <x:v>0</x:v>
      </x:c>
      <x:c r="AA397" s="6" t="n">
        <x:f>AF396</x:f>
        <x:v>0</x:v>
      </x:c>
      <x:c r="AB397" s="6" t="n">
        <x:f>ROUND(AA397*'Debt strategy'!$D$13/12,2)</x:f>
        <x:v>0</x:v>
      </x:c>
      <x:c r="AC397" s="6" t="n">
        <x:f>MIN(AA397+AB397,'Debt strategy'!$E$13)</x:f>
        <x:v>0</x:v>
      </x:c>
      <x:c r="AD397" s="27" t="n">
        <x:f>IF(AA397+AB397-AC397&lt;=0,99,1+SUM(IF(AND(C397+D397-E397&gt;0,OR('Debt strategy'!$D$9&gt;'Debt strategy'!$D$13,AND('Debt strategy'!$D$9='Debt strategy'!$D$13,0&lt;4))),1,0),IF(AND(I397+J397-K397&gt;0,OR('Debt strategy'!$D$10&gt;'Debt strategy'!$D$13,AND('Debt strategy'!$D$10='Debt strategy'!$D$13,1&lt;4))),1,0),IF(AND(O397+P397-Q397&gt;0,OR('Debt strategy'!$D$11&gt;'Debt strategy'!$D$13,AND('Debt strategy'!$D$11='Debt strategy'!$D$13,2&lt;4))),1,0),IF(AND(U397+V397-W397&gt;0,OR('Debt strategy'!$D$12&gt;'Debt strategy'!$D$13,AND('Debt strategy'!$D$12='Debt strategy'!$D$13,3&lt;4))),1,0)))</x:f>
        <x:v>99</x:v>
      </x:c>
      <x:c r="AE397" s="6" t="n">
        <x:f>IF('Debt strategy'!$C$16&gt;0,0,MIN(AA397+AB397-AC397,MAX(0,'Debt strategy'!$C$5-SUM(E397,K397,Q397,W397,AC397)-SUM(IF(F397&lt;AD397,C397+D397-E397,0),IF(L397&lt;AD397,I397+J397-K397,0),IF(R397&lt;AD397,O397+P397-Q397,0),IF(X397&lt;AD397,U397+V397-W397,0)))))</x:f>
        <x:v>0</x:v>
      </x:c>
      <x:c r="AF397" s="6" t="n">
        <x:f>ROUND(MAX(0,AA397+AB397-AC397-AE397),2)</x:f>
        <x:v>0</x:v>
      </x:c>
      <x:c r="AG397" s="6" t="n">
        <x:f>SUM(H397,N397,T397,Z397,AF397)</x:f>
        <x:v>0</x:v>
      </x:c>
      <x:c r="AH397" s="6" t="n">
        <x:f>SUM(D397,J397,P397,V397,AB397)+AH396</x:f>
        <x:v>1220.8400000000001</x:v>
      </x:c>
      <x:c r="AI397" s="2"/>
    </x:row>
    <x:row r="398" ht="23" customHeight="1">
      <x:c r="B398" s="2" t="n">
        <x:f>390</x:f>
        <x:v>390</x:v>
      </x:c>
      <x:c r="C398" s="6" t="n">
        <x:f>H397</x:f>
        <x:v>0</x:v>
      </x:c>
      <x:c r="D398" s="6" t="n">
        <x:f>ROUND(C398*'Debt strategy'!$D$9/12,2)</x:f>
        <x:v>0</x:v>
      </x:c>
      <x:c r="E398" s="6" t="n">
        <x:f>MIN(C398+D398,'Debt strategy'!$E$9)</x:f>
        <x:v>0</x:v>
      </x:c>
      <x:c r="F398" s="27" t="n">
        <x:f>IF(C398+D398-E398&lt;=0,99,1+SUM(IF(AND(I398+J398-K398&gt;0,OR('Debt strategy'!$D$10&gt;'Debt strategy'!$D$9,AND('Debt strategy'!$D$10='Debt strategy'!$D$9,1&lt;0))),1,0),IF(AND(O398+P398-Q398&gt;0,OR('Debt strategy'!$D$11&gt;'Debt strategy'!$D$9,AND('Debt strategy'!$D$11='Debt strategy'!$D$9,2&lt;0))),1,0),IF(AND(U398+V398-W398&gt;0,OR('Debt strategy'!$D$12&gt;'Debt strategy'!$D$9,AND('Debt strategy'!$D$12='Debt strategy'!$D$9,3&lt;0))),1,0),IF(AND(AA398+AB398-AC398&gt;0,OR('Debt strategy'!$D$13&gt;'Debt strategy'!$D$9,AND('Debt strategy'!$D$13='Debt strategy'!$D$9,4&lt;0))),1,0)))</x:f>
        <x:v>99</x:v>
      </x:c>
      <x:c r="G398" s="6" t="n">
        <x:f>IF('Debt strategy'!$C$16&gt;0,0,MIN(C398+D398-E398,MAX(0,'Debt strategy'!$C$5-SUM(E398,K398,Q398,W398,AC398)-SUM(IF(L398&lt;F398,I398+J398-K398,0),IF(R398&lt;F398,O398+P398-Q398,0),IF(X398&lt;F398,U398+V398-W398,0),IF(AD398&lt;F398,AA398+AB398-AC398,0)))))</x:f>
        <x:v>0</x:v>
      </x:c>
      <x:c r="H398" s="6" t="n">
        <x:f>ROUND(MAX(0,C398+D398-E398-G398),2)</x:f>
        <x:v>0</x:v>
      </x:c>
      <x:c r="I398" s="6" t="n">
        <x:f>N397</x:f>
        <x:v>0</x:v>
      </x:c>
      <x:c r="J398" s="6" t="n">
        <x:f>ROUND(I398*'Debt strategy'!$D$10/12,2)</x:f>
        <x:v>0</x:v>
      </x:c>
      <x:c r="K398" s="6" t="n">
        <x:f>MIN(I398+J398,'Debt strategy'!$E$10)</x:f>
        <x:v>0</x:v>
      </x:c>
      <x:c r="L398" s="27" t="n">
        <x:f>IF(I398+J398-K398&lt;=0,99,1+SUM(IF(AND(C398+D398-E398&gt;0,OR('Debt strategy'!$D$9&gt;'Debt strategy'!$D$10,AND('Debt strategy'!$D$9='Debt strategy'!$D$10,0&lt;1))),1,0),IF(AND(O398+P398-Q398&gt;0,OR('Debt strategy'!$D$11&gt;'Debt strategy'!$D$10,AND('Debt strategy'!$D$11='Debt strategy'!$D$10,2&lt;1))),1,0),IF(AND(U398+V398-W398&gt;0,OR('Debt strategy'!$D$12&gt;'Debt strategy'!$D$10,AND('Debt strategy'!$D$12='Debt strategy'!$D$10,3&lt;1))),1,0),IF(AND(AA398+AB398-AC398&gt;0,OR('Debt strategy'!$D$13&gt;'Debt strategy'!$D$10,AND('Debt strategy'!$D$13='Debt strategy'!$D$10,4&lt;1))),1,0)))</x:f>
        <x:v>99</x:v>
      </x:c>
      <x:c r="M398" s="6" t="n">
        <x:f>IF('Debt strategy'!$C$16&gt;0,0,MIN(I398+J398-K398,MAX(0,'Debt strategy'!$C$5-SUM(E398,K398,Q398,W398,AC398)-SUM(IF(F398&lt;L398,C398+D398-E398,0),IF(R398&lt;L398,O398+P398-Q398,0),IF(X398&lt;L398,U398+V398-W398,0),IF(AD398&lt;L398,AA398+AB398-AC398,0)))))</x:f>
        <x:v>0</x:v>
      </x:c>
      <x:c r="N398" s="6" t="n">
        <x:f>ROUND(MAX(0,I398+J398-K398-M398),2)</x:f>
        <x:v>0</x:v>
      </x:c>
      <x:c r="O398" s="6" t="n">
        <x:f>T397</x:f>
        <x:v>0</x:v>
      </x:c>
      <x:c r="P398" s="6" t="n">
        <x:f>ROUND(O398*'Debt strategy'!$D$11/12,2)</x:f>
        <x:v>0</x:v>
      </x:c>
      <x:c r="Q398" s="6" t="n">
        <x:f>MIN(O398+P398,'Debt strategy'!$E$11)</x:f>
        <x:v>0</x:v>
      </x:c>
      <x:c r="R398" s="27" t="n">
        <x:f>IF(O398+P398-Q398&lt;=0,99,1+SUM(IF(AND(C398+D398-E398&gt;0,OR('Debt strategy'!$D$9&gt;'Debt strategy'!$D$11,AND('Debt strategy'!$D$9='Debt strategy'!$D$11,0&lt;2))),1,0),IF(AND(I398+J398-K398&gt;0,OR('Debt strategy'!$D$10&gt;'Debt strategy'!$D$11,AND('Debt strategy'!$D$10='Debt strategy'!$D$11,1&lt;2))),1,0),IF(AND(U398+V398-W398&gt;0,OR('Debt strategy'!$D$12&gt;'Debt strategy'!$D$11,AND('Debt strategy'!$D$12='Debt strategy'!$D$11,3&lt;2))),1,0),IF(AND(AA398+AB398-AC398&gt;0,OR('Debt strategy'!$D$13&gt;'Debt strategy'!$D$11,AND('Debt strategy'!$D$13='Debt strategy'!$D$11,4&lt;2))),1,0)))</x:f>
        <x:v>99</x:v>
      </x:c>
      <x:c r="S398" s="6" t="n">
        <x:f>IF('Debt strategy'!$C$16&gt;0,0,MIN(O398+P398-Q398,MAX(0,'Debt strategy'!$C$5-SUM(E398,K398,Q398,W398,AC398)-SUM(IF(F398&lt;R398,C398+D398-E398,0),IF(L398&lt;R398,I398+J398-K398,0),IF(X398&lt;R398,U398+V398-W398,0),IF(AD398&lt;R398,AA398+AB398-AC398,0)))))</x:f>
        <x:v>0</x:v>
      </x:c>
      <x:c r="T398" s="6" t="n">
        <x:f>ROUND(MAX(0,O398+P398-Q398-S398),2)</x:f>
        <x:v>0</x:v>
      </x:c>
      <x:c r="U398" s="6" t="n">
        <x:f>Z397</x:f>
        <x:v>0</x:v>
      </x:c>
      <x:c r="V398" s="6" t="n">
        <x:f>ROUND(U398*'Debt strategy'!$D$12/12,2)</x:f>
        <x:v>0</x:v>
      </x:c>
      <x:c r="W398" s="6" t="n">
        <x:f>MIN(U398+V398,'Debt strategy'!$E$12)</x:f>
        <x:v>0</x:v>
      </x:c>
      <x:c r="X398" s="27" t="n">
        <x:f>IF(U398+V398-W398&lt;=0,99,1+SUM(IF(AND(C398+D398-E398&gt;0,OR('Debt strategy'!$D$9&gt;'Debt strategy'!$D$12,AND('Debt strategy'!$D$9='Debt strategy'!$D$12,0&lt;3))),1,0),IF(AND(I398+J398-K398&gt;0,OR('Debt strategy'!$D$10&gt;'Debt strategy'!$D$12,AND('Debt strategy'!$D$10='Debt strategy'!$D$12,1&lt;3))),1,0),IF(AND(O398+P398-Q398&gt;0,OR('Debt strategy'!$D$11&gt;'Debt strategy'!$D$12,AND('Debt strategy'!$D$11='Debt strategy'!$D$12,2&lt;3))),1,0),IF(AND(AA398+AB398-AC398&gt;0,OR('Debt strategy'!$D$13&gt;'Debt strategy'!$D$12,AND('Debt strategy'!$D$13='Debt strategy'!$D$12,4&lt;3))),1,0)))</x:f>
        <x:v>99</x:v>
      </x:c>
      <x:c r="Y398" s="6" t="n">
        <x:f>IF('Debt strategy'!$C$16&gt;0,0,MIN(U398+V398-W398,MAX(0,'Debt strategy'!$C$5-SUM(E398,K398,Q398,W398,AC398)-SUM(IF(F398&lt;X398,C398+D398-E398,0),IF(L398&lt;X398,I398+J398-K398,0),IF(R398&lt;X398,O398+P398-Q398,0),IF(AD398&lt;X398,AA398+AB398-AC398,0)))))</x:f>
        <x:v>0</x:v>
      </x:c>
      <x:c r="Z398" s="6" t="n">
        <x:f>ROUND(MAX(0,U398+V398-W398-Y398),2)</x:f>
        <x:v>0</x:v>
      </x:c>
      <x:c r="AA398" s="6" t="n">
        <x:f>AF397</x:f>
        <x:v>0</x:v>
      </x:c>
      <x:c r="AB398" s="6" t="n">
        <x:f>ROUND(AA398*'Debt strategy'!$D$13/12,2)</x:f>
        <x:v>0</x:v>
      </x:c>
      <x:c r="AC398" s="6" t="n">
        <x:f>MIN(AA398+AB398,'Debt strategy'!$E$13)</x:f>
        <x:v>0</x:v>
      </x:c>
      <x:c r="AD398" s="27" t="n">
        <x:f>IF(AA398+AB398-AC398&lt;=0,99,1+SUM(IF(AND(C398+D398-E398&gt;0,OR('Debt strategy'!$D$9&gt;'Debt strategy'!$D$13,AND('Debt strategy'!$D$9='Debt strategy'!$D$13,0&lt;4))),1,0),IF(AND(I398+J398-K398&gt;0,OR('Debt strategy'!$D$10&gt;'Debt strategy'!$D$13,AND('Debt strategy'!$D$10='Debt strategy'!$D$13,1&lt;4))),1,0),IF(AND(O398+P398-Q398&gt;0,OR('Debt strategy'!$D$11&gt;'Debt strategy'!$D$13,AND('Debt strategy'!$D$11='Debt strategy'!$D$13,2&lt;4))),1,0),IF(AND(U398+V398-W398&gt;0,OR('Debt strategy'!$D$12&gt;'Debt strategy'!$D$13,AND('Debt strategy'!$D$12='Debt strategy'!$D$13,3&lt;4))),1,0)))</x:f>
        <x:v>99</x:v>
      </x:c>
      <x:c r="AE398" s="6" t="n">
        <x:f>IF('Debt strategy'!$C$16&gt;0,0,MIN(AA398+AB398-AC398,MAX(0,'Debt strategy'!$C$5-SUM(E398,K398,Q398,W398,AC398)-SUM(IF(F398&lt;AD398,C398+D398-E398,0),IF(L398&lt;AD398,I398+J398-K398,0),IF(R398&lt;AD398,O398+P398-Q398,0),IF(X398&lt;AD398,U398+V398-W398,0)))))</x:f>
        <x:v>0</x:v>
      </x:c>
      <x:c r="AF398" s="6" t="n">
        <x:f>ROUND(MAX(0,AA398+AB398-AC398-AE398),2)</x:f>
        <x:v>0</x:v>
      </x:c>
      <x:c r="AG398" s="6" t="n">
        <x:f>SUM(H398,N398,T398,Z398,AF398)</x:f>
        <x:v>0</x:v>
      </x:c>
      <x:c r="AH398" s="6" t="n">
        <x:f>SUM(D398,J398,P398,V398,AB398)+AH397</x:f>
        <x:v>1220.8400000000001</x:v>
      </x:c>
      <x:c r="AI398" s="2"/>
    </x:row>
    <x:row r="399" ht="23" customHeight="1">
      <x:c r="B399" s="2" t="n">
        <x:f>391</x:f>
        <x:v>391</x:v>
      </x:c>
      <x:c r="C399" s="6" t="n">
        <x:f>H398</x:f>
        <x:v>0</x:v>
      </x:c>
      <x:c r="D399" s="6" t="n">
        <x:f>ROUND(C399*'Debt strategy'!$D$9/12,2)</x:f>
        <x:v>0</x:v>
      </x:c>
      <x:c r="E399" s="6" t="n">
        <x:f>MIN(C399+D399,'Debt strategy'!$E$9)</x:f>
        <x:v>0</x:v>
      </x:c>
      <x:c r="F399" s="27" t="n">
        <x:f>IF(C399+D399-E399&lt;=0,99,1+SUM(IF(AND(I399+J399-K399&gt;0,OR('Debt strategy'!$D$10&gt;'Debt strategy'!$D$9,AND('Debt strategy'!$D$10='Debt strategy'!$D$9,1&lt;0))),1,0),IF(AND(O399+P399-Q399&gt;0,OR('Debt strategy'!$D$11&gt;'Debt strategy'!$D$9,AND('Debt strategy'!$D$11='Debt strategy'!$D$9,2&lt;0))),1,0),IF(AND(U399+V399-W399&gt;0,OR('Debt strategy'!$D$12&gt;'Debt strategy'!$D$9,AND('Debt strategy'!$D$12='Debt strategy'!$D$9,3&lt;0))),1,0),IF(AND(AA399+AB399-AC399&gt;0,OR('Debt strategy'!$D$13&gt;'Debt strategy'!$D$9,AND('Debt strategy'!$D$13='Debt strategy'!$D$9,4&lt;0))),1,0)))</x:f>
        <x:v>99</x:v>
      </x:c>
      <x:c r="G399" s="6" t="n">
        <x:f>IF('Debt strategy'!$C$16&gt;0,0,MIN(C399+D399-E399,MAX(0,'Debt strategy'!$C$5-SUM(E399,K399,Q399,W399,AC399)-SUM(IF(L399&lt;F399,I399+J399-K399,0),IF(R399&lt;F399,O399+P399-Q399,0),IF(X399&lt;F399,U399+V399-W399,0),IF(AD399&lt;F399,AA399+AB399-AC399,0)))))</x:f>
        <x:v>0</x:v>
      </x:c>
      <x:c r="H399" s="6" t="n">
        <x:f>ROUND(MAX(0,C399+D399-E399-G399),2)</x:f>
        <x:v>0</x:v>
      </x:c>
      <x:c r="I399" s="6" t="n">
        <x:f>N398</x:f>
        <x:v>0</x:v>
      </x:c>
      <x:c r="J399" s="6" t="n">
        <x:f>ROUND(I399*'Debt strategy'!$D$10/12,2)</x:f>
        <x:v>0</x:v>
      </x:c>
      <x:c r="K399" s="6" t="n">
        <x:f>MIN(I399+J399,'Debt strategy'!$E$10)</x:f>
        <x:v>0</x:v>
      </x:c>
      <x:c r="L399" s="27" t="n">
        <x:f>IF(I399+J399-K399&lt;=0,99,1+SUM(IF(AND(C399+D399-E399&gt;0,OR('Debt strategy'!$D$9&gt;'Debt strategy'!$D$10,AND('Debt strategy'!$D$9='Debt strategy'!$D$10,0&lt;1))),1,0),IF(AND(O399+P399-Q399&gt;0,OR('Debt strategy'!$D$11&gt;'Debt strategy'!$D$10,AND('Debt strategy'!$D$11='Debt strategy'!$D$10,2&lt;1))),1,0),IF(AND(U399+V399-W399&gt;0,OR('Debt strategy'!$D$12&gt;'Debt strategy'!$D$10,AND('Debt strategy'!$D$12='Debt strategy'!$D$10,3&lt;1))),1,0),IF(AND(AA399+AB399-AC399&gt;0,OR('Debt strategy'!$D$13&gt;'Debt strategy'!$D$10,AND('Debt strategy'!$D$13='Debt strategy'!$D$10,4&lt;1))),1,0)))</x:f>
        <x:v>99</x:v>
      </x:c>
      <x:c r="M399" s="6" t="n">
        <x:f>IF('Debt strategy'!$C$16&gt;0,0,MIN(I399+J399-K399,MAX(0,'Debt strategy'!$C$5-SUM(E399,K399,Q399,W399,AC399)-SUM(IF(F399&lt;L399,C399+D399-E399,0),IF(R399&lt;L399,O399+P399-Q399,0),IF(X399&lt;L399,U399+V399-W399,0),IF(AD399&lt;L399,AA399+AB399-AC399,0)))))</x:f>
        <x:v>0</x:v>
      </x:c>
      <x:c r="N399" s="6" t="n">
        <x:f>ROUND(MAX(0,I399+J399-K399-M399),2)</x:f>
        <x:v>0</x:v>
      </x:c>
      <x:c r="O399" s="6" t="n">
        <x:f>T398</x:f>
        <x:v>0</x:v>
      </x:c>
      <x:c r="P399" s="6" t="n">
        <x:f>ROUND(O399*'Debt strategy'!$D$11/12,2)</x:f>
        <x:v>0</x:v>
      </x:c>
      <x:c r="Q399" s="6" t="n">
        <x:f>MIN(O399+P399,'Debt strategy'!$E$11)</x:f>
        <x:v>0</x:v>
      </x:c>
      <x:c r="R399" s="27" t="n">
        <x:f>IF(O399+P399-Q399&lt;=0,99,1+SUM(IF(AND(C399+D399-E399&gt;0,OR('Debt strategy'!$D$9&gt;'Debt strategy'!$D$11,AND('Debt strategy'!$D$9='Debt strategy'!$D$11,0&lt;2))),1,0),IF(AND(I399+J399-K399&gt;0,OR('Debt strategy'!$D$10&gt;'Debt strategy'!$D$11,AND('Debt strategy'!$D$10='Debt strategy'!$D$11,1&lt;2))),1,0),IF(AND(U399+V399-W399&gt;0,OR('Debt strategy'!$D$12&gt;'Debt strategy'!$D$11,AND('Debt strategy'!$D$12='Debt strategy'!$D$11,3&lt;2))),1,0),IF(AND(AA399+AB399-AC399&gt;0,OR('Debt strategy'!$D$13&gt;'Debt strategy'!$D$11,AND('Debt strategy'!$D$13='Debt strategy'!$D$11,4&lt;2))),1,0)))</x:f>
        <x:v>99</x:v>
      </x:c>
      <x:c r="S399" s="6" t="n">
        <x:f>IF('Debt strategy'!$C$16&gt;0,0,MIN(O399+P399-Q399,MAX(0,'Debt strategy'!$C$5-SUM(E399,K399,Q399,W399,AC399)-SUM(IF(F399&lt;R399,C399+D399-E399,0),IF(L399&lt;R399,I399+J399-K399,0),IF(X399&lt;R399,U399+V399-W399,0),IF(AD399&lt;R399,AA399+AB399-AC399,0)))))</x:f>
        <x:v>0</x:v>
      </x:c>
      <x:c r="T399" s="6" t="n">
        <x:f>ROUND(MAX(0,O399+P399-Q399-S399),2)</x:f>
        <x:v>0</x:v>
      </x:c>
      <x:c r="U399" s="6" t="n">
        <x:f>Z398</x:f>
        <x:v>0</x:v>
      </x:c>
      <x:c r="V399" s="6" t="n">
        <x:f>ROUND(U399*'Debt strategy'!$D$12/12,2)</x:f>
        <x:v>0</x:v>
      </x:c>
      <x:c r="W399" s="6" t="n">
        <x:f>MIN(U399+V399,'Debt strategy'!$E$12)</x:f>
        <x:v>0</x:v>
      </x:c>
      <x:c r="X399" s="27" t="n">
        <x:f>IF(U399+V399-W399&lt;=0,99,1+SUM(IF(AND(C399+D399-E399&gt;0,OR('Debt strategy'!$D$9&gt;'Debt strategy'!$D$12,AND('Debt strategy'!$D$9='Debt strategy'!$D$12,0&lt;3))),1,0),IF(AND(I399+J399-K399&gt;0,OR('Debt strategy'!$D$10&gt;'Debt strategy'!$D$12,AND('Debt strategy'!$D$10='Debt strategy'!$D$12,1&lt;3))),1,0),IF(AND(O399+P399-Q399&gt;0,OR('Debt strategy'!$D$11&gt;'Debt strategy'!$D$12,AND('Debt strategy'!$D$11='Debt strategy'!$D$12,2&lt;3))),1,0),IF(AND(AA399+AB399-AC399&gt;0,OR('Debt strategy'!$D$13&gt;'Debt strategy'!$D$12,AND('Debt strategy'!$D$13='Debt strategy'!$D$12,4&lt;3))),1,0)))</x:f>
        <x:v>99</x:v>
      </x:c>
      <x:c r="Y399" s="6" t="n">
        <x:f>IF('Debt strategy'!$C$16&gt;0,0,MIN(U399+V399-W399,MAX(0,'Debt strategy'!$C$5-SUM(E399,K399,Q399,W399,AC399)-SUM(IF(F399&lt;X399,C399+D399-E399,0),IF(L399&lt;X399,I399+J399-K399,0),IF(R399&lt;X399,O399+P399-Q399,0),IF(AD399&lt;X399,AA399+AB399-AC399,0)))))</x:f>
        <x:v>0</x:v>
      </x:c>
      <x:c r="Z399" s="6" t="n">
        <x:f>ROUND(MAX(0,U399+V399-W399-Y399),2)</x:f>
        <x:v>0</x:v>
      </x:c>
      <x:c r="AA399" s="6" t="n">
        <x:f>AF398</x:f>
        <x:v>0</x:v>
      </x:c>
      <x:c r="AB399" s="6" t="n">
        <x:f>ROUND(AA399*'Debt strategy'!$D$13/12,2)</x:f>
        <x:v>0</x:v>
      </x:c>
      <x:c r="AC399" s="6" t="n">
        <x:f>MIN(AA399+AB399,'Debt strategy'!$E$13)</x:f>
        <x:v>0</x:v>
      </x:c>
      <x:c r="AD399" s="27" t="n">
        <x:f>IF(AA399+AB399-AC399&lt;=0,99,1+SUM(IF(AND(C399+D399-E399&gt;0,OR('Debt strategy'!$D$9&gt;'Debt strategy'!$D$13,AND('Debt strategy'!$D$9='Debt strategy'!$D$13,0&lt;4))),1,0),IF(AND(I399+J399-K399&gt;0,OR('Debt strategy'!$D$10&gt;'Debt strategy'!$D$13,AND('Debt strategy'!$D$10='Debt strategy'!$D$13,1&lt;4))),1,0),IF(AND(O399+P399-Q399&gt;0,OR('Debt strategy'!$D$11&gt;'Debt strategy'!$D$13,AND('Debt strategy'!$D$11='Debt strategy'!$D$13,2&lt;4))),1,0),IF(AND(U399+V399-W399&gt;0,OR('Debt strategy'!$D$12&gt;'Debt strategy'!$D$13,AND('Debt strategy'!$D$12='Debt strategy'!$D$13,3&lt;4))),1,0)))</x:f>
        <x:v>99</x:v>
      </x:c>
      <x:c r="AE399" s="6" t="n">
        <x:f>IF('Debt strategy'!$C$16&gt;0,0,MIN(AA399+AB399-AC399,MAX(0,'Debt strategy'!$C$5-SUM(E399,K399,Q399,W399,AC399)-SUM(IF(F399&lt;AD399,C399+D399-E399,0),IF(L399&lt;AD399,I399+J399-K399,0),IF(R399&lt;AD399,O399+P399-Q399,0),IF(X399&lt;AD399,U399+V399-W399,0)))))</x:f>
        <x:v>0</x:v>
      </x:c>
      <x:c r="AF399" s="6" t="n">
        <x:f>ROUND(MAX(0,AA399+AB399-AC399-AE399),2)</x:f>
        <x:v>0</x:v>
      </x:c>
      <x:c r="AG399" s="6" t="n">
        <x:f>SUM(H399,N399,T399,Z399,AF399)</x:f>
        <x:v>0</x:v>
      </x:c>
      <x:c r="AH399" s="6" t="n">
        <x:f>SUM(D399,J399,P399,V399,AB399)+AH398</x:f>
        <x:v>1220.8400000000001</x:v>
      </x:c>
      <x:c r="AI399" s="2"/>
    </x:row>
    <x:row r="400" ht="23" customHeight="1">
      <x:c r="B400" s="2" t="n">
        <x:f>392</x:f>
        <x:v>392</x:v>
      </x:c>
      <x:c r="C400" s="6" t="n">
        <x:f>H399</x:f>
        <x:v>0</x:v>
      </x:c>
      <x:c r="D400" s="6" t="n">
        <x:f>ROUND(C400*'Debt strategy'!$D$9/12,2)</x:f>
        <x:v>0</x:v>
      </x:c>
      <x:c r="E400" s="6" t="n">
        <x:f>MIN(C400+D400,'Debt strategy'!$E$9)</x:f>
        <x:v>0</x:v>
      </x:c>
      <x:c r="F400" s="27" t="n">
        <x:f>IF(C400+D400-E400&lt;=0,99,1+SUM(IF(AND(I400+J400-K400&gt;0,OR('Debt strategy'!$D$10&gt;'Debt strategy'!$D$9,AND('Debt strategy'!$D$10='Debt strategy'!$D$9,1&lt;0))),1,0),IF(AND(O400+P400-Q400&gt;0,OR('Debt strategy'!$D$11&gt;'Debt strategy'!$D$9,AND('Debt strategy'!$D$11='Debt strategy'!$D$9,2&lt;0))),1,0),IF(AND(U400+V400-W400&gt;0,OR('Debt strategy'!$D$12&gt;'Debt strategy'!$D$9,AND('Debt strategy'!$D$12='Debt strategy'!$D$9,3&lt;0))),1,0),IF(AND(AA400+AB400-AC400&gt;0,OR('Debt strategy'!$D$13&gt;'Debt strategy'!$D$9,AND('Debt strategy'!$D$13='Debt strategy'!$D$9,4&lt;0))),1,0)))</x:f>
        <x:v>99</x:v>
      </x:c>
      <x:c r="G400" s="6" t="n">
        <x:f>IF('Debt strategy'!$C$16&gt;0,0,MIN(C400+D400-E400,MAX(0,'Debt strategy'!$C$5-SUM(E400,K400,Q400,W400,AC400)-SUM(IF(L400&lt;F400,I400+J400-K400,0),IF(R400&lt;F400,O400+P400-Q400,0),IF(X400&lt;F400,U400+V400-W400,0),IF(AD400&lt;F400,AA400+AB400-AC400,0)))))</x:f>
        <x:v>0</x:v>
      </x:c>
      <x:c r="H400" s="6" t="n">
        <x:f>ROUND(MAX(0,C400+D400-E400-G400),2)</x:f>
        <x:v>0</x:v>
      </x:c>
      <x:c r="I400" s="6" t="n">
        <x:f>N399</x:f>
        <x:v>0</x:v>
      </x:c>
      <x:c r="J400" s="6" t="n">
        <x:f>ROUND(I400*'Debt strategy'!$D$10/12,2)</x:f>
        <x:v>0</x:v>
      </x:c>
      <x:c r="K400" s="6" t="n">
        <x:f>MIN(I400+J400,'Debt strategy'!$E$10)</x:f>
        <x:v>0</x:v>
      </x:c>
      <x:c r="L400" s="27" t="n">
        <x:f>IF(I400+J400-K400&lt;=0,99,1+SUM(IF(AND(C400+D400-E400&gt;0,OR('Debt strategy'!$D$9&gt;'Debt strategy'!$D$10,AND('Debt strategy'!$D$9='Debt strategy'!$D$10,0&lt;1))),1,0),IF(AND(O400+P400-Q400&gt;0,OR('Debt strategy'!$D$11&gt;'Debt strategy'!$D$10,AND('Debt strategy'!$D$11='Debt strategy'!$D$10,2&lt;1))),1,0),IF(AND(U400+V400-W400&gt;0,OR('Debt strategy'!$D$12&gt;'Debt strategy'!$D$10,AND('Debt strategy'!$D$12='Debt strategy'!$D$10,3&lt;1))),1,0),IF(AND(AA400+AB400-AC400&gt;0,OR('Debt strategy'!$D$13&gt;'Debt strategy'!$D$10,AND('Debt strategy'!$D$13='Debt strategy'!$D$10,4&lt;1))),1,0)))</x:f>
        <x:v>99</x:v>
      </x:c>
      <x:c r="M400" s="6" t="n">
        <x:f>IF('Debt strategy'!$C$16&gt;0,0,MIN(I400+J400-K400,MAX(0,'Debt strategy'!$C$5-SUM(E400,K400,Q400,W400,AC400)-SUM(IF(F400&lt;L400,C400+D400-E400,0),IF(R400&lt;L400,O400+P400-Q400,0),IF(X400&lt;L400,U400+V400-W400,0),IF(AD400&lt;L400,AA400+AB400-AC400,0)))))</x:f>
        <x:v>0</x:v>
      </x:c>
      <x:c r="N400" s="6" t="n">
        <x:f>ROUND(MAX(0,I400+J400-K400-M400),2)</x:f>
        <x:v>0</x:v>
      </x:c>
      <x:c r="O400" s="6" t="n">
        <x:f>T399</x:f>
        <x:v>0</x:v>
      </x:c>
      <x:c r="P400" s="6" t="n">
        <x:f>ROUND(O400*'Debt strategy'!$D$11/12,2)</x:f>
        <x:v>0</x:v>
      </x:c>
      <x:c r="Q400" s="6" t="n">
        <x:f>MIN(O400+P400,'Debt strategy'!$E$11)</x:f>
        <x:v>0</x:v>
      </x:c>
      <x:c r="R400" s="27" t="n">
        <x:f>IF(O400+P400-Q400&lt;=0,99,1+SUM(IF(AND(C400+D400-E400&gt;0,OR('Debt strategy'!$D$9&gt;'Debt strategy'!$D$11,AND('Debt strategy'!$D$9='Debt strategy'!$D$11,0&lt;2))),1,0),IF(AND(I400+J400-K400&gt;0,OR('Debt strategy'!$D$10&gt;'Debt strategy'!$D$11,AND('Debt strategy'!$D$10='Debt strategy'!$D$11,1&lt;2))),1,0),IF(AND(U400+V400-W400&gt;0,OR('Debt strategy'!$D$12&gt;'Debt strategy'!$D$11,AND('Debt strategy'!$D$12='Debt strategy'!$D$11,3&lt;2))),1,0),IF(AND(AA400+AB400-AC400&gt;0,OR('Debt strategy'!$D$13&gt;'Debt strategy'!$D$11,AND('Debt strategy'!$D$13='Debt strategy'!$D$11,4&lt;2))),1,0)))</x:f>
        <x:v>99</x:v>
      </x:c>
      <x:c r="S400" s="6" t="n">
        <x:f>IF('Debt strategy'!$C$16&gt;0,0,MIN(O400+P400-Q400,MAX(0,'Debt strategy'!$C$5-SUM(E400,K400,Q400,W400,AC400)-SUM(IF(F400&lt;R400,C400+D400-E400,0),IF(L400&lt;R400,I400+J400-K400,0),IF(X400&lt;R400,U400+V400-W400,0),IF(AD400&lt;R400,AA400+AB400-AC400,0)))))</x:f>
        <x:v>0</x:v>
      </x:c>
      <x:c r="T400" s="6" t="n">
        <x:f>ROUND(MAX(0,O400+P400-Q400-S400),2)</x:f>
        <x:v>0</x:v>
      </x:c>
      <x:c r="U400" s="6" t="n">
        <x:f>Z399</x:f>
        <x:v>0</x:v>
      </x:c>
      <x:c r="V400" s="6" t="n">
        <x:f>ROUND(U400*'Debt strategy'!$D$12/12,2)</x:f>
        <x:v>0</x:v>
      </x:c>
      <x:c r="W400" s="6" t="n">
        <x:f>MIN(U400+V400,'Debt strategy'!$E$12)</x:f>
        <x:v>0</x:v>
      </x:c>
      <x:c r="X400" s="27" t="n">
        <x:f>IF(U400+V400-W400&lt;=0,99,1+SUM(IF(AND(C400+D400-E400&gt;0,OR('Debt strategy'!$D$9&gt;'Debt strategy'!$D$12,AND('Debt strategy'!$D$9='Debt strategy'!$D$12,0&lt;3))),1,0),IF(AND(I400+J400-K400&gt;0,OR('Debt strategy'!$D$10&gt;'Debt strategy'!$D$12,AND('Debt strategy'!$D$10='Debt strategy'!$D$12,1&lt;3))),1,0),IF(AND(O400+P400-Q400&gt;0,OR('Debt strategy'!$D$11&gt;'Debt strategy'!$D$12,AND('Debt strategy'!$D$11='Debt strategy'!$D$12,2&lt;3))),1,0),IF(AND(AA400+AB400-AC400&gt;0,OR('Debt strategy'!$D$13&gt;'Debt strategy'!$D$12,AND('Debt strategy'!$D$13='Debt strategy'!$D$12,4&lt;3))),1,0)))</x:f>
        <x:v>99</x:v>
      </x:c>
      <x:c r="Y400" s="6" t="n">
        <x:f>IF('Debt strategy'!$C$16&gt;0,0,MIN(U400+V400-W400,MAX(0,'Debt strategy'!$C$5-SUM(E400,K400,Q400,W400,AC400)-SUM(IF(F400&lt;X400,C400+D400-E400,0),IF(L400&lt;X400,I400+J400-K400,0),IF(R400&lt;X400,O400+P400-Q400,0),IF(AD400&lt;X400,AA400+AB400-AC400,0)))))</x:f>
        <x:v>0</x:v>
      </x:c>
      <x:c r="Z400" s="6" t="n">
        <x:f>ROUND(MAX(0,U400+V400-W400-Y400),2)</x:f>
        <x:v>0</x:v>
      </x:c>
      <x:c r="AA400" s="6" t="n">
        <x:f>AF399</x:f>
        <x:v>0</x:v>
      </x:c>
      <x:c r="AB400" s="6" t="n">
        <x:f>ROUND(AA400*'Debt strategy'!$D$13/12,2)</x:f>
        <x:v>0</x:v>
      </x:c>
      <x:c r="AC400" s="6" t="n">
        <x:f>MIN(AA400+AB400,'Debt strategy'!$E$13)</x:f>
        <x:v>0</x:v>
      </x:c>
      <x:c r="AD400" s="27" t="n">
        <x:f>IF(AA400+AB400-AC400&lt;=0,99,1+SUM(IF(AND(C400+D400-E400&gt;0,OR('Debt strategy'!$D$9&gt;'Debt strategy'!$D$13,AND('Debt strategy'!$D$9='Debt strategy'!$D$13,0&lt;4))),1,0),IF(AND(I400+J400-K400&gt;0,OR('Debt strategy'!$D$10&gt;'Debt strategy'!$D$13,AND('Debt strategy'!$D$10='Debt strategy'!$D$13,1&lt;4))),1,0),IF(AND(O400+P400-Q400&gt;0,OR('Debt strategy'!$D$11&gt;'Debt strategy'!$D$13,AND('Debt strategy'!$D$11='Debt strategy'!$D$13,2&lt;4))),1,0),IF(AND(U400+V400-W400&gt;0,OR('Debt strategy'!$D$12&gt;'Debt strategy'!$D$13,AND('Debt strategy'!$D$12='Debt strategy'!$D$13,3&lt;4))),1,0)))</x:f>
        <x:v>99</x:v>
      </x:c>
      <x:c r="AE400" s="6" t="n">
        <x:f>IF('Debt strategy'!$C$16&gt;0,0,MIN(AA400+AB400-AC400,MAX(0,'Debt strategy'!$C$5-SUM(E400,K400,Q400,W400,AC400)-SUM(IF(F400&lt;AD400,C400+D400-E400,0),IF(L400&lt;AD400,I400+J400-K400,0),IF(R400&lt;AD400,O400+P400-Q400,0),IF(X400&lt;AD400,U400+V400-W400,0)))))</x:f>
        <x:v>0</x:v>
      </x:c>
      <x:c r="AF400" s="6" t="n">
        <x:f>ROUND(MAX(0,AA400+AB400-AC400-AE400),2)</x:f>
        <x:v>0</x:v>
      </x:c>
      <x:c r="AG400" s="6" t="n">
        <x:f>SUM(H400,N400,T400,Z400,AF400)</x:f>
        <x:v>0</x:v>
      </x:c>
      <x:c r="AH400" s="6" t="n">
        <x:f>SUM(D400,J400,P400,V400,AB400)+AH399</x:f>
        <x:v>1220.8400000000001</x:v>
      </x:c>
      <x:c r="AI400" s="2"/>
    </x:row>
    <x:row r="401" ht="23" customHeight="1">
      <x:c r="B401" s="2" t="n">
        <x:f>393</x:f>
        <x:v>393</x:v>
      </x:c>
      <x:c r="C401" s="6" t="n">
        <x:f>H400</x:f>
        <x:v>0</x:v>
      </x:c>
      <x:c r="D401" s="6" t="n">
        <x:f>ROUND(C401*'Debt strategy'!$D$9/12,2)</x:f>
        <x:v>0</x:v>
      </x:c>
      <x:c r="E401" s="6" t="n">
        <x:f>MIN(C401+D401,'Debt strategy'!$E$9)</x:f>
        <x:v>0</x:v>
      </x:c>
      <x:c r="F401" s="27" t="n">
        <x:f>IF(C401+D401-E401&lt;=0,99,1+SUM(IF(AND(I401+J401-K401&gt;0,OR('Debt strategy'!$D$10&gt;'Debt strategy'!$D$9,AND('Debt strategy'!$D$10='Debt strategy'!$D$9,1&lt;0))),1,0),IF(AND(O401+P401-Q401&gt;0,OR('Debt strategy'!$D$11&gt;'Debt strategy'!$D$9,AND('Debt strategy'!$D$11='Debt strategy'!$D$9,2&lt;0))),1,0),IF(AND(U401+V401-W401&gt;0,OR('Debt strategy'!$D$12&gt;'Debt strategy'!$D$9,AND('Debt strategy'!$D$12='Debt strategy'!$D$9,3&lt;0))),1,0),IF(AND(AA401+AB401-AC401&gt;0,OR('Debt strategy'!$D$13&gt;'Debt strategy'!$D$9,AND('Debt strategy'!$D$13='Debt strategy'!$D$9,4&lt;0))),1,0)))</x:f>
        <x:v>99</x:v>
      </x:c>
      <x:c r="G401" s="6" t="n">
        <x:f>IF('Debt strategy'!$C$16&gt;0,0,MIN(C401+D401-E401,MAX(0,'Debt strategy'!$C$5-SUM(E401,K401,Q401,W401,AC401)-SUM(IF(L401&lt;F401,I401+J401-K401,0),IF(R401&lt;F401,O401+P401-Q401,0),IF(X401&lt;F401,U401+V401-W401,0),IF(AD401&lt;F401,AA401+AB401-AC401,0)))))</x:f>
        <x:v>0</x:v>
      </x:c>
      <x:c r="H401" s="6" t="n">
        <x:f>ROUND(MAX(0,C401+D401-E401-G401),2)</x:f>
        <x:v>0</x:v>
      </x:c>
      <x:c r="I401" s="6" t="n">
        <x:f>N400</x:f>
        <x:v>0</x:v>
      </x:c>
      <x:c r="J401" s="6" t="n">
        <x:f>ROUND(I401*'Debt strategy'!$D$10/12,2)</x:f>
        <x:v>0</x:v>
      </x:c>
      <x:c r="K401" s="6" t="n">
        <x:f>MIN(I401+J401,'Debt strategy'!$E$10)</x:f>
        <x:v>0</x:v>
      </x:c>
      <x:c r="L401" s="27" t="n">
        <x:f>IF(I401+J401-K401&lt;=0,99,1+SUM(IF(AND(C401+D401-E401&gt;0,OR('Debt strategy'!$D$9&gt;'Debt strategy'!$D$10,AND('Debt strategy'!$D$9='Debt strategy'!$D$10,0&lt;1))),1,0),IF(AND(O401+P401-Q401&gt;0,OR('Debt strategy'!$D$11&gt;'Debt strategy'!$D$10,AND('Debt strategy'!$D$11='Debt strategy'!$D$10,2&lt;1))),1,0),IF(AND(U401+V401-W401&gt;0,OR('Debt strategy'!$D$12&gt;'Debt strategy'!$D$10,AND('Debt strategy'!$D$12='Debt strategy'!$D$10,3&lt;1))),1,0),IF(AND(AA401+AB401-AC401&gt;0,OR('Debt strategy'!$D$13&gt;'Debt strategy'!$D$10,AND('Debt strategy'!$D$13='Debt strategy'!$D$10,4&lt;1))),1,0)))</x:f>
        <x:v>99</x:v>
      </x:c>
      <x:c r="M401" s="6" t="n">
        <x:f>IF('Debt strategy'!$C$16&gt;0,0,MIN(I401+J401-K401,MAX(0,'Debt strategy'!$C$5-SUM(E401,K401,Q401,W401,AC401)-SUM(IF(F401&lt;L401,C401+D401-E401,0),IF(R401&lt;L401,O401+P401-Q401,0),IF(X401&lt;L401,U401+V401-W401,0),IF(AD401&lt;L401,AA401+AB401-AC401,0)))))</x:f>
        <x:v>0</x:v>
      </x:c>
      <x:c r="N401" s="6" t="n">
        <x:f>ROUND(MAX(0,I401+J401-K401-M401),2)</x:f>
        <x:v>0</x:v>
      </x:c>
      <x:c r="O401" s="6" t="n">
        <x:f>T400</x:f>
        <x:v>0</x:v>
      </x:c>
      <x:c r="P401" s="6" t="n">
        <x:f>ROUND(O401*'Debt strategy'!$D$11/12,2)</x:f>
        <x:v>0</x:v>
      </x:c>
      <x:c r="Q401" s="6" t="n">
        <x:f>MIN(O401+P401,'Debt strategy'!$E$11)</x:f>
        <x:v>0</x:v>
      </x:c>
      <x:c r="R401" s="27" t="n">
        <x:f>IF(O401+P401-Q401&lt;=0,99,1+SUM(IF(AND(C401+D401-E401&gt;0,OR('Debt strategy'!$D$9&gt;'Debt strategy'!$D$11,AND('Debt strategy'!$D$9='Debt strategy'!$D$11,0&lt;2))),1,0),IF(AND(I401+J401-K401&gt;0,OR('Debt strategy'!$D$10&gt;'Debt strategy'!$D$11,AND('Debt strategy'!$D$10='Debt strategy'!$D$11,1&lt;2))),1,0),IF(AND(U401+V401-W401&gt;0,OR('Debt strategy'!$D$12&gt;'Debt strategy'!$D$11,AND('Debt strategy'!$D$12='Debt strategy'!$D$11,3&lt;2))),1,0),IF(AND(AA401+AB401-AC401&gt;0,OR('Debt strategy'!$D$13&gt;'Debt strategy'!$D$11,AND('Debt strategy'!$D$13='Debt strategy'!$D$11,4&lt;2))),1,0)))</x:f>
        <x:v>99</x:v>
      </x:c>
      <x:c r="S401" s="6" t="n">
        <x:f>IF('Debt strategy'!$C$16&gt;0,0,MIN(O401+P401-Q401,MAX(0,'Debt strategy'!$C$5-SUM(E401,K401,Q401,W401,AC401)-SUM(IF(F401&lt;R401,C401+D401-E401,0),IF(L401&lt;R401,I401+J401-K401,0),IF(X401&lt;R401,U401+V401-W401,0),IF(AD401&lt;R401,AA401+AB401-AC401,0)))))</x:f>
        <x:v>0</x:v>
      </x:c>
      <x:c r="T401" s="6" t="n">
        <x:f>ROUND(MAX(0,O401+P401-Q401-S401),2)</x:f>
        <x:v>0</x:v>
      </x:c>
      <x:c r="U401" s="6" t="n">
        <x:f>Z400</x:f>
        <x:v>0</x:v>
      </x:c>
      <x:c r="V401" s="6" t="n">
        <x:f>ROUND(U401*'Debt strategy'!$D$12/12,2)</x:f>
        <x:v>0</x:v>
      </x:c>
      <x:c r="W401" s="6" t="n">
        <x:f>MIN(U401+V401,'Debt strategy'!$E$12)</x:f>
        <x:v>0</x:v>
      </x:c>
      <x:c r="X401" s="27" t="n">
        <x:f>IF(U401+V401-W401&lt;=0,99,1+SUM(IF(AND(C401+D401-E401&gt;0,OR('Debt strategy'!$D$9&gt;'Debt strategy'!$D$12,AND('Debt strategy'!$D$9='Debt strategy'!$D$12,0&lt;3))),1,0),IF(AND(I401+J401-K401&gt;0,OR('Debt strategy'!$D$10&gt;'Debt strategy'!$D$12,AND('Debt strategy'!$D$10='Debt strategy'!$D$12,1&lt;3))),1,0),IF(AND(O401+P401-Q401&gt;0,OR('Debt strategy'!$D$11&gt;'Debt strategy'!$D$12,AND('Debt strategy'!$D$11='Debt strategy'!$D$12,2&lt;3))),1,0),IF(AND(AA401+AB401-AC401&gt;0,OR('Debt strategy'!$D$13&gt;'Debt strategy'!$D$12,AND('Debt strategy'!$D$13='Debt strategy'!$D$12,4&lt;3))),1,0)))</x:f>
        <x:v>99</x:v>
      </x:c>
      <x:c r="Y401" s="6" t="n">
        <x:f>IF('Debt strategy'!$C$16&gt;0,0,MIN(U401+V401-W401,MAX(0,'Debt strategy'!$C$5-SUM(E401,K401,Q401,W401,AC401)-SUM(IF(F401&lt;X401,C401+D401-E401,0),IF(L401&lt;X401,I401+J401-K401,0),IF(R401&lt;X401,O401+P401-Q401,0),IF(AD401&lt;X401,AA401+AB401-AC401,0)))))</x:f>
        <x:v>0</x:v>
      </x:c>
      <x:c r="Z401" s="6" t="n">
        <x:f>ROUND(MAX(0,U401+V401-W401-Y401),2)</x:f>
        <x:v>0</x:v>
      </x:c>
      <x:c r="AA401" s="6" t="n">
        <x:f>AF400</x:f>
        <x:v>0</x:v>
      </x:c>
      <x:c r="AB401" s="6" t="n">
        <x:f>ROUND(AA401*'Debt strategy'!$D$13/12,2)</x:f>
        <x:v>0</x:v>
      </x:c>
      <x:c r="AC401" s="6" t="n">
        <x:f>MIN(AA401+AB401,'Debt strategy'!$E$13)</x:f>
        <x:v>0</x:v>
      </x:c>
      <x:c r="AD401" s="27" t="n">
        <x:f>IF(AA401+AB401-AC401&lt;=0,99,1+SUM(IF(AND(C401+D401-E401&gt;0,OR('Debt strategy'!$D$9&gt;'Debt strategy'!$D$13,AND('Debt strategy'!$D$9='Debt strategy'!$D$13,0&lt;4))),1,0),IF(AND(I401+J401-K401&gt;0,OR('Debt strategy'!$D$10&gt;'Debt strategy'!$D$13,AND('Debt strategy'!$D$10='Debt strategy'!$D$13,1&lt;4))),1,0),IF(AND(O401+P401-Q401&gt;0,OR('Debt strategy'!$D$11&gt;'Debt strategy'!$D$13,AND('Debt strategy'!$D$11='Debt strategy'!$D$13,2&lt;4))),1,0),IF(AND(U401+V401-W401&gt;0,OR('Debt strategy'!$D$12&gt;'Debt strategy'!$D$13,AND('Debt strategy'!$D$12='Debt strategy'!$D$13,3&lt;4))),1,0)))</x:f>
        <x:v>99</x:v>
      </x:c>
      <x:c r="AE401" s="6" t="n">
        <x:f>IF('Debt strategy'!$C$16&gt;0,0,MIN(AA401+AB401-AC401,MAX(0,'Debt strategy'!$C$5-SUM(E401,K401,Q401,W401,AC401)-SUM(IF(F401&lt;AD401,C401+D401-E401,0),IF(L401&lt;AD401,I401+J401-K401,0),IF(R401&lt;AD401,O401+P401-Q401,0),IF(X401&lt;AD401,U401+V401-W401,0)))))</x:f>
        <x:v>0</x:v>
      </x:c>
      <x:c r="AF401" s="6" t="n">
        <x:f>ROUND(MAX(0,AA401+AB401-AC401-AE401),2)</x:f>
        <x:v>0</x:v>
      </x:c>
      <x:c r="AG401" s="6" t="n">
        <x:f>SUM(H401,N401,T401,Z401,AF401)</x:f>
        <x:v>0</x:v>
      </x:c>
      <x:c r="AH401" s="6" t="n">
        <x:f>SUM(D401,J401,P401,V401,AB401)+AH400</x:f>
        <x:v>1220.8400000000001</x:v>
      </x:c>
      <x:c r="AI401" s="2"/>
    </x:row>
    <x:row r="402" ht="23" customHeight="1">
      <x:c r="B402" s="2" t="n">
        <x:f>394</x:f>
        <x:v>394</x:v>
      </x:c>
      <x:c r="C402" s="6" t="n">
        <x:f>H401</x:f>
        <x:v>0</x:v>
      </x:c>
      <x:c r="D402" s="6" t="n">
        <x:f>ROUND(C402*'Debt strategy'!$D$9/12,2)</x:f>
        <x:v>0</x:v>
      </x:c>
      <x:c r="E402" s="6" t="n">
        <x:f>MIN(C402+D402,'Debt strategy'!$E$9)</x:f>
        <x:v>0</x:v>
      </x:c>
      <x:c r="F402" s="27" t="n">
        <x:f>IF(C402+D402-E402&lt;=0,99,1+SUM(IF(AND(I402+J402-K402&gt;0,OR('Debt strategy'!$D$10&gt;'Debt strategy'!$D$9,AND('Debt strategy'!$D$10='Debt strategy'!$D$9,1&lt;0))),1,0),IF(AND(O402+P402-Q402&gt;0,OR('Debt strategy'!$D$11&gt;'Debt strategy'!$D$9,AND('Debt strategy'!$D$11='Debt strategy'!$D$9,2&lt;0))),1,0),IF(AND(U402+V402-W402&gt;0,OR('Debt strategy'!$D$12&gt;'Debt strategy'!$D$9,AND('Debt strategy'!$D$12='Debt strategy'!$D$9,3&lt;0))),1,0),IF(AND(AA402+AB402-AC402&gt;0,OR('Debt strategy'!$D$13&gt;'Debt strategy'!$D$9,AND('Debt strategy'!$D$13='Debt strategy'!$D$9,4&lt;0))),1,0)))</x:f>
        <x:v>99</x:v>
      </x:c>
      <x:c r="G402" s="6" t="n">
        <x:f>IF('Debt strategy'!$C$16&gt;0,0,MIN(C402+D402-E402,MAX(0,'Debt strategy'!$C$5-SUM(E402,K402,Q402,W402,AC402)-SUM(IF(L402&lt;F402,I402+J402-K402,0),IF(R402&lt;F402,O402+P402-Q402,0),IF(X402&lt;F402,U402+V402-W402,0),IF(AD402&lt;F402,AA402+AB402-AC402,0)))))</x:f>
        <x:v>0</x:v>
      </x:c>
      <x:c r="H402" s="6" t="n">
        <x:f>ROUND(MAX(0,C402+D402-E402-G402),2)</x:f>
        <x:v>0</x:v>
      </x:c>
      <x:c r="I402" s="6" t="n">
        <x:f>N401</x:f>
        <x:v>0</x:v>
      </x:c>
      <x:c r="J402" s="6" t="n">
        <x:f>ROUND(I402*'Debt strategy'!$D$10/12,2)</x:f>
        <x:v>0</x:v>
      </x:c>
      <x:c r="K402" s="6" t="n">
        <x:f>MIN(I402+J402,'Debt strategy'!$E$10)</x:f>
        <x:v>0</x:v>
      </x:c>
      <x:c r="L402" s="27" t="n">
        <x:f>IF(I402+J402-K402&lt;=0,99,1+SUM(IF(AND(C402+D402-E402&gt;0,OR('Debt strategy'!$D$9&gt;'Debt strategy'!$D$10,AND('Debt strategy'!$D$9='Debt strategy'!$D$10,0&lt;1))),1,0),IF(AND(O402+P402-Q402&gt;0,OR('Debt strategy'!$D$11&gt;'Debt strategy'!$D$10,AND('Debt strategy'!$D$11='Debt strategy'!$D$10,2&lt;1))),1,0),IF(AND(U402+V402-W402&gt;0,OR('Debt strategy'!$D$12&gt;'Debt strategy'!$D$10,AND('Debt strategy'!$D$12='Debt strategy'!$D$10,3&lt;1))),1,0),IF(AND(AA402+AB402-AC402&gt;0,OR('Debt strategy'!$D$13&gt;'Debt strategy'!$D$10,AND('Debt strategy'!$D$13='Debt strategy'!$D$10,4&lt;1))),1,0)))</x:f>
        <x:v>99</x:v>
      </x:c>
      <x:c r="M402" s="6" t="n">
        <x:f>IF('Debt strategy'!$C$16&gt;0,0,MIN(I402+J402-K402,MAX(0,'Debt strategy'!$C$5-SUM(E402,K402,Q402,W402,AC402)-SUM(IF(F402&lt;L402,C402+D402-E402,0),IF(R402&lt;L402,O402+P402-Q402,0),IF(X402&lt;L402,U402+V402-W402,0),IF(AD402&lt;L402,AA402+AB402-AC402,0)))))</x:f>
        <x:v>0</x:v>
      </x:c>
      <x:c r="N402" s="6" t="n">
        <x:f>ROUND(MAX(0,I402+J402-K402-M402),2)</x:f>
        <x:v>0</x:v>
      </x:c>
      <x:c r="O402" s="6" t="n">
        <x:f>T401</x:f>
        <x:v>0</x:v>
      </x:c>
      <x:c r="P402" s="6" t="n">
        <x:f>ROUND(O402*'Debt strategy'!$D$11/12,2)</x:f>
        <x:v>0</x:v>
      </x:c>
      <x:c r="Q402" s="6" t="n">
        <x:f>MIN(O402+P402,'Debt strategy'!$E$11)</x:f>
        <x:v>0</x:v>
      </x:c>
      <x:c r="R402" s="27" t="n">
        <x:f>IF(O402+P402-Q402&lt;=0,99,1+SUM(IF(AND(C402+D402-E402&gt;0,OR('Debt strategy'!$D$9&gt;'Debt strategy'!$D$11,AND('Debt strategy'!$D$9='Debt strategy'!$D$11,0&lt;2))),1,0),IF(AND(I402+J402-K402&gt;0,OR('Debt strategy'!$D$10&gt;'Debt strategy'!$D$11,AND('Debt strategy'!$D$10='Debt strategy'!$D$11,1&lt;2))),1,0),IF(AND(U402+V402-W402&gt;0,OR('Debt strategy'!$D$12&gt;'Debt strategy'!$D$11,AND('Debt strategy'!$D$12='Debt strategy'!$D$11,3&lt;2))),1,0),IF(AND(AA402+AB402-AC402&gt;0,OR('Debt strategy'!$D$13&gt;'Debt strategy'!$D$11,AND('Debt strategy'!$D$13='Debt strategy'!$D$11,4&lt;2))),1,0)))</x:f>
        <x:v>99</x:v>
      </x:c>
      <x:c r="S402" s="6" t="n">
        <x:f>IF('Debt strategy'!$C$16&gt;0,0,MIN(O402+P402-Q402,MAX(0,'Debt strategy'!$C$5-SUM(E402,K402,Q402,W402,AC402)-SUM(IF(F402&lt;R402,C402+D402-E402,0),IF(L402&lt;R402,I402+J402-K402,0),IF(X402&lt;R402,U402+V402-W402,0),IF(AD402&lt;R402,AA402+AB402-AC402,0)))))</x:f>
        <x:v>0</x:v>
      </x:c>
      <x:c r="T402" s="6" t="n">
        <x:f>ROUND(MAX(0,O402+P402-Q402-S402),2)</x:f>
        <x:v>0</x:v>
      </x:c>
      <x:c r="U402" s="6" t="n">
        <x:f>Z401</x:f>
        <x:v>0</x:v>
      </x:c>
      <x:c r="V402" s="6" t="n">
        <x:f>ROUND(U402*'Debt strategy'!$D$12/12,2)</x:f>
        <x:v>0</x:v>
      </x:c>
      <x:c r="W402" s="6" t="n">
        <x:f>MIN(U402+V402,'Debt strategy'!$E$12)</x:f>
        <x:v>0</x:v>
      </x:c>
      <x:c r="X402" s="27" t="n">
        <x:f>IF(U402+V402-W402&lt;=0,99,1+SUM(IF(AND(C402+D402-E402&gt;0,OR('Debt strategy'!$D$9&gt;'Debt strategy'!$D$12,AND('Debt strategy'!$D$9='Debt strategy'!$D$12,0&lt;3))),1,0),IF(AND(I402+J402-K402&gt;0,OR('Debt strategy'!$D$10&gt;'Debt strategy'!$D$12,AND('Debt strategy'!$D$10='Debt strategy'!$D$12,1&lt;3))),1,0),IF(AND(O402+P402-Q402&gt;0,OR('Debt strategy'!$D$11&gt;'Debt strategy'!$D$12,AND('Debt strategy'!$D$11='Debt strategy'!$D$12,2&lt;3))),1,0),IF(AND(AA402+AB402-AC402&gt;0,OR('Debt strategy'!$D$13&gt;'Debt strategy'!$D$12,AND('Debt strategy'!$D$13='Debt strategy'!$D$12,4&lt;3))),1,0)))</x:f>
        <x:v>99</x:v>
      </x:c>
      <x:c r="Y402" s="6" t="n">
        <x:f>IF('Debt strategy'!$C$16&gt;0,0,MIN(U402+V402-W402,MAX(0,'Debt strategy'!$C$5-SUM(E402,K402,Q402,W402,AC402)-SUM(IF(F402&lt;X402,C402+D402-E402,0),IF(L402&lt;X402,I402+J402-K402,0),IF(R402&lt;X402,O402+P402-Q402,0),IF(AD402&lt;X402,AA402+AB402-AC402,0)))))</x:f>
        <x:v>0</x:v>
      </x:c>
      <x:c r="Z402" s="6" t="n">
        <x:f>ROUND(MAX(0,U402+V402-W402-Y402),2)</x:f>
        <x:v>0</x:v>
      </x:c>
      <x:c r="AA402" s="6" t="n">
        <x:f>AF401</x:f>
        <x:v>0</x:v>
      </x:c>
      <x:c r="AB402" s="6" t="n">
        <x:f>ROUND(AA402*'Debt strategy'!$D$13/12,2)</x:f>
        <x:v>0</x:v>
      </x:c>
      <x:c r="AC402" s="6" t="n">
        <x:f>MIN(AA402+AB402,'Debt strategy'!$E$13)</x:f>
        <x:v>0</x:v>
      </x:c>
      <x:c r="AD402" s="27" t="n">
        <x:f>IF(AA402+AB402-AC402&lt;=0,99,1+SUM(IF(AND(C402+D402-E402&gt;0,OR('Debt strategy'!$D$9&gt;'Debt strategy'!$D$13,AND('Debt strategy'!$D$9='Debt strategy'!$D$13,0&lt;4))),1,0),IF(AND(I402+J402-K402&gt;0,OR('Debt strategy'!$D$10&gt;'Debt strategy'!$D$13,AND('Debt strategy'!$D$10='Debt strategy'!$D$13,1&lt;4))),1,0),IF(AND(O402+P402-Q402&gt;0,OR('Debt strategy'!$D$11&gt;'Debt strategy'!$D$13,AND('Debt strategy'!$D$11='Debt strategy'!$D$13,2&lt;4))),1,0),IF(AND(U402+V402-W402&gt;0,OR('Debt strategy'!$D$12&gt;'Debt strategy'!$D$13,AND('Debt strategy'!$D$12='Debt strategy'!$D$13,3&lt;4))),1,0)))</x:f>
        <x:v>99</x:v>
      </x:c>
      <x:c r="AE402" s="6" t="n">
        <x:f>IF('Debt strategy'!$C$16&gt;0,0,MIN(AA402+AB402-AC402,MAX(0,'Debt strategy'!$C$5-SUM(E402,K402,Q402,W402,AC402)-SUM(IF(F402&lt;AD402,C402+D402-E402,0),IF(L402&lt;AD402,I402+J402-K402,0),IF(R402&lt;AD402,O402+P402-Q402,0),IF(X402&lt;AD402,U402+V402-W402,0)))))</x:f>
        <x:v>0</x:v>
      </x:c>
      <x:c r="AF402" s="6" t="n">
        <x:f>ROUND(MAX(0,AA402+AB402-AC402-AE402),2)</x:f>
        <x:v>0</x:v>
      </x:c>
      <x:c r="AG402" s="6" t="n">
        <x:f>SUM(H402,N402,T402,Z402,AF402)</x:f>
        <x:v>0</x:v>
      </x:c>
      <x:c r="AH402" s="6" t="n">
        <x:f>SUM(D402,J402,P402,V402,AB402)+AH401</x:f>
        <x:v>1220.8400000000001</x:v>
      </x:c>
      <x:c r="AI402" s="2"/>
    </x:row>
    <x:row r="403" ht="23" customHeight="1">
      <x:c r="B403" s="2" t="n">
        <x:f>395</x:f>
        <x:v>395</x:v>
      </x:c>
      <x:c r="C403" s="6" t="n">
        <x:f>H402</x:f>
        <x:v>0</x:v>
      </x:c>
      <x:c r="D403" s="6" t="n">
        <x:f>ROUND(C403*'Debt strategy'!$D$9/12,2)</x:f>
        <x:v>0</x:v>
      </x:c>
      <x:c r="E403" s="6" t="n">
        <x:f>MIN(C403+D403,'Debt strategy'!$E$9)</x:f>
        <x:v>0</x:v>
      </x:c>
      <x:c r="F403" s="27" t="n">
        <x:f>IF(C403+D403-E403&lt;=0,99,1+SUM(IF(AND(I403+J403-K403&gt;0,OR('Debt strategy'!$D$10&gt;'Debt strategy'!$D$9,AND('Debt strategy'!$D$10='Debt strategy'!$D$9,1&lt;0))),1,0),IF(AND(O403+P403-Q403&gt;0,OR('Debt strategy'!$D$11&gt;'Debt strategy'!$D$9,AND('Debt strategy'!$D$11='Debt strategy'!$D$9,2&lt;0))),1,0),IF(AND(U403+V403-W403&gt;0,OR('Debt strategy'!$D$12&gt;'Debt strategy'!$D$9,AND('Debt strategy'!$D$12='Debt strategy'!$D$9,3&lt;0))),1,0),IF(AND(AA403+AB403-AC403&gt;0,OR('Debt strategy'!$D$13&gt;'Debt strategy'!$D$9,AND('Debt strategy'!$D$13='Debt strategy'!$D$9,4&lt;0))),1,0)))</x:f>
        <x:v>99</x:v>
      </x:c>
      <x:c r="G403" s="6" t="n">
        <x:f>IF('Debt strategy'!$C$16&gt;0,0,MIN(C403+D403-E403,MAX(0,'Debt strategy'!$C$5-SUM(E403,K403,Q403,W403,AC403)-SUM(IF(L403&lt;F403,I403+J403-K403,0),IF(R403&lt;F403,O403+P403-Q403,0),IF(X403&lt;F403,U403+V403-W403,0),IF(AD403&lt;F403,AA403+AB403-AC403,0)))))</x:f>
        <x:v>0</x:v>
      </x:c>
      <x:c r="H403" s="6" t="n">
        <x:f>ROUND(MAX(0,C403+D403-E403-G403),2)</x:f>
        <x:v>0</x:v>
      </x:c>
      <x:c r="I403" s="6" t="n">
        <x:f>N402</x:f>
        <x:v>0</x:v>
      </x:c>
      <x:c r="J403" s="6" t="n">
        <x:f>ROUND(I403*'Debt strategy'!$D$10/12,2)</x:f>
        <x:v>0</x:v>
      </x:c>
      <x:c r="K403" s="6" t="n">
        <x:f>MIN(I403+J403,'Debt strategy'!$E$10)</x:f>
        <x:v>0</x:v>
      </x:c>
      <x:c r="L403" s="27" t="n">
        <x:f>IF(I403+J403-K403&lt;=0,99,1+SUM(IF(AND(C403+D403-E403&gt;0,OR('Debt strategy'!$D$9&gt;'Debt strategy'!$D$10,AND('Debt strategy'!$D$9='Debt strategy'!$D$10,0&lt;1))),1,0),IF(AND(O403+P403-Q403&gt;0,OR('Debt strategy'!$D$11&gt;'Debt strategy'!$D$10,AND('Debt strategy'!$D$11='Debt strategy'!$D$10,2&lt;1))),1,0),IF(AND(U403+V403-W403&gt;0,OR('Debt strategy'!$D$12&gt;'Debt strategy'!$D$10,AND('Debt strategy'!$D$12='Debt strategy'!$D$10,3&lt;1))),1,0),IF(AND(AA403+AB403-AC403&gt;0,OR('Debt strategy'!$D$13&gt;'Debt strategy'!$D$10,AND('Debt strategy'!$D$13='Debt strategy'!$D$10,4&lt;1))),1,0)))</x:f>
        <x:v>99</x:v>
      </x:c>
      <x:c r="M403" s="6" t="n">
        <x:f>IF('Debt strategy'!$C$16&gt;0,0,MIN(I403+J403-K403,MAX(0,'Debt strategy'!$C$5-SUM(E403,K403,Q403,W403,AC403)-SUM(IF(F403&lt;L403,C403+D403-E403,0),IF(R403&lt;L403,O403+P403-Q403,0),IF(X403&lt;L403,U403+V403-W403,0),IF(AD403&lt;L403,AA403+AB403-AC403,0)))))</x:f>
        <x:v>0</x:v>
      </x:c>
      <x:c r="N403" s="6" t="n">
        <x:f>ROUND(MAX(0,I403+J403-K403-M403),2)</x:f>
        <x:v>0</x:v>
      </x:c>
      <x:c r="O403" s="6" t="n">
        <x:f>T402</x:f>
        <x:v>0</x:v>
      </x:c>
      <x:c r="P403" s="6" t="n">
        <x:f>ROUND(O403*'Debt strategy'!$D$11/12,2)</x:f>
        <x:v>0</x:v>
      </x:c>
      <x:c r="Q403" s="6" t="n">
        <x:f>MIN(O403+P403,'Debt strategy'!$E$11)</x:f>
        <x:v>0</x:v>
      </x:c>
      <x:c r="R403" s="27" t="n">
        <x:f>IF(O403+P403-Q403&lt;=0,99,1+SUM(IF(AND(C403+D403-E403&gt;0,OR('Debt strategy'!$D$9&gt;'Debt strategy'!$D$11,AND('Debt strategy'!$D$9='Debt strategy'!$D$11,0&lt;2))),1,0),IF(AND(I403+J403-K403&gt;0,OR('Debt strategy'!$D$10&gt;'Debt strategy'!$D$11,AND('Debt strategy'!$D$10='Debt strategy'!$D$11,1&lt;2))),1,0),IF(AND(U403+V403-W403&gt;0,OR('Debt strategy'!$D$12&gt;'Debt strategy'!$D$11,AND('Debt strategy'!$D$12='Debt strategy'!$D$11,3&lt;2))),1,0),IF(AND(AA403+AB403-AC403&gt;0,OR('Debt strategy'!$D$13&gt;'Debt strategy'!$D$11,AND('Debt strategy'!$D$13='Debt strategy'!$D$11,4&lt;2))),1,0)))</x:f>
        <x:v>99</x:v>
      </x:c>
      <x:c r="S403" s="6" t="n">
        <x:f>IF('Debt strategy'!$C$16&gt;0,0,MIN(O403+P403-Q403,MAX(0,'Debt strategy'!$C$5-SUM(E403,K403,Q403,W403,AC403)-SUM(IF(F403&lt;R403,C403+D403-E403,0),IF(L403&lt;R403,I403+J403-K403,0),IF(X403&lt;R403,U403+V403-W403,0),IF(AD403&lt;R403,AA403+AB403-AC403,0)))))</x:f>
        <x:v>0</x:v>
      </x:c>
      <x:c r="T403" s="6" t="n">
        <x:f>ROUND(MAX(0,O403+P403-Q403-S403),2)</x:f>
        <x:v>0</x:v>
      </x:c>
      <x:c r="U403" s="6" t="n">
        <x:f>Z402</x:f>
        <x:v>0</x:v>
      </x:c>
      <x:c r="V403" s="6" t="n">
        <x:f>ROUND(U403*'Debt strategy'!$D$12/12,2)</x:f>
        <x:v>0</x:v>
      </x:c>
      <x:c r="W403" s="6" t="n">
        <x:f>MIN(U403+V403,'Debt strategy'!$E$12)</x:f>
        <x:v>0</x:v>
      </x:c>
      <x:c r="X403" s="27" t="n">
        <x:f>IF(U403+V403-W403&lt;=0,99,1+SUM(IF(AND(C403+D403-E403&gt;0,OR('Debt strategy'!$D$9&gt;'Debt strategy'!$D$12,AND('Debt strategy'!$D$9='Debt strategy'!$D$12,0&lt;3))),1,0),IF(AND(I403+J403-K403&gt;0,OR('Debt strategy'!$D$10&gt;'Debt strategy'!$D$12,AND('Debt strategy'!$D$10='Debt strategy'!$D$12,1&lt;3))),1,0),IF(AND(O403+P403-Q403&gt;0,OR('Debt strategy'!$D$11&gt;'Debt strategy'!$D$12,AND('Debt strategy'!$D$11='Debt strategy'!$D$12,2&lt;3))),1,0),IF(AND(AA403+AB403-AC403&gt;0,OR('Debt strategy'!$D$13&gt;'Debt strategy'!$D$12,AND('Debt strategy'!$D$13='Debt strategy'!$D$12,4&lt;3))),1,0)))</x:f>
        <x:v>99</x:v>
      </x:c>
      <x:c r="Y403" s="6" t="n">
        <x:f>IF('Debt strategy'!$C$16&gt;0,0,MIN(U403+V403-W403,MAX(0,'Debt strategy'!$C$5-SUM(E403,K403,Q403,W403,AC403)-SUM(IF(F403&lt;X403,C403+D403-E403,0),IF(L403&lt;X403,I403+J403-K403,0),IF(R403&lt;X403,O403+P403-Q403,0),IF(AD403&lt;X403,AA403+AB403-AC403,0)))))</x:f>
        <x:v>0</x:v>
      </x:c>
      <x:c r="Z403" s="6" t="n">
        <x:f>ROUND(MAX(0,U403+V403-W403-Y403),2)</x:f>
        <x:v>0</x:v>
      </x:c>
      <x:c r="AA403" s="6" t="n">
        <x:f>AF402</x:f>
        <x:v>0</x:v>
      </x:c>
      <x:c r="AB403" s="6" t="n">
        <x:f>ROUND(AA403*'Debt strategy'!$D$13/12,2)</x:f>
        <x:v>0</x:v>
      </x:c>
      <x:c r="AC403" s="6" t="n">
        <x:f>MIN(AA403+AB403,'Debt strategy'!$E$13)</x:f>
        <x:v>0</x:v>
      </x:c>
      <x:c r="AD403" s="27" t="n">
        <x:f>IF(AA403+AB403-AC403&lt;=0,99,1+SUM(IF(AND(C403+D403-E403&gt;0,OR('Debt strategy'!$D$9&gt;'Debt strategy'!$D$13,AND('Debt strategy'!$D$9='Debt strategy'!$D$13,0&lt;4))),1,0),IF(AND(I403+J403-K403&gt;0,OR('Debt strategy'!$D$10&gt;'Debt strategy'!$D$13,AND('Debt strategy'!$D$10='Debt strategy'!$D$13,1&lt;4))),1,0),IF(AND(O403+P403-Q403&gt;0,OR('Debt strategy'!$D$11&gt;'Debt strategy'!$D$13,AND('Debt strategy'!$D$11='Debt strategy'!$D$13,2&lt;4))),1,0),IF(AND(U403+V403-W403&gt;0,OR('Debt strategy'!$D$12&gt;'Debt strategy'!$D$13,AND('Debt strategy'!$D$12='Debt strategy'!$D$13,3&lt;4))),1,0)))</x:f>
        <x:v>99</x:v>
      </x:c>
      <x:c r="AE403" s="6" t="n">
        <x:f>IF('Debt strategy'!$C$16&gt;0,0,MIN(AA403+AB403-AC403,MAX(0,'Debt strategy'!$C$5-SUM(E403,K403,Q403,W403,AC403)-SUM(IF(F403&lt;AD403,C403+D403-E403,0),IF(L403&lt;AD403,I403+J403-K403,0),IF(R403&lt;AD403,O403+P403-Q403,0),IF(X403&lt;AD403,U403+V403-W403,0)))))</x:f>
        <x:v>0</x:v>
      </x:c>
      <x:c r="AF403" s="6" t="n">
        <x:f>ROUND(MAX(0,AA403+AB403-AC403-AE403),2)</x:f>
        <x:v>0</x:v>
      </x:c>
      <x:c r="AG403" s="6" t="n">
        <x:f>SUM(H403,N403,T403,Z403,AF403)</x:f>
        <x:v>0</x:v>
      </x:c>
      <x:c r="AH403" s="6" t="n">
        <x:f>SUM(D403,J403,P403,V403,AB403)+AH402</x:f>
        <x:v>1220.8400000000001</x:v>
      </x:c>
      <x:c r="AI403" s="2"/>
    </x:row>
    <x:row r="404" ht="23" customHeight="1">
      <x:c r="B404" s="2" t="n">
        <x:f>396</x:f>
        <x:v>396</x:v>
      </x:c>
      <x:c r="C404" s="6" t="n">
        <x:f>H403</x:f>
        <x:v>0</x:v>
      </x:c>
      <x:c r="D404" s="6" t="n">
        <x:f>ROUND(C404*'Debt strategy'!$D$9/12,2)</x:f>
        <x:v>0</x:v>
      </x:c>
      <x:c r="E404" s="6" t="n">
        <x:f>MIN(C404+D404,'Debt strategy'!$E$9)</x:f>
        <x:v>0</x:v>
      </x:c>
      <x:c r="F404" s="27" t="n">
        <x:f>IF(C404+D404-E404&lt;=0,99,1+SUM(IF(AND(I404+J404-K404&gt;0,OR('Debt strategy'!$D$10&gt;'Debt strategy'!$D$9,AND('Debt strategy'!$D$10='Debt strategy'!$D$9,1&lt;0))),1,0),IF(AND(O404+P404-Q404&gt;0,OR('Debt strategy'!$D$11&gt;'Debt strategy'!$D$9,AND('Debt strategy'!$D$11='Debt strategy'!$D$9,2&lt;0))),1,0),IF(AND(U404+V404-W404&gt;0,OR('Debt strategy'!$D$12&gt;'Debt strategy'!$D$9,AND('Debt strategy'!$D$12='Debt strategy'!$D$9,3&lt;0))),1,0),IF(AND(AA404+AB404-AC404&gt;0,OR('Debt strategy'!$D$13&gt;'Debt strategy'!$D$9,AND('Debt strategy'!$D$13='Debt strategy'!$D$9,4&lt;0))),1,0)))</x:f>
        <x:v>99</x:v>
      </x:c>
      <x:c r="G404" s="6" t="n">
        <x:f>IF('Debt strategy'!$C$16&gt;0,0,MIN(C404+D404-E404,MAX(0,'Debt strategy'!$C$5-SUM(E404,K404,Q404,W404,AC404)-SUM(IF(L404&lt;F404,I404+J404-K404,0),IF(R404&lt;F404,O404+P404-Q404,0),IF(X404&lt;F404,U404+V404-W404,0),IF(AD404&lt;F404,AA404+AB404-AC404,0)))))</x:f>
        <x:v>0</x:v>
      </x:c>
      <x:c r="H404" s="6" t="n">
        <x:f>ROUND(MAX(0,C404+D404-E404-G404),2)</x:f>
        <x:v>0</x:v>
      </x:c>
      <x:c r="I404" s="6" t="n">
        <x:f>N403</x:f>
        <x:v>0</x:v>
      </x:c>
      <x:c r="J404" s="6" t="n">
        <x:f>ROUND(I404*'Debt strategy'!$D$10/12,2)</x:f>
        <x:v>0</x:v>
      </x:c>
      <x:c r="K404" s="6" t="n">
        <x:f>MIN(I404+J404,'Debt strategy'!$E$10)</x:f>
        <x:v>0</x:v>
      </x:c>
      <x:c r="L404" s="27" t="n">
        <x:f>IF(I404+J404-K404&lt;=0,99,1+SUM(IF(AND(C404+D404-E404&gt;0,OR('Debt strategy'!$D$9&gt;'Debt strategy'!$D$10,AND('Debt strategy'!$D$9='Debt strategy'!$D$10,0&lt;1))),1,0),IF(AND(O404+P404-Q404&gt;0,OR('Debt strategy'!$D$11&gt;'Debt strategy'!$D$10,AND('Debt strategy'!$D$11='Debt strategy'!$D$10,2&lt;1))),1,0),IF(AND(U404+V404-W404&gt;0,OR('Debt strategy'!$D$12&gt;'Debt strategy'!$D$10,AND('Debt strategy'!$D$12='Debt strategy'!$D$10,3&lt;1))),1,0),IF(AND(AA404+AB404-AC404&gt;0,OR('Debt strategy'!$D$13&gt;'Debt strategy'!$D$10,AND('Debt strategy'!$D$13='Debt strategy'!$D$10,4&lt;1))),1,0)))</x:f>
        <x:v>99</x:v>
      </x:c>
      <x:c r="M404" s="6" t="n">
        <x:f>IF('Debt strategy'!$C$16&gt;0,0,MIN(I404+J404-K404,MAX(0,'Debt strategy'!$C$5-SUM(E404,K404,Q404,W404,AC404)-SUM(IF(F404&lt;L404,C404+D404-E404,0),IF(R404&lt;L404,O404+P404-Q404,0),IF(X404&lt;L404,U404+V404-W404,0),IF(AD404&lt;L404,AA404+AB404-AC404,0)))))</x:f>
        <x:v>0</x:v>
      </x:c>
      <x:c r="N404" s="6" t="n">
        <x:f>ROUND(MAX(0,I404+J404-K404-M404),2)</x:f>
        <x:v>0</x:v>
      </x:c>
      <x:c r="O404" s="6" t="n">
        <x:f>T403</x:f>
        <x:v>0</x:v>
      </x:c>
      <x:c r="P404" s="6" t="n">
        <x:f>ROUND(O404*'Debt strategy'!$D$11/12,2)</x:f>
        <x:v>0</x:v>
      </x:c>
      <x:c r="Q404" s="6" t="n">
        <x:f>MIN(O404+P404,'Debt strategy'!$E$11)</x:f>
        <x:v>0</x:v>
      </x:c>
      <x:c r="R404" s="27" t="n">
        <x:f>IF(O404+P404-Q404&lt;=0,99,1+SUM(IF(AND(C404+D404-E404&gt;0,OR('Debt strategy'!$D$9&gt;'Debt strategy'!$D$11,AND('Debt strategy'!$D$9='Debt strategy'!$D$11,0&lt;2))),1,0),IF(AND(I404+J404-K404&gt;0,OR('Debt strategy'!$D$10&gt;'Debt strategy'!$D$11,AND('Debt strategy'!$D$10='Debt strategy'!$D$11,1&lt;2))),1,0),IF(AND(U404+V404-W404&gt;0,OR('Debt strategy'!$D$12&gt;'Debt strategy'!$D$11,AND('Debt strategy'!$D$12='Debt strategy'!$D$11,3&lt;2))),1,0),IF(AND(AA404+AB404-AC404&gt;0,OR('Debt strategy'!$D$13&gt;'Debt strategy'!$D$11,AND('Debt strategy'!$D$13='Debt strategy'!$D$11,4&lt;2))),1,0)))</x:f>
        <x:v>99</x:v>
      </x:c>
      <x:c r="S404" s="6" t="n">
        <x:f>IF('Debt strategy'!$C$16&gt;0,0,MIN(O404+P404-Q404,MAX(0,'Debt strategy'!$C$5-SUM(E404,K404,Q404,W404,AC404)-SUM(IF(F404&lt;R404,C404+D404-E404,0),IF(L404&lt;R404,I404+J404-K404,0),IF(X404&lt;R404,U404+V404-W404,0),IF(AD404&lt;R404,AA404+AB404-AC404,0)))))</x:f>
        <x:v>0</x:v>
      </x:c>
      <x:c r="T404" s="6" t="n">
        <x:f>ROUND(MAX(0,O404+P404-Q404-S404),2)</x:f>
        <x:v>0</x:v>
      </x:c>
      <x:c r="U404" s="6" t="n">
        <x:f>Z403</x:f>
        <x:v>0</x:v>
      </x:c>
      <x:c r="V404" s="6" t="n">
        <x:f>ROUND(U404*'Debt strategy'!$D$12/12,2)</x:f>
        <x:v>0</x:v>
      </x:c>
      <x:c r="W404" s="6" t="n">
        <x:f>MIN(U404+V404,'Debt strategy'!$E$12)</x:f>
        <x:v>0</x:v>
      </x:c>
      <x:c r="X404" s="27" t="n">
        <x:f>IF(U404+V404-W404&lt;=0,99,1+SUM(IF(AND(C404+D404-E404&gt;0,OR('Debt strategy'!$D$9&gt;'Debt strategy'!$D$12,AND('Debt strategy'!$D$9='Debt strategy'!$D$12,0&lt;3))),1,0),IF(AND(I404+J404-K404&gt;0,OR('Debt strategy'!$D$10&gt;'Debt strategy'!$D$12,AND('Debt strategy'!$D$10='Debt strategy'!$D$12,1&lt;3))),1,0),IF(AND(O404+P404-Q404&gt;0,OR('Debt strategy'!$D$11&gt;'Debt strategy'!$D$12,AND('Debt strategy'!$D$11='Debt strategy'!$D$12,2&lt;3))),1,0),IF(AND(AA404+AB404-AC404&gt;0,OR('Debt strategy'!$D$13&gt;'Debt strategy'!$D$12,AND('Debt strategy'!$D$13='Debt strategy'!$D$12,4&lt;3))),1,0)))</x:f>
        <x:v>99</x:v>
      </x:c>
      <x:c r="Y404" s="6" t="n">
        <x:f>IF('Debt strategy'!$C$16&gt;0,0,MIN(U404+V404-W404,MAX(0,'Debt strategy'!$C$5-SUM(E404,K404,Q404,W404,AC404)-SUM(IF(F404&lt;X404,C404+D404-E404,0),IF(L404&lt;X404,I404+J404-K404,0),IF(R404&lt;X404,O404+P404-Q404,0),IF(AD404&lt;X404,AA404+AB404-AC404,0)))))</x:f>
        <x:v>0</x:v>
      </x:c>
      <x:c r="Z404" s="6" t="n">
        <x:f>ROUND(MAX(0,U404+V404-W404-Y404),2)</x:f>
        <x:v>0</x:v>
      </x:c>
      <x:c r="AA404" s="6" t="n">
        <x:f>AF403</x:f>
        <x:v>0</x:v>
      </x:c>
      <x:c r="AB404" s="6" t="n">
        <x:f>ROUND(AA404*'Debt strategy'!$D$13/12,2)</x:f>
        <x:v>0</x:v>
      </x:c>
      <x:c r="AC404" s="6" t="n">
        <x:f>MIN(AA404+AB404,'Debt strategy'!$E$13)</x:f>
        <x:v>0</x:v>
      </x:c>
      <x:c r="AD404" s="27" t="n">
        <x:f>IF(AA404+AB404-AC404&lt;=0,99,1+SUM(IF(AND(C404+D404-E404&gt;0,OR('Debt strategy'!$D$9&gt;'Debt strategy'!$D$13,AND('Debt strategy'!$D$9='Debt strategy'!$D$13,0&lt;4))),1,0),IF(AND(I404+J404-K404&gt;0,OR('Debt strategy'!$D$10&gt;'Debt strategy'!$D$13,AND('Debt strategy'!$D$10='Debt strategy'!$D$13,1&lt;4))),1,0),IF(AND(O404+P404-Q404&gt;0,OR('Debt strategy'!$D$11&gt;'Debt strategy'!$D$13,AND('Debt strategy'!$D$11='Debt strategy'!$D$13,2&lt;4))),1,0),IF(AND(U404+V404-W404&gt;0,OR('Debt strategy'!$D$12&gt;'Debt strategy'!$D$13,AND('Debt strategy'!$D$12='Debt strategy'!$D$13,3&lt;4))),1,0)))</x:f>
        <x:v>99</x:v>
      </x:c>
      <x:c r="AE404" s="6" t="n">
        <x:f>IF('Debt strategy'!$C$16&gt;0,0,MIN(AA404+AB404-AC404,MAX(0,'Debt strategy'!$C$5-SUM(E404,K404,Q404,W404,AC404)-SUM(IF(F404&lt;AD404,C404+D404-E404,0),IF(L404&lt;AD404,I404+J404-K404,0),IF(R404&lt;AD404,O404+P404-Q404,0),IF(X404&lt;AD404,U404+V404-W404,0)))))</x:f>
        <x:v>0</x:v>
      </x:c>
      <x:c r="AF404" s="6" t="n">
        <x:f>ROUND(MAX(0,AA404+AB404-AC404-AE404),2)</x:f>
        <x:v>0</x:v>
      </x:c>
      <x:c r="AG404" s="6" t="n">
        <x:f>SUM(H404,N404,T404,Z404,AF404)</x:f>
        <x:v>0</x:v>
      </x:c>
      <x:c r="AH404" s="6" t="n">
        <x:f>SUM(D404,J404,P404,V404,AB404)+AH403</x:f>
        <x:v>1220.8400000000001</x:v>
      </x:c>
      <x:c r="AI404" s="2"/>
    </x:row>
    <x:row r="405" ht="23" customHeight="1">
      <x:c r="B405" s="2" t="n">
        <x:f>397</x:f>
        <x:v>397</x:v>
      </x:c>
      <x:c r="C405" s="6" t="n">
        <x:f>H404</x:f>
        <x:v>0</x:v>
      </x:c>
      <x:c r="D405" s="6" t="n">
        <x:f>ROUND(C405*'Debt strategy'!$D$9/12,2)</x:f>
        <x:v>0</x:v>
      </x:c>
      <x:c r="E405" s="6" t="n">
        <x:f>MIN(C405+D405,'Debt strategy'!$E$9)</x:f>
        <x:v>0</x:v>
      </x:c>
      <x:c r="F405" s="27" t="n">
        <x:f>IF(C405+D405-E405&lt;=0,99,1+SUM(IF(AND(I405+J405-K405&gt;0,OR('Debt strategy'!$D$10&gt;'Debt strategy'!$D$9,AND('Debt strategy'!$D$10='Debt strategy'!$D$9,1&lt;0))),1,0),IF(AND(O405+P405-Q405&gt;0,OR('Debt strategy'!$D$11&gt;'Debt strategy'!$D$9,AND('Debt strategy'!$D$11='Debt strategy'!$D$9,2&lt;0))),1,0),IF(AND(U405+V405-W405&gt;0,OR('Debt strategy'!$D$12&gt;'Debt strategy'!$D$9,AND('Debt strategy'!$D$12='Debt strategy'!$D$9,3&lt;0))),1,0),IF(AND(AA405+AB405-AC405&gt;0,OR('Debt strategy'!$D$13&gt;'Debt strategy'!$D$9,AND('Debt strategy'!$D$13='Debt strategy'!$D$9,4&lt;0))),1,0)))</x:f>
        <x:v>99</x:v>
      </x:c>
      <x:c r="G405" s="6" t="n">
        <x:f>IF('Debt strategy'!$C$16&gt;0,0,MIN(C405+D405-E405,MAX(0,'Debt strategy'!$C$5-SUM(E405,K405,Q405,W405,AC405)-SUM(IF(L405&lt;F405,I405+J405-K405,0),IF(R405&lt;F405,O405+P405-Q405,0),IF(X405&lt;F405,U405+V405-W405,0),IF(AD405&lt;F405,AA405+AB405-AC405,0)))))</x:f>
        <x:v>0</x:v>
      </x:c>
      <x:c r="H405" s="6" t="n">
        <x:f>ROUND(MAX(0,C405+D405-E405-G405),2)</x:f>
        <x:v>0</x:v>
      </x:c>
      <x:c r="I405" s="6" t="n">
        <x:f>N404</x:f>
        <x:v>0</x:v>
      </x:c>
      <x:c r="J405" s="6" t="n">
        <x:f>ROUND(I405*'Debt strategy'!$D$10/12,2)</x:f>
        <x:v>0</x:v>
      </x:c>
      <x:c r="K405" s="6" t="n">
        <x:f>MIN(I405+J405,'Debt strategy'!$E$10)</x:f>
        <x:v>0</x:v>
      </x:c>
      <x:c r="L405" s="27" t="n">
        <x:f>IF(I405+J405-K405&lt;=0,99,1+SUM(IF(AND(C405+D405-E405&gt;0,OR('Debt strategy'!$D$9&gt;'Debt strategy'!$D$10,AND('Debt strategy'!$D$9='Debt strategy'!$D$10,0&lt;1))),1,0),IF(AND(O405+P405-Q405&gt;0,OR('Debt strategy'!$D$11&gt;'Debt strategy'!$D$10,AND('Debt strategy'!$D$11='Debt strategy'!$D$10,2&lt;1))),1,0),IF(AND(U405+V405-W405&gt;0,OR('Debt strategy'!$D$12&gt;'Debt strategy'!$D$10,AND('Debt strategy'!$D$12='Debt strategy'!$D$10,3&lt;1))),1,0),IF(AND(AA405+AB405-AC405&gt;0,OR('Debt strategy'!$D$13&gt;'Debt strategy'!$D$10,AND('Debt strategy'!$D$13='Debt strategy'!$D$10,4&lt;1))),1,0)))</x:f>
        <x:v>99</x:v>
      </x:c>
      <x:c r="M405" s="6" t="n">
        <x:f>IF('Debt strategy'!$C$16&gt;0,0,MIN(I405+J405-K405,MAX(0,'Debt strategy'!$C$5-SUM(E405,K405,Q405,W405,AC405)-SUM(IF(F405&lt;L405,C405+D405-E405,0),IF(R405&lt;L405,O405+P405-Q405,0),IF(X405&lt;L405,U405+V405-W405,0),IF(AD405&lt;L405,AA405+AB405-AC405,0)))))</x:f>
        <x:v>0</x:v>
      </x:c>
      <x:c r="N405" s="6" t="n">
        <x:f>ROUND(MAX(0,I405+J405-K405-M405),2)</x:f>
        <x:v>0</x:v>
      </x:c>
      <x:c r="O405" s="6" t="n">
        <x:f>T404</x:f>
        <x:v>0</x:v>
      </x:c>
      <x:c r="P405" s="6" t="n">
        <x:f>ROUND(O405*'Debt strategy'!$D$11/12,2)</x:f>
        <x:v>0</x:v>
      </x:c>
      <x:c r="Q405" s="6" t="n">
        <x:f>MIN(O405+P405,'Debt strategy'!$E$11)</x:f>
        <x:v>0</x:v>
      </x:c>
      <x:c r="R405" s="27" t="n">
        <x:f>IF(O405+P405-Q405&lt;=0,99,1+SUM(IF(AND(C405+D405-E405&gt;0,OR('Debt strategy'!$D$9&gt;'Debt strategy'!$D$11,AND('Debt strategy'!$D$9='Debt strategy'!$D$11,0&lt;2))),1,0),IF(AND(I405+J405-K405&gt;0,OR('Debt strategy'!$D$10&gt;'Debt strategy'!$D$11,AND('Debt strategy'!$D$10='Debt strategy'!$D$11,1&lt;2))),1,0),IF(AND(U405+V405-W405&gt;0,OR('Debt strategy'!$D$12&gt;'Debt strategy'!$D$11,AND('Debt strategy'!$D$12='Debt strategy'!$D$11,3&lt;2))),1,0),IF(AND(AA405+AB405-AC405&gt;0,OR('Debt strategy'!$D$13&gt;'Debt strategy'!$D$11,AND('Debt strategy'!$D$13='Debt strategy'!$D$11,4&lt;2))),1,0)))</x:f>
        <x:v>99</x:v>
      </x:c>
      <x:c r="S405" s="6" t="n">
        <x:f>IF('Debt strategy'!$C$16&gt;0,0,MIN(O405+P405-Q405,MAX(0,'Debt strategy'!$C$5-SUM(E405,K405,Q405,W405,AC405)-SUM(IF(F405&lt;R405,C405+D405-E405,0),IF(L405&lt;R405,I405+J405-K405,0),IF(X405&lt;R405,U405+V405-W405,0),IF(AD405&lt;R405,AA405+AB405-AC405,0)))))</x:f>
        <x:v>0</x:v>
      </x:c>
      <x:c r="T405" s="6" t="n">
        <x:f>ROUND(MAX(0,O405+P405-Q405-S405),2)</x:f>
        <x:v>0</x:v>
      </x:c>
      <x:c r="U405" s="6" t="n">
        <x:f>Z404</x:f>
        <x:v>0</x:v>
      </x:c>
      <x:c r="V405" s="6" t="n">
        <x:f>ROUND(U405*'Debt strategy'!$D$12/12,2)</x:f>
        <x:v>0</x:v>
      </x:c>
      <x:c r="W405" s="6" t="n">
        <x:f>MIN(U405+V405,'Debt strategy'!$E$12)</x:f>
        <x:v>0</x:v>
      </x:c>
      <x:c r="X405" s="27" t="n">
        <x:f>IF(U405+V405-W405&lt;=0,99,1+SUM(IF(AND(C405+D405-E405&gt;0,OR('Debt strategy'!$D$9&gt;'Debt strategy'!$D$12,AND('Debt strategy'!$D$9='Debt strategy'!$D$12,0&lt;3))),1,0),IF(AND(I405+J405-K405&gt;0,OR('Debt strategy'!$D$10&gt;'Debt strategy'!$D$12,AND('Debt strategy'!$D$10='Debt strategy'!$D$12,1&lt;3))),1,0),IF(AND(O405+P405-Q405&gt;0,OR('Debt strategy'!$D$11&gt;'Debt strategy'!$D$12,AND('Debt strategy'!$D$11='Debt strategy'!$D$12,2&lt;3))),1,0),IF(AND(AA405+AB405-AC405&gt;0,OR('Debt strategy'!$D$13&gt;'Debt strategy'!$D$12,AND('Debt strategy'!$D$13='Debt strategy'!$D$12,4&lt;3))),1,0)))</x:f>
        <x:v>99</x:v>
      </x:c>
      <x:c r="Y405" s="6" t="n">
        <x:f>IF('Debt strategy'!$C$16&gt;0,0,MIN(U405+V405-W405,MAX(0,'Debt strategy'!$C$5-SUM(E405,K405,Q405,W405,AC405)-SUM(IF(F405&lt;X405,C405+D405-E405,0),IF(L405&lt;X405,I405+J405-K405,0),IF(R405&lt;X405,O405+P405-Q405,0),IF(AD405&lt;X405,AA405+AB405-AC405,0)))))</x:f>
        <x:v>0</x:v>
      </x:c>
      <x:c r="Z405" s="6" t="n">
        <x:f>ROUND(MAX(0,U405+V405-W405-Y405),2)</x:f>
        <x:v>0</x:v>
      </x:c>
      <x:c r="AA405" s="6" t="n">
        <x:f>AF404</x:f>
        <x:v>0</x:v>
      </x:c>
      <x:c r="AB405" s="6" t="n">
        <x:f>ROUND(AA405*'Debt strategy'!$D$13/12,2)</x:f>
        <x:v>0</x:v>
      </x:c>
      <x:c r="AC405" s="6" t="n">
        <x:f>MIN(AA405+AB405,'Debt strategy'!$E$13)</x:f>
        <x:v>0</x:v>
      </x:c>
      <x:c r="AD405" s="27" t="n">
        <x:f>IF(AA405+AB405-AC405&lt;=0,99,1+SUM(IF(AND(C405+D405-E405&gt;0,OR('Debt strategy'!$D$9&gt;'Debt strategy'!$D$13,AND('Debt strategy'!$D$9='Debt strategy'!$D$13,0&lt;4))),1,0),IF(AND(I405+J405-K405&gt;0,OR('Debt strategy'!$D$10&gt;'Debt strategy'!$D$13,AND('Debt strategy'!$D$10='Debt strategy'!$D$13,1&lt;4))),1,0),IF(AND(O405+P405-Q405&gt;0,OR('Debt strategy'!$D$11&gt;'Debt strategy'!$D$13,AND('Debt strategy'!$D$11='Debt strategy'!$D$13,2&lt;4))),1,0),IF(AND(U405+V405-W405&gt;0,OR('Debt strategy'!$D$12&gt;'Debt strategy'!$D$13,AND('Debt strategy'!$D$12='Debt strategy'!$D$13,3&lt;4))),1,0)))</x:f>
        <x:v>99</x:v>
      </x:c>
      <x:c r="AE405" s="6" t="n">
        <x:f>IF('Debt strategy'!$C$16&gt;0,0,MIN(AA405+AB405-AC405,MAX(0,'Debt strategy'!$C$5-SUM(E405,K405,Q405,W405,AC405)-SUM(IF(F405&lt;AD405,C405+D405-E405,0),IF(L405&lt;AD405,I405+J405-K405,0),IF(R405&lt;AD405,O405+P405-Q405,0),IF(X405&lt;AD405,U405+V405-W405,0)))))</x:f>
        <x:v>0</x:v>
      </x:c>
      <x:c r="AF405" s="6" t="n">
        <x:f>ROUND(MAX(0,AA405+AB405-AC405-AE405),2)</x:f>
        <x:v>0</x:v>
      </x:c>
      <x:c r="AG405" s="6" t="n">
        <x:f>SUM(H405,N405,T405,Z405,AF405)</x:f>
        <x:v>0</x:v>
      </x:c>
      <x:c r="AH405" s="6" t="n">
        <x:f>SUM(D405,J405,P405,V405,AB405)+AH404</x:f>
        <x:v>1220.8400000000001</x:v>
      </x:c>
      <x:c r="AI405" s="2"/>
    </x:row>
    <x:row r="406" ht="23" customHeight="1">
      <x:c r="B406" s="2" t="n">
        <x:f>398</x:f>
        <x:v>398</x:v>
      </x:c>
      <x:c r="C406" s="6" t="n">
        <x:f>H405</x:f>
        <x:v>0</x:v>
      </x:c>
      <x:c r="D406" s="6" t="n">
        <x:f>ROUND(C406*'Debt strategy'!$D$9/12,2)</x:f>
        <x:v>0</x:v>
      </x:c>
      <x:c r="E406" s="6" t="n">
        <x:f>MIN(C406+D406,'Debt strategy'!$E$9)</x:f>
        <x:v>0</x:v>
      </x:c>
      <x:c r="F406" s="27" t="n">
        <x:f>IF(C406+D406-E406&lt;=0,99,1+SUM(IF(AND(I406+J406-K406&gt;0,OR('Debt strategy'!$D$10&gt;'Debt strategy'!$D$9,AND('Debt strategy'!$D$10='Debt strategy'!$D$9,1&lt;0))),1,0),IF(AND(O406+P406-Q406&gt;0,OR('Debt strategy'!$D$11&gt;'Debt strategy'!$D$9,AND('Debt strategy'!$D$11='Debt strategy'!$D$9,2&lt;0))),1,0),IF(AND(U406+V406-W406&gt;0,OR('Debt strategy'!$D$12&gt;'Debt strategy'!$D$9,AND('Debt strategy'!$D$12='Debt strategy'!$D$9,3&lt;0))),1,0),IF(AND(AA406+AB406-AC406&gt;0,OR('Debt strategy'!$D$13&gt;'Debt strategy'!$D$9,AND('Debt strategy'!$D$13='Debt strategy'!$D$9,4&lt;0))),1,0)))</x:f>
        <x:v>99</x:v>
      </x:c>
      <x:c r="G406" s="6" t="n">
        <x:f>IF('Debt strategy'!$C$16&gt;0,0,MIN(C406+D406-E406,MAX(0,'Debt strategy'!$C$5-SUM(E406,K406,Q406,W406,AC406)-SUM(IF(L406&lt;F406,I406+J406-K406,0),IF(R406&lt;F406,O406+P406-Q406,0),IF(X406&lt;F406,U406+V406-W406,0),IF(AD406&lt;F406,AA406+AB406-AC406,0)))))</x:f>
        <x:v>0</x:v>
      </x:c>
      <x:c r="H406" s="6" t="n">
        <x:f>ROUND(MAX(0,C406+D406-E406-G406),2)</x:f>
        <x:v>0</x:v>
      </x:c>
      <x:c r="I406" s="6" t="n">
        <x:f>N405</x:f>
        <x:v>0</x:v>
      </x:c>
      <x:c r="J406" s="6" t="n">
        <x:f>ROUND(I406*'Debt strategy'!$D$10/12,2)</x:f>
        <x:v>0</x:v>
      </x:c>
      <x:c r="K406" s="6" t="n">
        <x:f>MIN(I406+J406,'Debt strategy'!$E$10)</x:f>
        <x:v>0</x:v>
      </x:c>
      <x:c r="L406" s="27" t="n">
        <x:f>IF(I406+J406-K406&lt;=0,99,1+SUM(IF(AND(C406+D406-E406&gt;0,OR('Debt strategy'!$D$9&gt;'Debt strategy'!$D$10,AND('Debt strategy'!$D$9='Debt strategy'!$D$10,0&lt;1))),1,0),IF(AND(O406+P406-Q406&gt;0,OR('Debt strategy'!$D$11&gt;'Debt strategy'!$D$10,AND('Debt strategy'!$D$11='Debt strategy'!$D$10,2&lt;1))),1,0),IF(AND(U406+V406-W406&gt;0,OR('Debt strategy'!$D$12&gt;'Debt strategy'!$D$10,AND('Debt strategy'!$D$12='Debt strategy'!$D$10,3&lt;1))),1,0),IF(AND(AA406+AB406-AC406&gt;0,OR('Debt strategy'!$D$13&gt;'Debt strategy'!$D$10,AND('Debt strategy'!$D$13='Debt strategy'!$D$10,4&lt;1))),1,0)))</x:f>
        <x:v>99</x:v>
      </x:c>
      <x:c r="M406" s="6" t="n">
        <x:f>IF('Debt strategy'!$C$16&gt;0,0,MIN(I406+J406-K406,MAX(0,'Debt strategy'!$C$5-SUM(E406,K406,Q406,W406,AC406)-SUM(IF(F406&lt;L406,C406+D406-E406,0),IF(R406&lt;L406,O406+P406-Q406,0),IF(X406&lt;L406,U406+V406-W406,0),IF(AD406&lt;L406,AA406+AB406-AC406,0)))))</x:f>
        <x:v>0</x:v>
      </x:c>
      <x:c r="N406" s="6" t="n">
        <x:f>ROUND(MAX(0,I406+J406-K406-M406),2)</x:f>
        <x:v>0</x:v>
      </x:c>
      <x:c r="O406" s="6" t="n">
        <x:f>T405</x:f>
        <x:v>0</x:v>
      </x:c>
      <x:c r="P406" s="6" t="n">
        <x:f>ROUND(O406*'Debt strategy'!$D$11/12,2)</x:f>
        <x:v>0</x:v>
      </x:c>
      <x:c r="Q406" s="6" t="n">
        <x:f>MIN(O406+P406,'Debt strategy'!$E$11)</x:f>
        <x:v>0</x:v>
      </x:c>
      <x:c r="R406" s="27" t="n">
        <x:f>IF(O406+P406-Q406&lt;=0,99,1+SUM(IF(AND(C406+D406-E406&gt;0,OR('Debt strategy'!$D$9&gt;'Debt strategy'!$D$11,AND('Debt strategy'!$D$9='Debt strategy'!$D$11,0&lt;2))),1,0),IF(AND(I406+J406-K406&gt;0,OR('Debt strategy'!$D$10&gt;'Debt strategy'!$D$11,AND('Debt strategy'!$D$10='Debt strategy'!$D$11,1&lt;2))),1,0),IF(AND(U406+V406-W406&gt;0,OR('Debt strategy'!$D$12&gt;'Debt strategy'!$D$11,AND('Debt strategy'!$D$12='Debt strategy'!$D$11,3&lt;2))),1,0),IF(AND(AA406+AB406-AC406&gt;0,OR('Debt strategy'!$D$13&gt;'Debt strategy'!$D$11,AND('Debt strategy'!$D$13='Debt strategy'!$D$11,4&lt;2))),1,0)))</x:f>
        <x:v>99</x:v>
      </x:c>
      <x:c r="S406" s="6" t="n">
        <x:f>IF('Debt strategy'!$C$16&gt;0,0,MIN(O406+P406-Q406,MAX(0,'Debt strategy'!$C$5-SUM(E406,K406,Q406,W406,AC406)-SUM(IF(F406&lt;R406,C406+D406-E406,0),IF(L406&lt;R406,I406+J406-K406,0),IF(X406&lt;R406,U406+V406-W406,0),IF(AD406&lt;R406,AA406+AB406-AC406,0)))))</x:f>
        <x:v>0</x:v>
      </x:c>
      <x:c r="T406" s="6" t="n">
        <x:f>ROUND(MAX(0,O406+P406-Q406-S406),2)</x:f>
        <x:v>0</x:v>
      </x:c>
      <x:c r="U406" s="6" t="n">
        <x:f>Z405</x:f>
        <x:v>0</x:v>
      </x:c>
      <x:c r="V406" s="6" t="n">
        <x:f>ROUND(U406*'Debt strategy'!$D$12/12,2)</x:f>
        <x:v>0</x:v>
      </x:c>
      <x:c r="W406" s="6" t="n">
        <x:f>MIN(U406+V406,'Debt strategy'!$E$12)</x:f>
        <x:v>0</x:v>
      </x:c>
      <x:c r="X406" s="27" t="n">
        <x:f>IF(U406+V406-W406&lt;=0,99,1+SUM(IF(AND(C406+D406-E406&gt;0,OR('Debt strategy'!$D$9&gt;'Debt strategy'!$D$12,AND('Debt strategy'!$D$9='Debt strategy'!$D$12,0&lt;3))),1,0),IF(AND(I406+J406-K406&gt;0,OR('Debt strategy'!$D$10&gt;'Debt strategy'!$D$12,AND('Debt strategy'!$D$10='Debt strategy'!$D$12,1&lt;3))),1,0),IF(AND(O406+P406-Q406&gt;0,OR('Debt strategy'!$D$11&gt;'Debt strategy'!$D$12,AND('Debt strategy'!$D$11='Debt strategy'!$D$12,2&lt;3))),1,0),IF(AND(AA406+AB406-AC406&gt;0,OR('Debt strategy'!$D$13&gt;'Debt strategy'!$D$12,AND('Debt strategy'!$D$13='Debt strategy'!$D$12,4&lt;3))),1,0)))</x:f>
        <x:v>99</x:v>
      </x:c>
      <x:c r="Y406" s="6" t="n">
        <x:f>IF('Debt strategy'!$C$16&gt;0,0,MIN(U406+V406-W406,MAX(0,'Debt strategy'!$C$5-SUM(E406,K406,Q406,W406,AC406)-SUM(IF(F406&lt;X406,C406+D406-E406,0),IF(L406&lt;X406,I406+J406-K406,0),IF(R406&lt;X406,O406+P406-Q406,0),IF(AD406&lt;X406,AA406+AB406-AC406,0)))))</x:f>
        <x:v>0</x:v>
      </x:c>
      <x:c r="Z406" s="6" t="n">
        <x:f>ROUND(MAX(0,U406+V406-W406-Y406),2)</x:f>
        <x:v>0</x:v>
      </x:c>
      <x:c r="AA406" s="6" t="n">
        <x:f>AF405</x:f>
        <x:v>0</x:v>
      </x:c>
      <x:c r="AB406" s="6" t="n">
        <x:f>ROUND(AA406*'Debt strategy'!$D$13/12,2)</x:f>
        <x:v>0</x:v>
      </x:c>
      <x:c r="AC406" s="6" t="n">
        <x:f>MIN(AA406+AB406,'Debt strategy'!$E$13)</x:f>
        <x:v>0</x:v>
      </x:c>
      <x:c r="AD406" s="27" t="n">
        <x:f>IF(AA406+AB406-AC406&lt;=0,99,1+SUM(IF(AND(C406+D406-E406&gt;0,OR('Debt strategy'!$D$9&gt;'Debt strategy'!$D$13,AND('Debt strategy'!$D$9='Debt strategy'!$D$13,0&lt;4))),1,0),IF(AND(I406+J406-K406&gt;0,OR('Debt strategy'!$D$10&gt;'Debt strategy'!$D$13,AND('Debt strategy'!$D$10='Debt strategy'!$D$13,1&lt;4))),1,0),IF(AND(O406+P406-Q406&gt;0,OR('Debt strategy'!$D$11&gt;'Debt strategy'!$D$13,AND('Debt strategy'!$D$11='Debt strategy'!$D$13,2&lt;4))),1,0),IF(AND(U406+V406-W406&gt;0,OR('Debt strategy'!$D$12&gt;'Debt strategy'!$D$13,AND('Debt strategy'!$D$12='Debt strategy'!$D$13,3&lt;4))),1,0)))</x:f>
        <x:v>99</x:v>
      </x:c>
      <x:c r="AE406" s="6" t="n">
        <x:f>IF('Debt strategy'!$C$16&gt;0,0,MIN(AA406+AB406-AC406,MAX(0,'Debt strategy'!$C$5-SUM(E406,K406,Q406,W406,AC406)-SUM(IF(F406&lt;AD406,C406+D406-E406,0),IF(L406&lt;AD406,I406+J406-K406,0),IF(R406&lt;AD406,O406+P406-Q406,0),IF(X406&lt;AD406,U406+V406-W406,0)))))</x:f>
        <x:v>0</x:v>
      </x:c>
      <x:c r="AF406" s="6" t="n">
        <x:f>ROUND(MAX(0,AA406+AB406-AC406-AE406),2)</x:f>
        <x:v>0</x:v>
      </x:c>
      <x:c r="AG406" s="6" t="n">
        <x:f>SUM(H406,N406,T406,Z406,AF406)</x:f>
        <x:v>0</x:v>
      </x:c>
      <x:c r="AH406" s="6" t="n">
        <x:f>SUM(D406,J406,P406,V406,AB406)+AH405</x:f>
        <x:v>1220.8400000000001</x:v>
      </x:c>
      <x:c r="AI406" s="2"/>
    </x:row>
    <x:row r="407" ht="23" customHeight="1">
      <x:c r="B407" s="2" t="n">
        <x:f>399</x:f>
        <x:v>399</x:v>
      </x:c>
      <x:c r="C407" s="6" t="n">
        <x:f>H406</x:f>
        <x:v>0</x:v>
      </x:c>
      <x:c r="D407" s="6" t="n">
        <x:f>ROUND(C407*'Debt strategy'!$D$9/12,2)</x:f>
        <x:v>0</x:v>
      </x:c>
      <x:c r="E407" s="6" t="n">
        <x:f>MIN(C407+D407,'Debt strategy'!$E$9)</x:f>
        <x:v>0</x:v>
      </x:c>
      <x:c r="F407" s="27" t="n">
        <x:f>IF(C407+D407-E407&lt;=0,99,1+SUM(IF(AND(I407+J407-K407&gt;0,OR('Debt strategy'!$D$10&gt;'Debt strategy'!$D$9,AND('Debt strategy'!$D$10='Debt strategy'!$D$9,1&lt;0))),1,0),IF(AND(O407+P407-Q407&gt;0,OR('Debt strategy'!$D$11&gt;'Debt strategy'!$D$9,AND('Debt strategy'!$D$11='Debt strategy'!$D$9,2&lt;0))),1,0),IF(AND(U407+V407-W407&gt;0,OR('Debt strategy'!$D$12&gt;'Debt strategy'!$D$9,AND('Debt strategy'!$D$12='Debt strategy'!$D$9,3&lt;0))),1,0),IF(AND(AA407+AB407-AC407&gt;0,OR('Debt strategy'!$D$13&gt;'Debt strategy'!$D$9,AND('Debt strategy'!$D$13='Debt strategy'!$D$9,4&lt;0))),1,0)))</x:f>
        <x:v>99</x:v>
      </x:c>
      <x:c r="G407" s="6" t="n">
        <x:f>IF('Debt strategy'!$C$16&gt;0,0,MIN(C407+D407-E407,MAX(0,'Debt strategy'!$C$5-SUM(E407,K407,Q407,W407,AC407)-SUM(IF(L407&lt;F407,I407+J407-K407,0),IF(R407&lt;F407,O407+P407-Q407,0),IF(X407&lt;F407,U407+V407-W407,0),IF(AD407&lt;F407,AA407+AB407-AC407,0)))))</x:f>
        <x:v>0</x:v>
      </x:c>
      <x:c r="H407" s="6" t="n">
        <x:f>ROUND(MAX(0,C407+D407-E407-G407),2)</x:f>
        <x:v>0</x:v>
      </x:c>
      <x:c r="I407" s="6" t="n">
        <x:f>N406</x:f>
        <x:v>0</x:v>
      </x:c>
      <x:c r="J407" s="6" t="n">
        <x:f>ROUND(I407*'Debt strategy'!$D$10/12,2)</x:f>
        <x:v>0</x:v>
      </x:c>
      <x:c r="K407" s="6" t="n">
        <x:f>MIN(I407+J407,'Debt strategy'!$E$10)</x:f>
        <x:v>0</x:v>
      </x:c>
      <x:c r="L407" s="27" t="n">
        <x:f>IF(I407+J407-K407&lt;=0,99,1+SUM(IF(AND(C407+D407-E407&gt;0,OR('Debt strategy'!$D$9&gt;'Debt strategy'!$D$10,AND('Debt strategy'!$D$9='Debt strategy'!$D$10,0&lt;1))),1,0),IF(AND(O407+P407-Q407&gt;0,OR('Debt strategy'!$D$11&gt;'Debt strategy'!$D$10,AND('Debt strategy'!$D$11='Debt strategy'!$D$10,2&lt;1))),1,0),IF(AND(U407+V407-W407&gt;0,OR('Debt strategy'!$D$12&gt;'Debt strategy'!$D$10,AND('Debt strategy'!$D$12='Debt strategy'!$D$10,3&lt;1))),1,0),IF(AND(AA407+AB407-AC407&gt;0,OR('Debt strategy'!$D$13&gt;'Debt strategy'!$D$10,AND('Debt strategy'!$D$13='Debt strategy'!$D$10,4&lt;1))),1,0)))</x:f>
        <x:v>99</x:v>
      </x:c>
      <x:c r="M407" s="6" t="n">
        <x:f>IF('Debt strategy'!$C$16&gt;0,0,MIN(I407+J407-K407,MAX(0,'Debt strategy'!$C$5-SUM(E407,K407,Q407,W407,AC407)-SUM(IF(F407&lt;L407,C407+D407-E407,0),IF(R407&lt;L407,O407+P407-Q407,0),IF(X407&lt;L407,U407+V407-W407,0),IF(AD407&lt;L407,AA407+AB407-AC407,0)))))</x:f>
        <x:v>0</x:v>
      </x:c>
      <x:c r="N407" s="6" t="n">
        <x:f>ROUND(MAX(0,I407+J407-K407-M407),2)</x:f>
        <x:v>0</x:v>
      </x:c>
      <x:c r="O407" s="6" t="n">
        <x:f>T406</x:f>
        <x:v>0</x:v>
      </x:c>
      <x:c r="P407" s="6" t="n">
        <x:f>ROUND(O407*'Debt strategy'!$D$11/12,2)</x:f>
        <x:v>0</x:v>
      </x:c>
      <x:c r="Q407" s="6" t="n">
        <x:f>MIN(O407+P407,'Debt strategy'!$E$11)</x:f>
        <x:v>0</x:v>
      </x:c>
      <x:c r="R407" s="27" t="n">
        <x:f>IF(O407+P407-Q407&lt;=0,99,1+SUM(IF(AND(C407+D407-E407&gt;0,OR('Debt strategy'!$D$9&gt;'Debt strategy'!$D$11,AND('Debt strategy'!$D$9='Debt strategy'!$D$11,0&lt;2))),1,0),IF(AND(I407+J407-K407&gt;0,OR('Debt strategy'!$D$10&gt;'Debt strategy'!$D$11,AND('Debt strategy'!$D$10='Debt strategy'!$D$11,1&lt;2))),1,0),IF(AND(U407+V407-W407&gt;0,OR('Debt strategy'!$D$12&gt;'Debt strategy'!$D$11,AND('Debt strategy'!$D$12='Debt strategy'!$D$11,3&lt;2))),1,0),IF(AND(AA407+AB407-AC407&gt;0,OR('Debt strategy'!$D$13&gt;'Debt strategy'!$D$11,AND('Debt strategy'!$D$13='Debt strategy'!$D$11,4&lt;2))),1,0)))</x:f>
        <x:v>99</x:v>
      </x:c>
      <x:c r="S407" s="6" t="n">
        <x:f>IF('Debt strategy'!$C$16&gt;0,0,MIN(O407+P407-Q407,MAX(0,'Debt strategy'!$C$5-SUM(E407,K407,Q407,W407,AC407)-SUM(IF(F407&lt;R407,C407+D407-E407,0),IF(L407&lt;R407,I407+J407-K407,0),IF(X407&lt;R407,U407+V407-W407,0),IF(AD407&lt;R407,AA407+AB407-AC407,0)))))</x:f>
        <x:v>0</x:v>
      </x:c>
      <x:c r="T407" s="6" t="n">
        <x:f>ROUND(MAX(0,O407+P407-Q407-S407),2)</x:f>
        <x:v>0</x:v>
      </x:c>
      <x:c r="U407" s="6" t="n">
        <x:f>Z406</x:f>
        <x:v>0</x:v>
      </x:c>
      <x:c r="V407" s="6" t="n">
        <x:f>ROUND(U407*'Debt strategy'!$D$12/12,2)</x:f>
        <x:v>0</x:v>
      </x:c>
      <x:c r="W407" s="6" t="n">
        <x:f>MIN(U407+V407,'Debt strategy'!$E$12)</x:f>
        <x:v>0</x:v>
      </x:c>
      <x:c r="X407" s="27" t="n">
        <x:f>IF(U407+V407-W407&lt;=0,99,1+SUM(IF(AND(C407+D407-E407&gt;0,OR('Debt strategy'!$D$9&gt;'Debt strategy'!$D$12,AND('Debt strategy'!$D$9='Debt strategy'!$D$12,0&lt;3))),1,0),IF(AND(I407+J407-K407&gt;0,OR('Debt strategy'!$D$10&gt;'Debt strategy'!$D$12,AND('Debt strategy'!$D$10='Debt strategy'!$D$12,1&lt;3))),1,0),IF(AND(O407+P407-Q407&gt;0,OR('Debt strategy'!$D$11&gt;'Debt strategy'!$D$12,AND('Debt strategy'!$D$11='Debt strategy'!$D$12,2&lt;3))),1,0),IF(AND(AA407+AB407-AC407&gt;0,OR('Debt strategy'!$D$13&gt;'Debt strategy'!$D$12,AND('Debt strategy'!$D$13='Debt strategy'!$D$12,4&lt;3))),1,0)))</x:f>
        <x:v>99</x:v>
      </x:c>
      <x:c r="Y407" s="6" t="n">
        <x:f>IF('Debt strategy'!$C$16&gt;0,0,MIN(U407+V407-W407,MAX(0,'Debt strategy'!$C$5-SUM(E407,K407,Q407,W407,AC407)-SUM(IF(F407&lt;X407,C407+D407-E407,0),IF(L407&lt;X407,I407+J407-K407,0),IF(R407&lt;X407,O407+P407-Q407,0),IF(AD407&lt;X407,AA407+AB407-AC407,0)))))</x:f>
        <x:v>0</x:v>
      </x:c>
      <x:c r="Z407" s="6" t="n">
        <x:f>ROUND(MAX(0,U407+V407-W407-Y407),2)</x:f>
        <x:v>0</x:v>
      </x:c>
      <x:c r="AA407" s="6" t="n">
        <x:f>AF406</x:f>
        <x:v>0</x:v>
      </x:c>
      <x:c r="AB407" s="6" t="n">
        <x:f>ROUND(AA407*'Debt strategy'!$D$13/12,2)</x:f>
        <x:v>0</x:v>
      </x:c>
      <x:c r="AC407" s="6" t="n">
        <x:f>MIN(AA407+AB407,'Debt strategy'!$E$13)</x:f>
        <x:v>0</x:v>
      </x:c>
      <x:c r="AD407" s="27" t="n">
        <x:f>IF(AA407+AB407-AC407&lt;=0,99,1+SUM(IF(AND(C407+D407-E407&gt;0,OR('Debt strategy'!$D$9&gt;'Debt strategy'!$D$13,AND('Debt strategy'!$D$9='Debt strategy'!$D$13,0&lt;4))),1,0),IF(AND(I407+J407-K407&gt;0,OR('Debt strategy'!$D$10&gt;'Debt strategy'!$D$13,AND('Debt strategy'!$D$10='Debt strategy'!$D$13,1&lt;4))),1,0),IF(AND(O407+P407-Q407&gt;0,OR('Debt strategy'!$D$11&gt;'Debt strategy'!$D$13,AND('Debt strategy'!$D$11='Debt strategy'!$D$13,2&lt;4))),1,0),IF(AND(U407+V407-W407&gt;0,OR('Debt strategy'!$D$12&gt;'Debt strategy'!$D$13,AND('Debt strategy'!$D$12='Debt strategy'!$D$13,3&lt;4))),1,0)))</x:f>
        <x:v>99</x:v>
      </x:c>
      <x:c r="AE407" s="6" t="n">
        <x:f>IF('Debt strategy'!$C$16&gt;0,0,MIN(AA407+AB407-AC407,MAX(0,'Debt strategy'!$C$5-SUM(E407,K407,Q407,W407,AC407)-SUM(IF(F407&lt;AD407,C407+D407-E407,0),IF(L407&lt;AD407,I407+J407-K407,0),IF(R407&lt;AD407,O407+P407-Q407,0),IF(X407&lt;AD407,U407+V407-W407,0)))))</x:f>
        <x:v>0</x:v>
      </x:c>
      <x:c r="AF407" s="6" t="n">
        <x:f>ROUND(MAX(0,AA407+AB407-AC407-AE407),2)</x:f>
        <x:v>0</x:v>
      </x:c>
      <x:c r="AG407" s="6" t="n">
        <x:f>SUM(H407,N407,T407,Z407,AF407)</x:f>
        <x:v>0</x:v>
      </x:c>
      <x:c r="AH407" s="6" t="n">
        <x:f>SUM(D407,J407,P407,V407,AB407)+AH406</x:f>
        <x:v>1220.8400000000001</x:v>
      </x:c>
      <x:c r="AI407" s="2"/>
    </x:row>
    <x:row r="408" ht="23" customHeight="1">
      <x:c r="B408" s="2" t="n">
        <x:f>400</x:f>
        <x:v>400</x:v>
      </x:c>
      <x:c r="C408" s="6" t="n">
        <x:f>H407</x:f>
        <x:v>0</x:v>
      </x:c>
      <x:c r="D408" s="6" t="n">
        <x:f>ROUND(C408*'Debt strategy'!$D$9/12,2)</x:f>
        <x:v>0</x:v>
      </x:c>
      <x:c r="E408" s="6" t="n">
        <x:f>MIN(C408+D408,'Debt strategy'!$E$9)</x:f>
        <x:v>0</x:v>
      </x:c>
      <x:c r="F408" s="27" t="n">
        <x:f>IF(C408+D408-E408&lt;=0,99,1+SUM(IF(AND(I408+J408-K408&gt;0,OR('Debt strategy'!$D$10&gt;'Debt strategy'!$D$9,AND('Debt strategy'!$D$10='Debt strategy'!$D$9,1&lt;0))),1,0),IF(AND(O408+P408-Q408&gt;0,OR('Debt strategy'!$D$11&gt;'Debt strategy'!$D$9,AND('Debt strategy'!$D$11='Debt strategy'!$D$9,2&lt;0))),1,0),IF(AND(U408+V408-W408&gt;0,OR('Debt strategy'!$D$12&gt;'Debt strategy'!$D$9,AND('Debt strategy'!$D$12='Debt strategy'!$D$9,3&lt;0))),1,0),IF(AND(AA408+AB408-AC408&gt;0,OR('Debt strategy'!$D$13&gt;'Debt strategy'!$D$9,AND('Debt strategy'!$D$13='Debt strategy'!$D$9,4&lt;0))),1,0)))</x:f>
        <x:v>99</x:v>
      </x:c>
      <x:c r="G408" s="6" t="n">
        <x:f>IF('Debt strategy'!$C$16&gt;0,0,MIN(C408+D408-E408,MAX(0,'Debt strategy'!$C$5-SUM(E408,K408,Q408,W408,AC408)-SUM(IF(L408&lt;F408,I408+J408-K408,0),IF(R408&lt;F408,O408+P408-Q408,0),IF(X408&lt;F408,U408+V408-W408,0),IF(AD408&lt;F408,AA408+AB408-AC408,0)))))</x:f>
        <x:v>0</x:v>
      </x:c>
      <x:c r="H408" s="6" t="n">
        <x:f>ROUND(MAX(0,C408+D408-E408-G408),2)</x:f>
        <x:v>0</x:v>
      </x:c>
      <x:c r="I408" s="6" t="n">
        <x:f>N407</x:f>
        <x:v>0</x:v>
      </x:c>
      <x:c r="J408" s="6" t="n">
        <x:f>ROUND(I408*'Debt strategy'!$D$10/12,2)</x:f>
        <x:v>0</x:v>
      </x:c>
      <x:c r="K408" s="6" t="n">
        <x:f>MIN(I408+J408,'Debt strategy'!$E$10)</x:f>
        <x:v>0</x:v>
      </x:c>
      <x:c r="L408" s="27" t="n">
        <x:f>IF(I408+J408-K408&lt;=0,99,1+SUM(IF(AND(C408+D408-E408&gt;0,OR('Debt strategy'!$D$9&gt;'Debt strategy'!$D$10,AND('Debt strategy'!$D$9='Debt strategy'!$D$10,0&lt;1))),1,0),IF(AND(O408+P408-Q408&gt;0,OR('Debt strategy'!$D$11&gt;'Debt strategy'!$D$10,AND('Debt strategy'!$D$11='Debt strategy'!$D$10,2&lt;1))),1,0),IF(AND(U408+V408-W408&gt;0,OR('Debt strategy'!$D$12&gt;'Debt strategy'!$D$10,AND('Debt strategy'!$D$12='Debt strategy'!$D$10,3&lt;1))),1,0),IF(AND(AA408+AB408-AC408&gt;0,OR('Debt strategy'!$D$13&gt;'Debt strategy'!$D$10,AND('Debt strategy'!$D$13='Debt strategy'!$D$10,4&lt;1))),1,0)))</x:f>
        <x:v>99</x:v>
      </x:c>
      <x:c r="M408" s="6" t="n">
        <x:f>IF('Debt strategy'!$C$16&gt;0,0,MIN(I408+J408-K408,MAX(0,'Debt strategy'!$C$5-SUM(E408,K408,Q408,W408,AC408)-SUM(IF(F408&lt;L408,C408+D408-E408,0),IF(R408&lt;L408,O408+P408-Q408,0),IF(X408&lt;L408,U408+V408-W408,0),IF(AD408&lt;L408,AA408+AB408-AC408,0)))))</x:f>
        <x:v>0</x:v>
      </x:c>
      <x:c r="N408" s="6" t="n">
        <x:f>ROUND(MAX(0,I408+J408-K408-M408),2)</x:f>
        <x:v>0</x:v>
      </x:c>
      <x:c r="O408" s="6" t="n">
        <x:f>T407</x:f>
        <x:v>0</x:v>
      </x:c>
      <x:c r="P408" s="6" t="n">
        <x:f>ROUND(O408*'Debt strategy'!$D$11/12,2)</x:f>
        <x:v>0</x:v>
      </x:c>
      <x:c r="Q408" s="6" t="n">
        <x:f>MIN(O408+P408,'Debt strategy'!$E$11)</x:f>
        <x:v>0</x:v>
      </x:c>
      <x:c r="R408" s="27" t="n">
        <x:f>IF(O408+P408-Q408&lt;=0,99,1+SUM(IF(AND(C408+D408-E408&gt;0,OR('Debt strategy'!$D$9&gt;'Debt strategy'!$D$11,AND('Debt strategy'!$D$9='Debt strategy'!$D$11,0&lt;2))),1,0),IF(AND(I408+J408-K408&gt;0,OR('Debt strategy'!$D$10&gt;'Debt strategy'!$D$11,AND('Debt strategy'!$D$10='Debt strategy'!$D$11,1&lt;2))),1,0),IF(AND(U408+V408-W408&gt;0,OR('Debt strategy'!$D$12&gt;'Debt strategy'!$D$11,AND('Debt strategy'!$D$12='Debt strategy'!$D$11,3&lt;2))),1,0),IF(AND(AA408+AB408-AC408&gt;0,OR('Debt strategy'!$D$13&gt;'Debt strategy'!$D$11,AND('Debt strategy'!$D$13='Debt strategy'!$D$11,4&lt;2))),1,0)))</x:f>
        <x:v>99</x:v>
      </x:c>
      <x:c r="S408" s="6" t="n">
        <x:f>IF('Debt strategy'!$C$16&gt;0,0,MIN(O408+P408-Q408,MAX(0,'Debt strategy'!$C$5-SUM(E408,K408,Q408,W408,AC408)-SUM(IF(F408&lt;R408,C408+D408-E408,0),IF(L408&lt;R408,I408+J408-K408,0),IF(X408&lt;R408,U408+V408-W408,0),IF(AD408&lt;R408,AA408+AB408-AC408,0)))))</x:f>
        <x:v>0</x:v>
      </x:c>
      <x:c r="T408" s="6" t="n">
        <x:f>ROUND(MAX(0,O408+P408-Q408-S408),2)</x:f>
        <x:v>0</x:v>
      </x:c>
      <x:c r="U408" s="6" t="n">
        <x:f>Z407</x:f>
        <x:v>0</x:v>
      </x:c>
      <x:c r="V408" s="6" t="n">
        <x:f>ROUND(U408*'Debt strategy'!$D$12/12,2)</x:f>
        <x:v>0</x:v>
      </x:c>
      <x:c r="W408" s="6" t="n">
        <x:f>MIN(U408+V408,'Debt strategy'!$E$12)</x:f>
        <x:v>0</x:v>
      </x:c>
      <x:c r="X408" s="27" t="n">
        <x:f>IF(U408+V408-W408&lt;=0,99,1+SUM(IF(AND(C408+D408-E408&gt;0,OR('Debt strategy'!$D$9&gt;'Debt strategy'!$D$12,AND('Debt strategy'!$D$9='Debt strategy'!$D$12,0&lt;3))),1,0),IF(AND(I408+J408-K408&gt;0,OR('Debt strategy'!$D$10&gt;'Debt strategy'!$D$12,AND('Debt strategy'!$D$10='Debt strategy'!$D$12,1&lt;3))),1,0),IF(AND(O408+P408-Q408&gt;0,OR('Debt strategy'!$D$11&gt;'Debt strategy'!$D$12,AND('Debt strategy'!$D$11='Debt strategy'!$D$12,2&lt;3))),1,0),IF(AND(AA408+AB408-AC408&gt;0,OR('Debt strategy'!$D$13&gt;'Debt strategy'!$D$12,AND('Debt strategy'!$D$13='Debt strategy'!$D$12,4&lt;3))),1,0)))</x:f>
        <x:v>99</x:v>
      </x:c>
      <x:c r="Y408" s="6" t="n">
        <x:f>IF('Debt strategy'!$C$16&gt;0,0,MIN(U408+V408-W408,MAX(0,'Debt strategy'!$C$5-SUM(E408,K408,Q408,W408,AC408)-SUM(IF(F408&lt;X408,C408+D408-E408,0),IF(L408&lt;X408,I408+J408-K408,0),IF(R408&lt;X408,O408+P408-Q408,0),IF(AD408&lt;X408,AA408+AB408-AC408,0)))))</x:f>
        <x:v>0</x:v>
      </x:c>
      <x:c r="Z408" s="6" t="n">
        <x:f>ROUND(MAX(0,U408+V408-W408-Y408),2)</x:f>
        <x:v>0</x:v>
      </x:c>
      <x:c r="AA408" s="6" t="n">
        <x:f>AF407</x:f>
        <x:v>0</x:v>
      </x:c>
      <x:c r="AB408" s="6" t="n">
        <x:f>ROUND(AA408*'Debt strategy'!$D$13/12,2)</x:f>
        <x:v>0</x:v>
      </x:c>
      <x:c r="AC408" s="6" t="n">
        <x:f>MIN(AA408+AB408,'Debt strategy'!$E$13)</x:f>
        <x:v>0</x:v>
      </x:c>
      <x:c r="AD408" s="27" t="n">
        <x:f>IF(AA408+AB408-AC408&lt;=0,99,1+SUM(IF(AND(C408+D408-E408&gt;0,OR('Debt strategy'!$D$9&gt;'Debt strategy'!$D$13,AND('Debt strategy'!$D$9='Debt strategy'!$D$13,0&lt;4))),1,0),IF(AND(I408+J408-K408&gt;0,OR('Debt strategy'!$D$10&gt;'Debt strategy'!$D$13,AND('Debt strategy'!$D$10='Debt strategy'!$D$13,1&lt;4))),1,0),IF(AND(O408+P408-Q408&gt;0,OR('Debt strategy'!$D$11&gt;'Debt strategy'!$D$13,AND('Debt strategy'!$D$11='Debt strategy'!$D$13,2&lt;4))),1,0),IF(AND(U408+V408-W408&gt;0,OR('Debt strategy'!$D$12&gt;'Debt strategy'!$D$13,AND('Debt strategy'!$D$12='Debt strategy'!$D$13,3&lt;4))),1,0)))</x:f>
        <x:v>99</x:v>
      </x:c>
      <x:c r="AE408" s="6" t="n">
        <x:f>IF('Debt strategy'!$C$16&gt;0,0,MIN(AA408+AB408-AC408,MAX(0,'Debt strategy'!$C$5-SUM(E408,K408,Q408,W408,AC408)-SUM(IF(F408&lt;AD408,C408+D408-E408,0),IF(L408&lt;AD408,I408+J408-K408,0),IF(R408&lt;AD408,O408+P408-Q408,0),IF(X408&lt;AD408,U408+V408-W408,0)))))</x:f>
        <x:v>0</x:v>
      </x:c>
      <x:c r="AF408" s="6" t="n">
        <x:f>ROUND(MAX(0,AA408+AB408-AC408-AE408),2)</x:f>
        <x:v>0</x:v>
      </x:c>
      <x:c r="AG408" s="6" t="n">
        <x:f>SUM(H408,N408,T408,Z408,AF408)</x:f>
        <x:v>0</x:v>
      </x:c>
      <x:c r="AH408" s="6" t="n">
        <x:f>SUM(D408,J408,P408,V408,AB408)+AH407</x:f>
        <x:v>1220.8400000000001</x:v>
      </x:c>
      <x:c r="AI408" s="2"/>
    </x:row>
    <x:row r="409" ht="23" customHeight="1">
      <x:c r="B409" s="2" t="n">
        <x:f>401</x:f>
        <x:v>401</x:v>
      </x:c>
      <x:c r="C409" s="6" t="n">
        <x:f>H408</x:f>
        <x:v>0</x:v>
      </x:c>
      <x:c r="D409" s="6" t="n">
        <x:f>ROUND(C409*'Debt strategy'!$D$9/12,2)</x:f>
        <x:v>0</x:v>
      </x:c>
      <x:c r="E409" s="6" t="n">
        <x:f>MIN(C409+D409,'Debt strategy'!$E$9)</x:f>
        <x:v>0</x:v>
      </x:c>
      <x:c r="F409" s="27" t="n">
        <x:f>IF(C409+D409-E409&lt;=0,99,1+SUM(IF(AND(I409+J409-K409&gt;0,OR('Debt strategy'!$D$10&gt;'Debt strategy'!$D$9,AND('Debt strategy'!$D$10='Debt strategy'!$D$9,1&lt;0))),1,0),IF(AND(O409+P409-Q409&gt;0,OR('Debt strategy'!$D$11&gt;'Debt strategy'!$D$9,AND('Debt strategy'!$D$11='Debt strategy'!$D$9,2&lt;0))),1,0),IF(AND(U409+V409-W409&gt;0,OR('Debt strategy'!$D$12&gt;'Debt strategy'!$D$9,AND('Debt strategy'!$D$12='Debt strategy'!$D$9,3&lt;0))),1,0),IF(AND(AA409+AB409-AC409&gt;0,OR('Debt strategy'!$D$13&gt;'Debt strategy'!$D$9,AND('Debt strategy'!$D$13='Debt strategy'!$D$9,4&lt;0))),1,0)))</x:f>
        <x:v>99</x:v>
      </x:c>
      <x:c r="G409" s="6" t="n">
        <x:f>IF('Debt strategy'!$C$16&gt;0,0,MIN(C409+D409-E409,MAX(0,'Debt strategy'!$C$5-SUM(E409,K409,Q409,W409,AC409)-SUM(IF(L409&lt;F409,I409+J409-K409,0),IF(R409&lt;F409,O409+P409-Q409,0),IF(X409&lt;F409,U409+V409-W409,0),IF(AD409&lt;F409,AA409+AB409-AC409,0)))))</x:f>
        <x:v>0</x:v>
      </x:c>
      <x:c r="H409" s="6" t="n">
        <x:f>ROUND(MAX(0,C409+D409-E409-G409),2)</x:f>
        <x:v>0</x:v>
      </x:c>
      <x:c r="I409" s="6" t="n">
        <x:f>N408</x:f>
        <x:v>0</x:v>
      </x:c>
      <x:c r="J409" s="6" t="n">
        <x:f>ROUND(I409*'Debt strategy'!$D$10/12,2)</x:f>
        <x:v>0</x:v>
      </x:c>
      <x:c r="K409" s="6" t="n">
        <x:f>MIN(I409+J409,'Debt strategy'!$E$10)</x:f>
        <x:v>0</x:v>
      </x:c>
      <x:c r="L409" s="27" t="n">
        <x:f>IF(I409+J409-K409&lt;=0,99,1+SUM(IF(AND(C409+D409-E409&gt;0,OR('Debt strategy'!$D$9&gt;'Debt strategy'!$D$10,AND('Debt strategy'!$D$9='Debt strategy'!$D$10,0&lt;1))),1,0),IF(AND(O409+P409-Q409&gt;0,OR('Debt strategy'!$D$11&gt;'Debt strategy'!$D$10,AND('Debt strategy'!$D$11='Debt strategy'!$D$10,2&lt;1))),1,0),IF(AND(U409+V409-W409&gt;0,OR('Debt strategy'!$D$12&gt;'Debt strategy'!$D$10,AND('Debt strategy'!$D$12='Debt strategy'!$D$10,3&lt;1))),1,0),IF(AND(AA409+AB409-AC409&gt;0,OR('Debt strategy'!$D$13&gt;'Debt strategy'!$D$10,AND('Debt strategy'!$D$13='Debt strategy'!$D$10,4&lt;1))),1,0)))</x:f>
        <x:v>99</x:v>
      </x:c>
      <x:c r="M409" s="6" t="n">
        <x:f>IF('Debt strategy'!$C$16&gt;0,0,MIN(I409+J409-K409,MAX(0,'Debt strategy'!$C$5-SUM(E409,K409,Q409,W409,AC409)-SUM(IF(F409&lt;L409,C409+D409-E409,0),IF(R409&lt;L409,O409+P409-Q409,0),IF(X409&lt;L409,U409+V409-W409,0),IF(AD409&lt;L409,AA409+AB409-AC409,0)))))</x:f>
        <x:v>0</x:v>
      </x:c>
      <x:c r="N409" s="6" t="n">
        <x:f>ROUND(MAX(0,I409+J409-K409-M409),2)</x:f>
        <x:v>0</x:v>
      </x:c>
      <x:c r="O409" s="6" t="n">
        <x:f>T408</x:f>
        <x:v>0</x:v>
      </x:c>
      <x:c r="P409" s="6" t="n">
        <x:f>ROUND(O409*'Debt strategy'!$D$11/12,2)</x:f>
        <x:v>0</x:v>
      </x:c>
      <x:c r="Q409" s="6" t="n">
        <x:f>MIN(O409+P409,'Debt strategy'!$E$11)</x:f>
        <x:v>0</x:v>
      </x:c>
      <x:c r="R409" s="27" t="n">
        <x:f>IF(O409+P409-Q409&lt;=0,99,1+SUM(IF(AND(C409+D409-E409&gt;0,OR('Debt strategy'!$D$9&gt;'Debt strategy'!$D$11,AND('Debt strategy'!$D$9='Debt strategy'!$D$11,0&lt;2))),1,0),IF(AND(I409+J409-K409&gt;0,OR('Debt strategy'!$D$10&gt;'Debt strategy'!$D$11,AND('Debt strategy'!$D$10='Debt strategy'!$D$11,1&lt;2))),1,0),IF(AND(U409+V409-W409&gt;0,OR('Debt strategy'!$D$12&gt;'Debt strategy'!$D$11,AND('Debt strategy'!$D$12='Debt strategy'!$D$11,3&lt;2))),1,0),IF(AND(AA409+AB409-AC409&gt;0,OR('Debt strategy'!$D$13&gt;'Debt strategy'!$D$11,AND('Debt strategy'!$D$13='Debt strategy'!$D$11,4&lt;2))),1,0)))</x:f>
        <x:v>99</x:v>
      </x:c>
      <x:c r="S409" s="6" t="n">
        <x:f>IF('Debt strategy'!$C$16&gt;0,0,MIN(O409+P409-Q409,MAX(0,'Debt strategy'!$C$5-SUM(E409,K409,Q409,W409,AC409)-SUM(IF(F409&lt;R409,C409+D409-E409,0),IF(L409&lt;R409,I409+J409-K409,0),IF(X409&lt;R409,U409+V409-W409,0),IF(AD409&lt;R409,AA409+AB409-AC409,0)))))</x:f>
        <x:v>0</x:v>
      </x:c>
      <x:c r="T409" s="6" t="n">
        <x:f>ROUND(MAX(0,O409+P409-Q409-S409),2)</x:f>
        <x:v>0</x:v>
      </x:c>
      <x:c r="U409" s="6" t="n">
        <x:f>Z408</x:f>
        <x:v>0</x:v>
      </x:c>
      <x:c r="V409" s="6" t="n">
        <x:f>ROUND(U409*'Debt strategy'!$D$12/12,2)</x:f>
        <x:v>0</x:v>
      </x:c>
      <x:c r="W409" s="6" t="n">
        <x:f>MIN(U409+V409,'Debt strategy'!$E$12)</x:f>
        <x:v>0</x:v>
      </x:c>
      <x:c r="X409" s="27" t="n">
        <x:f>IF(U409+V409-W409&lt;=0,99,1+SUM(IF(AND(C409+D409-E409&gt;0,OR('Debt strategy'!$D$9&gt;'Debt strategy'!$D$12,AND('Debt strategy'!$D$9='Debt strategy'!$D$12,0&lt;3))),1,0),IF(AND(I409+J409-K409&gt;0,OR('Debt strategy'!$D$10&gt;'Debt strategy'!$D$12,AND('Debt strategy'!$D$10='Debt strategy'!$D$12,1&lt;3))),1,0),IF(AND(O409+P409-Q409&gt;0,OR('Debt strategy'!$D$11&gt;'Debt strategy'!$D$12,AND('Debt strategy'!$D$11='Debt strategy'!$D$12,2&lt;3))),1,0),IF(AND(AA409+AB409-AC409&gt;0,OR('Debt strategy'!$D$13&gt;'Debt strategy'!$D$12,AND('Debt strategy'!$D$13='Debt strategy'!$D$12,4&lt;3))),1,0)))</x:f>
        <x:v>99</x:v>
      </x:c>
      <x:c r="Y409" s="6" t="n">
        <x:f>IF('Debt strategy'!$C$16&gt;0,0,MIN(U409+V409-W409,MAX(0,'Debt strategy'!$C$5-SUM(E409,K409,Q409,W409,AC409)-SUM(IF(F409&lt;X409,C409+D409-E409,0),IF(L409&lt;X409,I409+J409-K409,0),IF(R409&lt;X409,O409+P409-Q409,0),IF(AD409&lt;X409,AA409+AB409-AC409,0)))))</x:f>
        <x:v>0</x:v>
      </x:c>
      <x:c r="Z409" s="6" t="n">
        <x:f>ROUND(MAX(0,U409+V409-W409-Y409),2)</x:f>
        <x:v>0</x:v>
      </x:c>
      <x:c r="AA409" s="6" t="n">
        <x:f>AF408</x:f>
        <x:v>0</x:v>
      </x:c>
      <x:c r="AB409" s="6" t="n">
        <x:f>ROUND(AA409*'Debt strategy'!$D$13/12,2)</x:f>
        <x:v>0</x:v>
      </x:c>
      <x:c r="AC409" s="6" t="n">
        <x:f>MIN(AA409+AB409,'Debt strategy'!$E$13)</x:f>
        <x:v>0</x:v>
      </x:c>
      <x:c r="AD409" s="27" t="n">
        <x:f>IF(AA409+AB409-AC409&lt;=0,99,1+SUM(IF(AND(C409+D409-E409&gt;0,OR('Debt strategy'!$D$9&gt;'Debt strategy'!$D$13,AND('Debt strategy'!$D$9='Debt strategy'!$D$13,0&lt;4))),1,0),IF(AND(I409+J409-K409&gt;0,OR('Debt strategy'!$D$10&gt;'Debt strategy'!$D$13,AND('Debt strategy'!$D$10='Debt strategy'!$D$13,1&lt;4))),1,0),IF(AND(O409+P409-Q409&gt;0,OR('Debt strategy'!$D$11&gt;'Debt strategy'!$D$13,AND('Debt strategy'!$D$11='Debt strategy'!$D$13,2&lt;4))),1,0),IF(AND(U409+V409-W409&gt;0,OR('Debt strategy'!$D$12&gt;'Debt strategy'!$D$13,AND('Debt strategy'!$D$12='Debt strategy'!$D$13,3&lt;4))),1,0)))</x:f>
        <x:v>99</x:v>
      </x:c>
      <x:c r="AE409" s="6" t="n">
        <x:f>IF('Debt strategy'!$C$16&gt;0,0,MIN(AA409+AB409-AC409,MAX(0,'Debt strategy'!$C$5-SUM(E409,K409,Q409,W409,AC409)-SUM(IF(F409&lt;AD409,C409+D409-E409,0),IF(L409&lt;AD409,I409+J409-K409,0),IF(R409&lt;AD409,O409+P409-Q409,0),IF(X409&lt;AD409,U409+V409-W409,0)))))</x:f>
        <x:v>0</x:v>
      </x:c>
      <x:c r="AF409" s="6" t="n">
        <x:f>ROUND(MAX(0,AA409+AB409-AC409-AE409),2)</x:f>
        <x:v>0</x:v>
      </x:c>
      <x:c r="AG409" s="6" t="n">
        <x:f>SUM(H409,N409,T409,Z409,AF409)</x:f>
        <x:v>0</x:v>
      </x:c>
      <x:c r="AH409" s="6" t="n">
        <x:f>SUM(D409,J409,P409,V409,AB409)+AH408</x:f>
        <x:v>1220.8400000000001</x:v>
      </x:c>
      <x:c r="AI409" s="2"/>
    </x:row>
    <x:row r="410" ht="23" customHeight="1">
      <x:c r="B410" s="2" t="n">
        <x:f>402</x:f>
        <x:v>402</x:v>
      </x:c>
      <x:c r="C410" s="6" t="n">
        <x:f>H409</x:f>
        <x:v>0</x:v>
      </x:c>
      <x:c r="D410" s="6" t="n">
        <x:f>ROUND(C410*'Debt strategy'!$D$9/12,2)</x:f>
        <x:v>0</x:v>
      </x:c>
      <x:c r="E410" s="6" t="n">
        <x:f>MIN(C410+D410,'Debt strategy'!$E$9)</x:f>
        <x:v>0</x:v>
      </x:c>
      <x:c r="F410" s="27" t="n">
        <x:f>IF(C410+D410-E410&lt;=0,99,1+SUM(IF(AND(I410+J410-K410&gt;0,OR('Debt strategy'!$D$10&gt;'Debt strategy'!$D$9,AND('Debt strategy'!$D$10='Debt strategy'!$D$9,1&lt;0))),1,0),IF(AND(O410+P410-Q410&gt;0,OR('Debt strategy'!$D$11&gt;'Debt strategy'!$D$9,AND('Debt strategy'!$D$11='Debt strategy'!$D$9,2&lt;0))),1,0),IF(AND(U410+V410-W410&gt;0,OR('Debt strategy'!$D$12&gt;'Debt strategy'!$D$9,AND('Debt strategy'!$D$12='Debt strategy'!$D$9,3&lt;0))),1,0),IF(AND(AA410+AB410-AC410&gt;0,OR('Debt strategy'!$D$13&gt;'Debt strategy'!$D$9,AND('Debt strategy'!$D$13='Debt strategy'!$D$9,4&lt;0))),1,0)))</x:f>
        <x:v>99</x:v>
      </x:c>
      <x:c r="G410" s="6" t="n">
        <x:f>IF('Debt strategy'!$C$16&gt;0,0,MIN(C410+D410-E410,MAX(0,'Debt strategy'!$C$5-SUM(E410,K410,Q410,W410,AC410)-SUM(IF(L410&lt;F410,I410+J410-K410,0),IF(R410&lt;F410,O410+P410-Q410,0),IF(X410&lt;F410,U410+V410-W410,0),IF(AD410&lt;F410,AA410+AB410-AC410,0)))))</x:f>
        <x:v>0</x:v>
      </x:c>
      <x:c r="H410" s="6" t="n">
        <x:f>ROUND(MAX(0,C410+D410-E410-G410),2)</x:f>
        <x:v>0</x:v>
      </x:c>
      <x:c r="I410" s="6" t="n">
        <x:f>N409</x:f>
        <x:v>0</x:v>
      </x:c>
      <x:c r="J410" s="6" t="n">
        <x:f>ROUND(I410*'Debt strategy'!$D$10/12,2)</x:f>
        <x:v>0</x:v>
      </x:c>
      <x:c r="K410" s="6" t="n">
        <x:f>MIN(I410+J410,'Debt strategy'!$E$10)</x:f>
        <x:v>0</x:v>
      </x:c>
      <x:c r="L410" s="27" t="n">
        <x:f>IF(I410+J410-K410&lt;=0,99,1+SUM(IF(AND(C410+D410-E410&gt;0,OR('Debt strategy'!$D$9&gt;'Debt strategy'!$D$10,AND('Debt strategy'!$D$9='Debt strategy'!$D$10,0&lt;1))),1,0),IF(AND(O410+P410-Q410&gt;0,OR('Debt strategy'!$D$11&gt;'Debt strategy'!$D$10,AND('Debt strategy'!$D$11='Debt strategy'!$D$10,2&lt;1))),1,0),IF(AND(U410+V410-W410&gt;0,OR('Debt strategy'!$D$12&gt;'Debt strategy'!$D$10,AND('Debt strategy'!$D$12='Debt strategy'!$D$10,3&lt;1))),1,0),IF(AND(AA410+AB410-AC410&gt;0,OR('Debt strategy'!$D$13&gt;'Debt strategy'!$D$10,AND('Debt strategy'!$D$13='Debt strategy'!$D$10,4&lt;1))),1,0)))</x:f>
        <x:v>99</x:v>
      </x:c>
      <x:c r="M410" s="6" t="n">
        <x:f>IF('Debt strategy'!$C$16&gt;0,0,MIN(I410+J410-K410,MAX(0,'Debt strategy'!$C$5-SUM(E410,K410,Q410,W410,AC410)-SUM(IF(F410&lt;L410,C410+D410-E410,0),IF(R410&lt;L410,O410+P410-Q410,0),IF(X410&lt;L410,U410+V410-W410,0),IF(AD410&lt;L410,AA410+AB410-AC410,0)))))</x:f>
        <x:v>0</x:v>
      </x:c>
      <x:c r="N410" s="6" t="n">
        <x:f>ROUND(MAX(0,I410+J410-K410-M410),2)</x:f>
        <x:v>0</x:v>
      </x:c>
      <x:c r="O410" s="6" t="n">
        <x:f>T409</x:f>
        <x:v>0</x:v>
      </x:c>
      <x:c r="P410" s="6" t="n">
        <x:f>ROUND(O410*'Debt strategy'!$D$11/12,2)</x:f>
        <x:v>0</x:v>
      </x:c>
      <x:c r="Q410" s="6" t="n">
        <x:f>MIN(O410+P410,'Debt strategy'!$E$11)</x:f>
        <x:v>0</x:v>
      </x:c>
      <x:c r="R410" s="27" t="n">
        <x:f>IF(O410+P410-Q410&lt;=0,99,1+SUM(IF(AND(C410+D410-E410&gt;0,OR('Debt strategy'!$D$9&gt;'Debt strategy'!$D$11,AND('Debt strategy'!$D$9='Debt strategy'!$D$11,0&lt;2))),1,0),IF(AND(I410+J410-K410&gt;0,OR('Debt strategy'!$D$10&gt;'Debt strategy'!$D$11,AND('Debt strategy'!$D$10='Debt strategy'!$D$11,1&lt;2))),1,0),IF(AND(U410+V410-W410&gt;0,OR('Debt strategy'!$D$12&gt;'Debt strategy'!$D$11,AND('Debt strategy'!$D$12='Debt strategy'!$D$11,3&lt;2))),1,0),IF(AND(AA410+AB410-AC410&gt;0,OR('Debt strategy'!$D$13&gt;'Debt strategy'!$D$11,AND('Debt strategy'!$D$13='Debt strategy'!$D$11,4&lt;2))),1,0)))</x:f>
        <x:v>99</x:v>
      </x:c>
      <x:c r="S410" s="6" t="n">
        <x:f>IF('Debt strategy'!$C$16&gt;0,0,MIN(O410+P410-Q410,MAX(0,'Debt strategy'!$C$5-SUM(E410,K410,Q410,W410,AC410)-SUM(IF(F410&lt;R410,C410+D410-E410,0),IF(L410&lt;R410,I410+J410-K410,0),IF(X410&lt;R410,U410+V410-W410,0),IF(AD410&lt;R410,AA410+AB410-AC410,0)))))</x:f>
        <x:v>0</x:v>
      </x:c>
      <x:c r="T410" s="6" t="n">
        <x:f>ROUND(MAX(0,O410+P410-Q410-S410),2)</x:f>
        <x:v>0</x:v>
      </x:c>
      <x:c r="U410" s="6" t="n">
        <x:f>Z409</x:f>
        <x:v>0</x:v>
      </x:c>
      <x:c r="V410" s="6" t="n">
        <x:f>ROUND(U410*'Debt strategy'!$D$12/12,2)</x:f>
        <x:v>0</x:v>
      </x:c>
      <x:c r="W410" s="6" t="n">
        <x:f>MIN(U410+V410,'Debt strategy'!$E$12)</x:f>
        <x:v>0</x:v>
      </x:c>
      <x:c r="X410" s="27" t="n">
        <x:f>IF(U410+V410-W410&lt;=0,99,1+SUM(IF(AND(C410+D410-E410&gt;0,OR('Debt strategy'!$D$9&gt;'Debt strategy'!$D$12,AND('Debt strategy'!$D$9='Debt strategy'!$D$12,0&lt;3))),1,0),IF(AND(I410+J410-K410&gt;0,OR('Debt strategy'!$D$10&gt;'Debt strategy'!$D$12,AND('Debt strategy'!$D$10='Debt strategy'!$D$12,1&lt;3))),1,0),IF(AND(O410+P410-Q410&gt;0,OR('Debt strategy'!$D$11&gt;'Debt strategy'!$D$12,AND('Debt strategy'!$D$11='Debt strategy'!$D$12,2&lt;3))),1,0),IF(AND(AA410+AB410-AC410&gt;0,OR('Debt strategy'!$D$13&gt;'Debt strategy'!$D$12,AND('Debt strategy'!$D$13='Debt strategy'!$D$12,4&lt;3))),1,0)))</x:f>
        <x:v>99</x:v>
      </x:c>
      <x:c r="Y410" s="6" t="n">
        <x:f>IF('Debt strategy'!$C$16&gt;0,0,MIN(U410+V410-W410,MAX(0,'Debt strategy'!$C$5-SUM(E410,K410,Q410,W410,AC410)-SUM(IF(F410&lt;X410,C410+D410-E410,0),IF(L410&lt;X410,I410+J410-K410,0),IF(R410&lt;X410,O410+P410-Q410,0),IF(AD410&lt;X410,AA410+AB410-AC410,0)))))</x:f>
        <x:v>0</x:v>
      </x:c>
      <x:c r="Z410" s="6" t="n">
        <x:f>ROUND(MAX(0,U410+V410-W410-Y410),2)</x:f>
        <x:v>0</x:v>
      </x:c>
      <x:c r="AA410" s="6" t="n">
        <x:f>AF409</x:f>
        <x:v>0</x:v>
      </x:c>
      <x:c r="AB410" s="6" t="n">
        <x:f>ROUND(AA410*'Debt strategy'!$D$13/12,2)</x:f>
        <x:v>0</x:v>
      </x:c>
      <x:c r="AC410" s="6" t="n">
        <x:f>MIN(AA410+AB410,'Debt strategy'!$E$13)</x:f>
        <x:v>0</x:v>
      </x:c>
      <x:c r="AD410" s="27" t="n">
        <x:f>IF(AA410+AB410-AC410&lt;=0,99,1+SUM(IF(AND(C410+D410-E410&gt;0,OR('Debt strategy'!$D$9&gt;'Debt strategy'!$D$13,AND('Debt strategy'!$D$9='Debt strategy'!$D$13,0&lt;4))),1,0),IF(AND(I410+J410-K410&gt;0,OR('Debt strategy'!$D$10&gt;'Debt strategy'!$D$13,AND('Debt strategy'!$D$10='Debt strategy'!$D$13,1&lt;4))),1,0),IF(AND(O410+P410-Q410&gt;0,OR('Debt strategy'!$D$11&gt;'Debt strategy'!$D$13,AND('Debt strategy'!$D$11='Debt strategy'!$D$13,2&lt;4))),1,0),IF(AND(U410+V410-W410&gt;0,OR('Debt strategy'!$D$12&gt;'Debt strategy'!$D$13,AND('Debt strategy'!$D$12='Debt strategy'!$D$13,3&lt;4))),1,0)))</x:f>
        <x:v>99</x:v>
      </x:c>
      <x:c r="AE410" s="6" t="n">
        <x:f>IF('Debt strategy'!$C$16&gt;0,0,MIN(AA410+AB410-AC410,MAX(0,'Debt strategy'!$C$5-SUM(E410,K410,Q410,W410,AC410)-SUM(IF(F410&lt;AD410,C410+D410-E410,0),IF(L410&lt;AD410,I410+J410-K410,0),IF(R410&lt;AD410,O410+P410-Q410,0),IF(X410&lt;AD410,U410+V410-W410,0)))))</x:f>
        <x:v>0</x:v>
      </x:c>
      <x:c r="AF410" s="6" t="n">
        <x:f>ROUND(MAX(0,AA410+AB410-AC410-AE410),2)</x:f>
        <x:v>0</x:v>
      </x:c>
      <x:c r="AG410" s="6" t="n">
        <x:f>SUM(H410,N410,T410,Z410,AF410)</x:f>
        <x:v>0</x:v>
      </x:c>
      <x:c r="AH410" s="6" t="n">
        <x:f>SUM(D410,J410,P410,V410,AB410)+AH409</x:f>
        <x:v>1220.8400000000001</x:v>
      </x:c>
      <x:c r="AI410" s="2"/>
    </x:row>
    <x:row r="411" ht="23" customHeight="1">
      <x:c r="B411" s="2" t="n">
        <x:f>403</x:f>
        <x:v>403</x:v>
      </x:c>
      <x:c r="C411" s="6" t="n">
        <x:f>H410</x:f>
        <x:v>0</x:v>
      </x:c>
      <x:c r="D411" s="6" t="n">
        <x:f>ROUND(C411*'Debt strategy'!$D$9/12,2)</x:f>
        <x:v>0</x:v>
      </x:c>
      <x:c r="E411" s="6" t="n">
        <x:f>MIN(C411+D411,'Debt strategy'!$E$9)</x:f>
        <x:v>0</x:v>
      </x:c>
      <x:c r="F411" s="27" t="n">
        <x:f>IF(C411+D411-E411&lt;=0,99,1+SUM(IF(AND(I411+J411-K411&gt;0,OR('Debt strategy'!$D$10&gt;'Debt strategy'!$D$9,AND('Debt strategy'!$D$10='Debt strategy'!$D$9,1&lt;0))),1,0),IF(AND(O411+P411-Q411&gt;0,OR('Debt strategy'!$D$11&gt;'Debt strategy'!$D$9,AND('Debt strategy'!$D$11='Debt strategy'!$D$9,2&lt;0))),1,0),IF(AND(U411+V411-W411&gt;0,OR('Debt strategy'!$D$12&gt;'Debt strategy'!$D$9,AND('Debt strategy'!$D$12='Debt strategy'!$D$9,3&lt;0))),1,0),IF(AND(AA411+AB411-AC411&gt;0,OR('Debt strategy'!$D$13&gt;'Debt strategy'!$D$9,AND('Debt strategy'!$D$13='Debt strategy'!$D$9,4&lt;0))),1,0)))</x:f>
        <x:v>99</x:v>
      </x:c>
      <x:c r="G411" s="6" t="n">
        <x:f>IF('Debt strategy'!$C$16&gt;0,0,MIN(C411+D411-E411,MAX(0,'Debt strategy'!$C$5-SUM(E411,K411,Q411,W411,AC411)-SUM(IF(L411&lt;F411,I411+J411-K411,0),IF(R411&lt;F411,O411+P411-Q411,0),IF(X411&lt;F411,U411+V411-W411,0),IF(AD411&lt;F411,AA411+AB411-AC411,0)))))</x:f>
        <x:v>0</x:v>
      </x:c>
      <x:c r="H411" s="6" t="n">
        <x:f>ROUND(MAX(0,C411+D411-E411-G411),2)</x:f>
        <x:v>0</x:v>
      </x:c>
      <x:c r="I411" s="6" t="n">
        <x:f>N410</x:f>
        <x:v>0</x:v>
      </x:c>
      <x:c r="J411" s="6" t="n">
        <x:f>ROUND(I411*'Debt strategy'!$D$10/12,2)</x:f>
        <x:v>0</x:v>
      </x:c>
      <x:c r="K411" s="6" t="n">
        <x:f>MIN(I411+J411,'Debt strategy'!$E$10)</x:f>
        <x:v>0</x:v>
      </x:c>
      <x:c r="L411" s="27" t="n">
        <x:f>IF(I411+J411-K411&lt;=0,99,1+SUM(IF(AND(C411+D411-E411&gt;0,OR('Debt strategy'!$D$9&gt;'Debt strategy'!$D$10,AND('Debt strategy'!$D$9='Debt strategy'!$D$10,0&lt;1))),1,0),IF(AND(O411+P411-Q411&gt;0,OR('Debt strategy'!$D$11&gt;'Debt strategy'!$D$10,AND('Debt strategy'!$D$11='Debt strategy'!$D$10,2&lt;1))),1,0),IF(AND(U411+V411-W411&gt;0,OR('Debt strategy'!$D$12&gt;'Debt strategy'!$D$10,AND('Debt strategy'!$D$12='Debt strategy'!$D$10,3&lt;1))),1,0),IF(AND(AA411+AB411-AC411&gt;0,OR('Debt strategy'!$D$13&gt;'Debt strategy'!$D$10,AND('Debt strategy'!$D$13='Debt strategy'!$D$10,4&lt;1))),1,0)))</x:f>
        <x:v>99</x:v>
      </x:c>
      <x:c r="M411" s="6" t="n">
        <x:f>IF('Debt strategy'!$C$16&gt;0,0,MIN(I411+J411-K411,MAX(0,'Debt strategy'!$C$5-SUM(E411,K411,Q411,W411,AC411)-SUM(IF(F411&lt;L411,C411+D411-E411,0),IF(R411&lt;L411,O411+P411-Q411,0),IF(X411&lt;L411,U411+V411-W411,0),IF(AD411&lt;L411,AA411+AB411-AC411,0)))))</x:f>
        <x:v>0</x:v>
      </x:c>
      <x:c r="N411" s="6" t="n">
        <x:f>ROUND(MAX(0,I411+J411-K411-M411),2)</x:f>
        <x:v>0</x:v>
      </x:c>
      <x:c r="O411" s="6" t="n">
        <x:f>T410</x:f>
        <x:v>0</x:v>
      </x:c>
      <x:c r="P411" s="6" t="n">
        <x:f>ROUND(O411*'Debt strategy'!$D$11/12,2)</x:f>
        <x:v>0</x:v>
      </x:c>
      <x:c r="Q411" s="6" t="n">
        <x:f>MIN(O411+P411,'Debt strategy'!$E$11)</x:f>
        <x:v>0</x:v>
      </x:c>
      <x:c r="R411" s="27" t="n">
        <x:f>IF(O411+P411-Q411&lt;=0,99,1+SUM(IF(AND(C411+D411-E411&gt;0,OR('Debt strategy'!$D$9&gt;'Debt strategy'!$D$11,AND('Debt strategy'!$D$9='Debt strategy'!$D$11,0&lt;2))),1,0),IF(AND(I411+J411-K411&gt;0,OR('Debt strategy'!$D$10&gt;'Debt strategy'!$D$11,AND('Debt strategy'!$D$10='Debt strategy'!$D$11,1&lt;2))),1,0),IF(AND(U411+V411-W411&gt;0,OR('Debt strategy'!$D$12&gt;'Debt strategy'!$D$11,AND('Debt strategy'!$D$12='Debt strategy'!$D$11,3&lt;2))),1,0),IF(AND(AA411+AB411-AC411&gt;0,OR('Debt strategy'!$D$13&gt;'Debt strategy'!$D$11,AND('Debt strategy'!$D$13='Debt strategy'!$D$11,4&lt;2))),1,0)))</x:f>
        <x:v>99</x:v>
      </x:c>
      <x:c r="S411" s="6" t="n">
        <x:f>IF('Debt strategy'!$C$16&gt;0,0,MIN(O411+P411-Q411,MAX(0,'Debt strategy'!$C$5-SUM(E411,K411,Q411,W411,AC411)-SUM(IF(F411&lt;R411,C411+D411-E411,0),IF(L411&lt;R411,I411+J411-K411,0),IF(X411&lt;R411,U411+V411-W411,0),IF(AD411&lt;R411,AA411+AB411-AC411,0)))))</x:f>
        <x:v>0</x:v>
      </x:c>
      <x:c r="T411" s="6" t="n">
        <x:f>ROUND(MAX(0,O411+P411-Q411-S411),2)</x:f>
        <x:v>0</x:v>
      </x:c>
      <x:c r="U411" s="6" t="n">
        <x:f>Z410</x:f>
        <x:v>0</x:v>
      </x:c>
      <x:c r="V411" s="6" t="n">
        <x:f>ROUND(U411*'Debt strategy'!$D$12/12,2)</x:f>
        <x:v>0</x:v>
      </x:c>
      <x:c r="W411" s="6" t="n">
        <x:f>MIN(U411+V411,'Debt strategy'!$E$12)</x:f>
        <x:v>0</x:v>
      </x:c>
      <x:c r="X411" s="27" t="n">
        <x:f>IF(U411+V411-W411&lt;=0,99,1+SUM(IF(AND(C411+D411-E411&gt;0,OR('Debt strategy'!$D$9&gt;'Debt strategy'!$D$12,AND('Debt strategy'!$D$9='Debt strategy'!$D$12,0&lt;3))),1,0),IF(AND(I411+J411-K411&gt;0,OR('Debt strategy'!$D$10&gt;'Debt strategy'!$D$12,AND('Debt strategy'!$D$10='Debt strategy'!$D$12,1&lt;3))),1,0),IF(AND(O411+P411-Q411&gt;0,OR('Debt strategy'!$D$11&gt;'Debt strategy'!$D$12,AND('Debt strategy'!$D$11='Debt strategy'!$D$12,2&lt;3))),1,0),IF(AND(AA411+AB411-AC411&gt;0,OR('Debt strategy'!$D$13&gt;'Debt strategy'!$D$12,AND('Debt strategy'!$D$13='Debt strategy'!$D$12,4&lt;3))),1,0)))</x:f>
        <x:v>99</x:v>
      </x:c>
      <x:c r="Y411" s="6" t="n">
        <x:f>IF('Debt strategy'!$C$16&gt;0,0,MIN(U411+V411-W411,MAX(0,'Debt strategy'!$C$5-SUM(E411,K411,Q411,W411,AC411)-SUM(IF(F411&lt;X411,C411+D411-E411,0),IF(L411&lt;X411,I411+J411-K411,0),IF(R411&lt;X411,O411+P411-Q411,0),IF(AD411&lt;X411,AA411+AB411-AC411,0)))))</x:f>
        <x:v>0</x:v>
      </x:c>
      <x:c r="Z411" s="6" t="n">
        <x:f>ROUND(MAX(0,U411+V411-W411-Y411),2)</x:f>
        <x:v>0</x:v>
      </x:c>
      <x:c r="AA411" s="6" t="n">
        <x:f>AF410</x:f>
        <x:v>0</x:v>
      </x:c>
      <x:c r="AB411" s="6" t="n">
        <x:f>ROUND(AA411*'Debt strategy'!$D$13/12,2)</x:f>
        <x:v>0</x:v>
      </x:c>
      <x:c r="AC411" s="6" t="n">
        <x:f>MIN(AA411+AB411,'Debt strategy'!$E$13)</x:f>
        <x:v>0</x:v>
      </x:c>
      <x:c r="AD411" s="27" t="n">
        <x:f>IF(AA411+AB411-AC411&lt;=0,99,1+SUM(IF(AND(C411+D411-E411&gt;0,OR('Debt strategy'!$D$9&gt;'Debt strategy'!$D$13,AND('Debt strategy'!$D$9='Debt strategy'!$D$13,0&lt;4))),1,0),IF(AND(I411+J411-K411&gt;0,OR('Debt strategy'!$D$10&gt;'Debt strategy'!$D$13,AND('Debt strategy'!$D$10='Debt strategy'!$D$13,1&lt;4))),1,0),IF(AND(O411+P411-Q411&gt;0,OR('Debt strategy'!$D$11&gt;'Debt strategy'!$D$13,AND('Debt strategy'!$D$11='Debt strategy'!$D$13,2&lt;4))),1,0),IF(AND(U411+V411-W411&gt;0,OR('Debt strategy'!$D$12&gt;'Debt strategy'!$D$13,AND('Debt strategy'!$D$12='Debt strategy'!$D$13,3&lt;4))),1,0)))</x:f>
        <x:v>99</x:v>
      </x:c>
      <x:c r="AE411" s="6" t="n">
        <x:f>IF('Debt strategy'!$C$16&gt;0,0,MIN(AA411+AB411-AC411,MAX(0,'Debt strategy'!$C$5-SUM(E411,K411,Q411,W411,AC411)-SUM(IF(F411&lt;AD411,C411+D411-E411,0),IF(L411&lt;AD411,I411+J411-K411,0),IF(R411&lt;AD411,O411+P411-Q411,0),IF(X411&lt;AD411,U411+V411-W411,0)))))</x:f>
        <x:v>0</x:v>
      </x:c>
      <x:c r="AF411" s="6" t="n">
        <x:f>ROUND(MAX(0,AA411+AB411-AC411-AE411),2)</x:f>
        <x:v>0</x:v>
      </x:c>
      <x:c r="AG411" s="6" t="n">
        <x:f>SUM(H411,N411,T411,Z411,AF411)</x:f>
        <x:v>0</x:v>
      </x:c>
      <x:c r="AH411" s="6" t="n">
        <x:f>SUM(D411,J411,P411,V411,AB411)+AH410</x:f>
        <x:v>1220.8400000000001</x:v>
      </x:c>
      <x:c r="AI411" s="2"/>
    </x:row>
    <x:row r="412" ht="23" customHeight="1">
      <x:c r="B412" s="2" t="n">
        <x:f>404</x:f>
        <x:v>404</x:v>
      </x:c>
      <x:c r="C412" s="6" t="n">
        <x:f>H411</x:f>
        <x:v>0</x:v>
      </x:c>
      <x:c r="D412" s="6" t="n">
        <x:f>ROUND(C412*'Debt strategy'!$D$9/12,2)</x:f>
        <x:v>0</x:v>
      </x:c>
      <x:c r="E412" s="6" t="n">
        <x:f>MIN(C412+D412,'Debt strategy'!$E$9)</x:f>
        <x:v>0</x:v>
      </x:c>
      <x:c r="F412" s="27" t="n">
        <x:f>IF(C412+D412-E412&lt;=0,99,1+SUM(IF(AND(I412+J412-K412&gt;0,OR('Debt strategy'!$D$10&gt;'Debt strategy'!$D$9,AND('Debt strategy'!$D$10='Debt strategy'!$D$9,1&lt;0))),1,0),IF(AND(O412+P412-Q412&gt;0,OR('Debt strategy'!$D$11&gt;'Debt strategy'!$D$9,AND('Debt strategy'!$D$11='Debt strategy'!$D$9,2&lt;0))),1,0),IF(AND(U412+V412-W412&gt;0,OR('Debt strategy'!$D$12&gt;'Debt strategy'!$D$9,AND('Debt strategy'!$D$12='Debt strategy'!$D$9,3&lt;0))),1,0),IF(AND(AA412+AB412-AC412&gt;0,OR('Debt strategy'!$D$13&gt;'Debt strategy'!$D$9,AND('Debt strategy'!$D$13='Debt strategy'!$D$9,4&lt;0))),1,0)))</x:f>
        <x:v>99</x:v>
      </x:c>
      <x:c r="G412" s="6" t="n">
        <x:f>IF('Debt strategy'!$C$16&gt;0,0,MIN(C412+D412-E412,MAX(0,'Debt strategy'!$C$5-SUM(E412,K412,Q412,W412,AC412)-SUM(IF(L412&lt;F412,I412+J412-K412,0),IF(R412&lt;F412,O412+P412-Q412,0),IF(X412&lt;F412,U412+V412-W412,0),IF(AD412&lt;F412,AA412+AB412-AC412,0)))))</x:f>
        <x:v>0</x:v>
      </x:c>
      <x:c r="H412" s="6" t="n">
        <x:f>ROUND(MAX(0,C412+D412-E412-G412),2)</x:f>
        <x:v>0</x:v>
      </x:c>
      <x:c r="I412" s="6" t="n">
        <x:f>N411</x:f>
        <x:v>0</x:v>
      </x:c>
      <x:c r="J412" s="6" t="n">
        <x:f>ROUND(I412*'Debt strategy'!$D$10/12,2)</x:f>
        <x:v>0</x:v>
      </x:c>
      <x:c r="K412" s="6" t="n">
        <x:f>MIN(I412+J412,'Debt strategy'!$E$10)</x:f>
        <x:v>0</x:v>
      </x:c>
      <x:c r="L412" s="27" t="n">
        <x:f>IF(I412+J412-K412&lt;=0,99,1+SUM(IF(AND(C412+D412-E412&gt;0,OR('Debt strategy'!$D$9&gt;'Debt strategy'!$D$10,AND('Debt strategy'!$D$9='Debt strategy'!$D$10,0&lt;1))),1,0),IF(AND(O412+P412-Q412&gt;0,OR('Debt strategy'!$D$11&gt;'Debt strategy'!$D$10,AND('Debt strategy'!$D$11='Debt strategy'!$D$10,2&lt;1))),1,0),IF(AND(U412+V412-W412&gt;0,OR('Debt strategy'!$D$12&gt;'Debt strategy'!$D$10,AND('Debt strategy'!$D$12='Debt strategy'!$D$10,3&lt;1))),1,0),IF(AND(AA412+AB412-AC412&gt;0,OR('Debt strategy'!$D$13&gt;'Debt strategy'!$D$10,AND('Debt strategy'!$D$13='Debt strategy'!$D$10,4&lt;1))),1,0)))</x:f>
        <x:v>99</x:v>
      </x:c>
      <x:c r="M412" s="6" t="n">
        <x:f>IF('Debt strategy'!$C$16&gt;0,0,MIN(I412+J412-K412,MAX(0,'Debt strategy'!$C$5-SUM(E412,K412,Q412,W412,AC412)-SUM(IF(F412&lt;L412,C412+D412-E412,0),IF(R412&lt;L412,O412+P412-Q412,0),IF(X412&lt;L412,U412+V412-W412,0),IF(AD412&lt;L412,AA412+AB412-AC412,0)))))</x:f>
        <x:v>0</x:v>
      </x:c>
      <x:c r="N412" s="6" t="n">
        <x:f>ROUND(MAX(0,I412+J412-K412-M412),2)</x:f>
        <x:v>0</x:v>
      </x:c>
      <x:c r="O412" s="6" t="n">
        <x:f>T411</x:f>
        <x:v>0</x:v>
      </x:c>
      <x:c r="P412" s="6" t="n">
        <x:f>ROUND(O412*'Debt strategy'!$D$11/12,2)</x:f>
        <x:v>0</x:v>
      </x:c>
      <x:c r="Q412" s="6" t="n">
        <x:f>MIN(O412+P412,'Debt strategy'!$E$11)</x:f>
        <x:v>0</x:v>
      </x:c>
      <x:c r="R412" s="27" t="n">
        <x:f>IF(O412+P412-Q412&lt;=0,99,1+SUM(IF(AND(C412+D412-E412&gt;0,OR('Debt strategy'!$D$9&gt;'Debt strategy'!$D$11,AND('Debt strategy'!$D$9='Debt strategy'!$D$11,0&lt;2))),1,0),IF(AND(I412+J412-K412&gt;0,OR('Debt strategy'!$D$10&gt;'Debt strategy'!$D$11,AND('Debt strategy'!$D$10='Debt strategy'!$D$11,1&lt;2))),1,0),IF(AND(U412+V412-W412&gt;0,OR('Debt strategy'!$D$12&gt;'Debt strategy'!$D$11,AND('Debt strategy'!$D$12='Debt strategy'!$D$11,3&lt;2))),1,0),IF(AND(AA412+AB412-AC412&gt;0,OR('Debt strategy'!$D$13&gt;'Debt strategy'!$D$11,AND('Debt strategy'!$D$13='Debt strategy'!$D$11,4&lt;2))),1,0)))</x:f>
        <x:v>99</x:v>
      </x:c>
      <x:c r="S412" s="6" t="n">
        <x:f>IF('Debt strategy'!$C$16&gt;0,0,MIN(O412+P412-Q412,MAX(0,'Debt strategy'!$C$5-SUM(E412,K412,Q412,W412,AC412)-SUM(IF(F412&lt;R412,C412+D412-E412,0),IF(L412&lt;R412,I412+J412-K412,0),IF(X412&lt;R412,U412+V412-W412,0),IF(AD412&lt;R412,AA412+AB412-AC412,0)))))</x:f>
        <x:v>0</x:v>
      </x:c>
      <x:c r="T412" s="6" t="n">
        <x:f>ROUND(MAX(0,O412+P412-Q412-S412),2)</x:f>
        <x:v>0</x:v>
      </x:c>
      <x:c r="U412" s="6" t="n">
        <x:f>Z411</x:f>
        <x:v>0</x:v>
      </x:c>
      <x:c r="V412" s="6" t="n">
        <x:f>ROUND(U412*'Debt strategy'!$D$12/12,2)</x:f>
        <x:v>0</x:v>
      </x:c>
      <x:c r="W412" s="6" t="n">
        <x:f>MIN(U412+V412,'Debt strategy'!$E$12)</x:f>
        <x:v>0</x:v>
      </x:c>
      <x:c r="X412" s="27" t="n">
        <x:f>IF(U412+V412-W412&lt;=0,99,1+SUM(IF(AND(C412+D412-E412&gt;0,OR('Debt strategy'!$D$9&gt;'Debt strategy'!$D$12,AND('Debt strategy'!$D$9='Debt strategy'!$D$12,0&lt;3))),1,0),IF(AND(I412+J412-K412&gt;0,OR('Debt strategy'!$D$10&gt;'Debt strategy'!$D$12,AND('Debt strategy'!$D$10='Debt strategy'!$D$12,1&lt;3))),1,0),IF(AND(O412+P412-Q412&gt;0,OR('Debt strategy'!$D$11&gt;'Debt strategy'!$D$12,AND('Debt strategy'!$D$11='Debt strategy'!$D$12,2&lt;3))),1,0),IF(AND(AA412+AB412-AC412&gt;0,OR('Debt strategy'!$D$13&gt;'Debt strategy'!$D$12,AND('Debt strategy'!$D$13='Debt strategy'!$D$12,4&lt;3))),1,0)))</x:f>
        <x:v>99</x:v>
      </x:c>
      <x:c r="Y412" s="6" t="n">
        <x:f>IF('Debt strategy'!$C$16&gt;0,0,MIN(U412+V412-W412,MAX(0,'Debt strategy'!$C$5-SUM(E412,K412,Q412,W412,AC412)-SUM(IF(F412&lt;X412,C412+D412-E412,0),IF(L412&lt;X412,I412+J412-K412,0),IF(R412&lt;X412,O412+P412-Q412,0),IF(AD412&lt;X412,AA412+AB412-AC412,0)))))</x:f>
        <x:v>0</x:v>
      </x:c>
      <x:c r="Z412" s="6" t="n">
        <x:f>ROUND(MAX(0,U412+V412-W412-Y412),2)</x:f>
        <x:v>0</x:v>
      </x:c>
      <x:c r="AA412" s="6" t="n">
        <x:f>AF411</x:f>
        <x:v>0</x:v>
      </x:c>
      <x:c r="AB412" s="6" t="n">
        <x:f>ROUND(AA412*'Debt strategy'!$D$13/12,2)</x:f>
        <x:v>0</x:v>
      </x:c>
      <x:c r="AC412" s="6" t="n">
        <x:f>MIN(AA412+AB412,'Debt strategy'!$E$13)</x:f>
        <x:v>0</x:v>
      </x:c>
      <x:c r="AD412" s="27" t="n">
        <x:f>IF(AA412+AB412-AC412&lt;=0,99,1+SUM(IF(AND(C412+D412-E412&gt;0,OR('Debt strategy'!$D$9&gt;'Debt strategy'!$D$13,AND('Debt strategy'!$D$9='Debt strategy'!$D$13,0&lt;4))),1,0),IF(AND(I412+J412-K412&gt;0,OR('Debt strategy'!$D$10&gt;'Debt strategy'!$D$13,AND('Debt strategy'!$D$10='Debt strategy'!$D$13,1&lt;4))),1,0),IF(AND(O412+P412-Q412&gt;0,OR('Debt strategy'!$D$11&gt;'Debt strategy'!$D$13,AND('Debt strategy'!$D$11='Debt strategy'!$D$13,2&lt;4))),1,0),IF(AND(U412+V412-W412&gt;0,OR('Debt strategy'!$D$12&gt;'Debt strategy'!$D$13,AND('Debt strategy'!$D$12='Debt strategy'!$D$13,3&lt;4))),1,0)))</x:f>
        <x:v>99</x:v>
      </x:c>
      <x:c r="AE412" s="6" t="n">
        <x:f>IF('Debt strategy'!$C$16&gt;0,0,MIN(AA412+AB412-AC412,MAX(0,'Debt strategy'!$C$5-SUM(E412,K412,Q412,W412,AC412)-SUM(IF(F412&lt;AD412,C412+D412-E412,0),IF(L412&lt;AD412,I412+J412-K412,0),IF(R412&lt;AD412,O412+P412-Q412,0),IF(X412&lt;AD412,U412+V412-W412,0)))))</x:f>
        <x:v>0</x:v>
      </x:c>
      <x:c r="AF412" s="6" t="n">
        <x:f>ROUND(MAX(0,AA412+AB412-AC412-AE412),2)</x:f>
        <x:v>0</x:v>
      </x:c>
      <x:c r="AG412" s="6" t="n">
        <x:f>SUM(H412,N412,T412,Z412,AF412)</x:f>
        <x:v>0</x:v>
      </x:c>
      <x:c r="AH412" s="6" t="n">
        <x:f>SUM(D412,J412,P412,V412,AB412)+AH411</x:f>
        <x:v>1220.8400000000001</x:v>
      </x:c>
      <x:c r="AI412" s="2"/>
    </x:row>
    <x:row r="413" ht="23" customHeight="1">
      <x:c r="B413" s="2" t="n">
        <x:f>405</x:f>
        <x:v>405</x:v>
      </x:c>
      <x:c r="C413" s="6" t="n">
        <x:f>H412</x:f>
        <x:v>0</x:v>
      </x:c>
      <x:c r="D413" s="6" t="n">
        <x:f>ROUND(C413*'Debt strategy'!$D$9/12,2)</x:f>
        <x:v>0</x:v>
      </x:c>
      <x:c r="E413" s="6" t="n">
        <x:f>MIN(C413+D413,'Debt strategy'!$E$9)</x:f>
        <x:v>0</x:v>
      </x:c>
      <x:c r="F413" s="27" t="n">
        <x:f>IF(C413+D413-E413&lt;=0,99,1+SUM(IF(AND(I413+J413-K413&gt;0,OR('Debt strategy'!$D$10&gt;'Debt strategy'!$D$9,AND('Debt strategy'!$D$10='Debt strategy'!$D$9,1&lt;0))),1,0),IF(AND(O413+P413-Q413&gt;0,OR('Debt strategy'!$D$11&gt;'Debt strategy'!$D$9,AND('Debt strategy'!$D$11='Debt strategy'!$D$9,2&lt;0))),1,0),IF(AND(U413+V413-W413&gt;0,OR('Debt strategy'!$D$12&gt;'Debt strategy'!$D$9,AND('Debt strategy'!$D$12='Debt strategy'!$D$9,3&lt;0))),1,0),IF(AND(AA413+AB413-AC413&gt;0,OR('Debt strategy'!$D$13&gt;'Debt strategy'!$D$9,AND('Debt strategy'!$D$13='Debt strategy'!$D$9,4&lt;0))),1,0)))</x:f>
        <x:v>99</x:v>
      </x:c>
      <x:c r="G413" s="6" t="n">
        <x:f>IF('Debt strategy'!$C$16&gt;0,0,MIN(C413+D413-E413,MAX(0,'Debt strategy'!$C$5-SUM(E413,K413,Q413,W413,AC413)-SUM(IF(L413&lt;F413,I413+J413-K413,0),IF(R413&lt;F413,O413+P413-Q413,0),IF(X413&lt;F413,U413+V413-W413,0),IF(AD413&lt;F413,AA413+AB413-AC413,0)))))</x:f>
        <x:v>0</x:v>
      </x:c>
      <x:c r="H413" s="6" t="n">
        <x:f>ROUND(MAX(0,C413+D413-E413-G413),2)</x:f>
        <x:v>0</x:v>
      </x:c>
      <x:c r="I413" s="6" t="n">
        <x:f>N412</x:f>
        <x:v>0</x:v>
      </x:c>
      <x:c r="J413" s="6" t="n">
        <x:f>ROUND(I413*'Debt strategy'!$D$10/12,2)</x:f>
        <x:v>0</x:v>
      </x:c>
      <x:c r="K413" s="6" t="n">
        <x:f>MIN(I413+J413,'Debt strategy'!$E$10)</x:f>
        <x:v>0</x:v>
      </x:c>
      <x:c r="L413" s="27" t="n">
        <x:f>IF(I413+J413-K413&lt;=0,99,1+SUM(IF(AND(C413+D413-E413&gt;0,OR('Debt strategy'!$D$9&gt;'Debt strategy'!$D$10,AND('Debt strategy'!$D$9='Debt strategy'!$D$10,0&lt;1))),1,0),IF(AND(O413+P413-Q413&gt;0,OR('Debt strategy'!$D$11&gt;'Debt strategy'!$D$10,AND('Debt strategy'!$D$11='Debt strategy'!$D$10,2&lt;1))),1,0),IF(AND(U413+V413-W413&gt;0,OR('Debt strategy'!$D$12&gt;'Debt strategy'!$D$10,AND('Debt strategy'!$D$12='Debt strategy'!$D$10,3&lt;1))),1,0),IF(AND(AA413+AB413-AC413&gt;0,OR('Debt strategy'!$D$13&gt;'Debt strategy'!$D$10,AND('Debt strategy'!$D$13='Debt strategy'!$D$10,4&lt;1))),1,0)))</x:f>
        <x:v>99</x:v>
      </x:c>
      <x:c r="M413" s="6" t="n">
        <x:f>IF('Debt strategy'!$C$16&gt;0,0,MIN(I413+J413-K413,MAX(0,'Debt strategy'!$C$5-SUM(E413,K413,Q413,W413,AC413)-SUM(IF(F413&lt;L413,C413+D413-E413,0),IF(R413&lt;L413,O413+P413-Q413,0),IF(X413&lt;L413,U413+V413-W413,0),IF(AD413&lt;L413,AA413+AB413-AC413,0)))))</x:f>
        <x:v>0</x:v>
      </x:c>
      <x:c r="N413" s="6" t="n">
        <x:f>ROUND(MAX(0,I413+J413-K413-M413),2)</x:f>
        <x:v>0</x:v>
      </x:c>
      <x:c r="O413" s="6" t="n">
        <x:f>T412</x:f>
        <x:v>0</x:v>
      </x:c>
      <x:c r="P413" s="6" t="n">
        <x:f>ROUND(O413*'Debt strategy'!$D$11/12,2)</x:f>
        <x:v>0</x:v>
      </x:c>
      <x:c r="Q413" s="6" t="n">
        <x:f>MIN(O413+P413,'Debt strategy'!$E$11)</x:f>
        <x:v>0</x:v>
      </x:c>
      <x:c r="R413" s="27" t="n">
        <x:f>IF(O413+P413-Q413&lt;=0,99,1+SUM(IF(AND(C413+D413-E413&gt;0,OR('Debt strategy'!$D$9&gt;'Debt strategy'!$D$11,AND('Debt strategy'!$D$9='Debt strategy'!$D$11,0&lt;2))),1,0),IF(AND(I413+J413-K413&gt;0,OR('Debt strategy'!$D$10&gt;'Debt strategy'!$D$11,AND('Debt strategy'!$D$10='Debt strategy'!$D$11,1&lt;2))),1,0),IF(AND(U413+V413-W413&gt;0,OR('Debt strategy'!$D$12&gt;'Debt strategy'!$D$11,AND('Debt strategy'!$D$12='Debt strategy'!$D$11,3&lt;2))),1,0),IF(AND(AA413+AB413-AC413&gt;0,OR('Debt strategy'!$D$13&gt;'Debt strategy'!$D$11,AND('Debt strategy'!$D$13='Debt strategy'!$D$11,4&lt;2))),1,0)))</x:f>
        <x:v>99</x:v>
      </x:c>
      <x:c r="S413" s="6" t="n">
        <x:f>IF('Debt strategy'!$C$16&gt;0,0,MIN(O413+P413-Q413,MAX(0,'Debt strategy'!$C$5-SUM(E413,K413,Q413,W413,AC413)-SUM(IF(F413&lt;R413,C413+D413-E413,0),IF(L413&lt;R413,I413+J413-K413,0),IF(X413&lt;R413,U413+V413-W413,0),IF(AD413&lt;R413,AA413+AB413-AC413,0)))))</x:f>
        <x:v>0</x:v>
      </x:c>
      <x:c r="T413" s="6" t="n">
        <x:f>ROUND(MAX(0,O413+P413-Q413-S413),2)</x:f>
        <x:v>0</x:v>
      </x:c>
      <x:c r="U413" s="6" t="n">
        <x:f>Z412</x:f>
        <x:v>0</x:v>
      </x:c>
      <x:c r="V413" s="6" t="n">
        <x:f>ROUND(U413*'Debt strategy'!$D$12/12,2)</x:f>
        <x:v>0</x:v>
      </x:c>
      <x:c r="W413" s="6" t="n">
        <x:f>MIN(U413+V413,'Debt strategy'!$E$12)</x:f>
        <x:v>0</x:v>
      </x:c>
      <x:c r="X413" s="27" t="n">
        <x:f>IF(U413+V413-W413&lt;=0,99,1+SUM(IF(AND(C413+D413-E413&gt;0,OR('Debt strategy'!$D$9&gt;'Debt strategy'!$D$12,AND('Debt strategy'!$D$9='Debt strategy'!$D$12,0&lt;3))),1,0),IF(AND(I413+J413-K413&gt;0,OR('Debt strategy'!$D$10&gt;'Debt strategy'!$D$12,AND('Debt strategy'!$D$10='Debt strategy'!$D$12,1&lt;3))),1,0),IF(AND(O413+P413-Q413&gt;0,OR('Debt strategy'!$D$11&gt;'Debt strategy'!$D$12,AND('Debt strategy'!$D$11='Debt strategy'!$D$12,2&lt;3))),1,0),IF(AND(AA413+AB413-AC413&gt;0,OR('Debt strategy'!$D$13&gt;'Debt strategy'!$D$12,AND('Debt strategy'!$D$13='Debt strategy'!$D$12,4&lt;3))),1,0)))</x:f>
        <x:v>99</x:v>
      </x:c>
      <x:c r="Y413" s="6" t="n">
        <x:f>IF('Debt strategy'!$C$16&gt;0,0,MIN(U413+V413-W413,MAX(0,'Debt strategy'!$C$5-SUM(E413,K413,Q413,W413,AC413)-SUM(IF(F413&lt;X413,C413+D413-E413,0),IF(L413&lt;X413,I413+J413-K413,0),IF(R413&lt;X413,O413+P413-Q413,0),IF(AD413&lt;X413,AA413+AB413-AC413,0)))))</x:f>
        <x:v>0</x:v>
      </x:c>
      <x:c r="Z413" s="6" t="n">
        <x:f>ROUND(MAX(0,U413+V413-W413-Y413),2)</x:f>
        <x:v>0</x:v>
      </x:c>
      <x:c r="AA413" s="6" t="n">
        <x:f>AF412</x:f>
        <x:v>0</x:v>
      </x:c>
      <x:c r="AB413" s="6" t="n">
        <x:f>ROUND(AA413*'Debt strategy'!$D$13/12,2)</x:f>
        <x:v>0</x:v>
      </x:c>
      <x:c r="AC413" s="6" t="n">
        <x:f>MIN(AA413+AB413,'Debt strategy'!$E$13)</x:f>
        <x:v>0</x:v>
      </x:c>
      <x:c r="AD413" s="27" t="n">
        <x:f>IF(AA413+AB413-AC413&lt;=0,99,1+SUM(IF(AND(C413+D413-E413&gt;0,OR('Debt strategy'!$D$9&gt;'Debt strategy'!$D$13,AND('Debt strategy'!$D$9='Debt strategy'!$D$13,0&lt;4))),1,0),IF(AND(I413+J413-K413&gt;0,OR('Debt strategy'!$D$10&gt;'Debt strategy'!$D$13,AND('Debt strategy'!$D$10='Debt strategy'!$D$13,1&lt;4))),1,0),IF(AND(O413+P413-Q413&gt;0,OR('Debt strategy'!$D$11&gt;'Debt strategy'!$D$13,AND('Debt strategy'!$D$11='Debt strategy'!$D$13,2&lt;4))),1,0),IF(AND(U413+V413-W413&gt;0,OR('Debt strategy'!$D$12&gt;'Debt strategy'!$D$13,AND('Debt strategy'!$D$12='Debt strategy'!$D$13,3&lt;4))),1,0)))</x:f>
        <x:v>99</x:v>
      </x:c>
      <x:c r="AE413" s="6" t="n">
        <x:f>IF('Debt strategy'!$C$16&gt;0,0,MIN(AA413+AB413-AC413,MAX(0,'Debt strategy'!$C$5-SUM(E413,K413,Q413,W413,AC413)-SUM(IF(F413&lt;AD413,C413+D413-E413,0),IF(L413&lt;AD413,I413+J413-K413,0),IF(R413&lt;AD413,O413+P413-Q413,0),IF(X413&lt;AD413,U413+V413-W413,0)))))</x:f>
        <x:v>0</x:v>
      </x:c>
      <x:c r="AF413" s="6" t="n">
        <x:f>ROUND(MAX(0,AA413+AB413-AC413-AE413),2)</x:f>
        <x:v>0</x:v>
      </x:c>
      <x:c r="AG413" s="6" t="n">
        <x:f>SUM(H413,N413,T413,Z413,AF413)</x:f>
        <x:v>0</x:v>
      </x:c>
      <x:c r="AH413" s="6" t="n">
        <x:f>SUM(D413,J413,P413,V413,AB413)+AH412</x:f>
        <x:v>1220.8400000000001</x:v>
      </x:c>
      <x:c r="AI413" s="2"/>
    </x:row>
    <x:row r="414" ht="23" customHeight="1">
      <x:c r="B414" s="2" t="n">
        <x:f>406</x:f>
        <x:v>406</x:v>
      </x:c>
      <x:c r="C414" s="6" t="n">
        <x:f>H413</x:f>
        <x:v>0</x:v>
      </x:c>
      <x:c r="D414" s="6" t="n">
        <x:f>ROUND(C414*'Debt strategy'!$D$9/12,2)</x:f>
        <x:v>0</x:v>
      </x:c>
      <x:c r="E414" s="6" t="n">
        <x:f>MIN(C414+D414,'Debt strategy'!$E$9)</x:f>
        <x:v>0</x:v>
      </x:c>
      <x:c r="F414" s="27" t="n">
        <x:f>IF(C414+D414-E414&lt;=0,99,1+SUM(IF(AND(I414+J414-K414&gt;0,OR('Debt strategy'!$D$10&gt;'Debt strategy'!$D$9,AND('Debt strategy'!$D$10='Debt strategy'!$D$9,1&lt;0))),1,0),IF(AND(O414+P414-Q414&gt;0,OR('Debt strategy'!$D$11&gt;'Debt strategy'!$D$9,AND('Debt strategy'!$D$11='Debt strategy'!$D$9,2&lt;0))),1,0),IF(AND(U414+V414-W414&gt;0,OR('Debt strategy'!$D$12&gt;'Debt strategy'!$D$9,AND('Debt strategy'!$D$12='Debt strategy'!$D$9,3&lt;0))),1,0),IF(AND(AA414+AB414-AC414&gt;0,OR('Debt strategy'!$D$13&gt;'Debt strategy'!$D$9,AND('Debt strategy'!$D$13='Debt strategy'!$D$9,4&lt;0))),1,0)))</x:f>
        <x:v>99</x:v>
      </x:c>
      <x:c r="G414" s="6" t="n">
        <x:f>IF('Debt strategy'!$C$16&gt;0,0,MIN(C414+D414-E414,MAX(0,'Debt strategy'!$C$5-SUM(E414,K414,Q414,W414,AC414)-SUM(IF(L414&lt;F414,I414+J414-K414,0),IF(R414&lt;F414,O414+P414-Q414,0),IF(X414&lt;F414,U414+V414-W414,0),IF(AD414&lt;F414,AA414+AB414-AC414,0)))))</x:f>
        <x:v>0</x:v>
      </x:c>
      <x:c r="H414" s="6" t="n">
        <x:f>ROUND(MAX(0,C414+D414-E414-G414),2)</x:f>
        <x:v>0</x:v>
      </x:c>
      <x:c r="I414" s="6" t="n">
        <x:f>N413</x:f>
        <x:v>0</x:v>
      </x:c>
      <x:c r="J414" s="6" t="n">
        <x:f>ROUND(I414*'Debt strategy'!$D$10/12,2)</x:f>
        <x:v>0</x:v>
      </x:c>
      <x:c r="K414" s="6" t="n">
        <x:f>MIN(I414+J414,'Debt strategy'!$E$10)</x:f>
        <x:v>0</x:v>
      </x:c>
      <x:c r="L414" s="27" t="n">
        <x:f>IF(I414+J414-K414&lt;=0,99,1+SUM(IF(AND(C414+D414-E414&gt;0,OR('Debt strategy'!$D$9&gt;'Debt strategy'!$D$10,AND('Debt strategy'!$D$9='Debt strategy'!$D$10,0&lt;1))),1,0),IF(AND(O414+P414-Q414&gt;0,OR('Debt strategy'!$D$11&gt;'Debt strategy'!$D$10,AND('Debt strategy'!$D$11='Debt strategy'!$D$10,2&lt;1))),1,0),IF(AND(U414+V414-W414&gt;0,OR('Debt strategy'!$D$12&gt;'Debt strategy'!$D$10,AND('Debt strategy'!$D$12='Debt strategy'!$D$10,3&lt;1))),1,0),IF(AND(AA414+AB414-AC414&gt;0,OR('Debt strategy'!$D$13&gt;'Debt strategy'!$D$10,AND('Debt strategy'!$D$13='Debt strategy'!$D$10,4&lt;1))),1,0)))</x:f>
        <x:v>99</x:v>
      </x:c>
      <x:c r="M414" s="6" t="n">
        <x:f>IF('Debt strategy'!$C$16&gt;0,0,MIN(I414+J414-K414,MAX(0,'Debt strategy'!$C$5-SUM(E414,K414,Q414,W414,AC414)-SUM(IF(F414&lt;L414,C414+D414-E414,0),IF(R414&lt;L414,O414+P414-Q414,0),IF(X414&lt;L414,U414+V414-W414,0),IF(AD414&lt;L414,AA414+AB414-AC414,0)))))</x:f>
        <x:v>0</x:v>
      </x:c>
      <x:c r="N414" s="6" t="n">
        <x:f>ROUND(MAX(0,I414+J414-K414-M414),2)</x:f>
        <x:v>0</x:v>
      </x:c>
      <x:c r="O414" s="6" t="n">
        <x:f>T413</x:f>
        <x:v>0</x:v>
      </x:c>
      <x:c r="P414" s="6" t="n">
        <x:f>ROUND(O414*'Debt strategy'!$D$11/12,2)</x:f>
        <x:v>0</x:v>
      </x:c>
      <x:c r="Q414" s="6" t="n">
        <x:f>MIN(O414+P414,'Debt strategy'!$E$11)</x:f>
        <x:v>0</x:v>
      </x:c>
      <x:c r="R414" s="27" t="n">
        <x:f>IF(O414+P414-Q414&lt;=0,99,1+SUM(IF(AND(C414+D414-E414&gt;0,OR('Debt strategy'!$D$9&gt;'Debt strategy'!$D$11,AND('Debt strategy'!$D$9='Debt strategy'!$D$11,0&lt;2))),1,0),IF(AND(I414+J414-K414&gt;0,OR('Debt strategy'!$D$10&gt;'Debt strategy'!$D$11,AND('Debt strategy'!$D$10='Debt strategy'!$D$11,1&lt;2))),1,0),IF(AND(U414+V414-W414&gt;0,OR('Debt strategy'!$D$12&gt;'Debt strategy'!$D$11,AND('Debt strategy'!$D$12='Debt strategy'!$D$11,3&lt;2))),1,0),IF(AND(AA414+AB414-AC414&gt;0,OR('Debt strategy'!$D$13&gt;'Debt strategy'!$D$11,AND('Debt strategy'!$D$13='Debt strategy'!$D$11,4&lt;2))),1,0)))</x:f>
        <x:v>99</x:v>
      </x:c>
      <x:c r="S414" s="6" t="n">
        <x:f>IF('Debt strategy'!$C$16&gt;0,0,MIN(O414+P414-Q414,MAX(0,'Debt strategy'!$C$5-SUM(E414,K414,Q414,W414,AC414)-SUM(IF(F414&lt;R414,C414+D414-E414,0),IF(L414&lt;R414,I414+J414-K414,0),IF(X414&lt;R414,U414+V414-W414,0),IF(AD414&lt;R414,AA414+AB414-AC414,0)))))</x:f>
        <x:v>0</x:v>
      </x:c>
      <x:c r="T414" s="6" t="n">
        <x:f>ROUND(MAX(0,O414+P414-Q414-S414),2)</x:f>
        <x:v>0</x:v>
      </x:c>
      <x:c r="U414" s="6" t="n">
        <x:f>Z413</x:f>
        <x:v>0</x:v>
      </x:c>
      <x:c r="V414" s="6" t="n">
        <x:f>ROUND(U414*'Debt strategy'!$D$12/12,2)</x:f>
        <x:v>0</x:v>
      </x:c>
      <x:c r="W414" s="6" t="n">
        <x:f>MIN(U414+V414,'Debt strategy'!$E$12)</x:f>
        <x:v>0</x:v>
      </x:c>
      <x:c r="X414" s="27" t="n">
        <x:f>IF(U414+V414-W414&lt;=0,99,1+SUM(IF(AND(C414+D414-E414&gt;0,OR('Debt strategy'!$D$9&gt;'Debt strategy'!$D$12,AND('Debt strategy'!$D$9='Debt strategy'!$D$12,0&lt;3))),1,0),IF(AND(I414+J414-K414&gt;0,OR('Debt strategy'!$D$10&gt;'Debt strategy'!$D$12,AND('Debt strategy'!$D$10='Debt strategy'!$D$12,1&lt;3))),1,0),IF(AND(O414+P414-Q414&gt;0,OR('Debt strategy'!$D$11&gt;'Debt strategy'!$D$12,AND('Debt strategy'!$D$11='Debt strategy'!$D$12,2&lt;3))),1,0),IF(AND(AA414+AB414-AC414&gt;0,OR('Debt strategy'!$D$13&gt;'Debt strategy'!$D$12,AND('Debt strategy'!$D$13='Debt strategy'!$D$12,4&lt;3))),1,0)))</x:f>
        <x:v>99</x:v>
      </x:c>
      <x:c r="Y414" s="6" t="n">
        <x:f>IF('Debt strategy'!$C$16&gt;0,0,MIN(U414+V414-W414,MAX(0,'Debt strategy'!$C$5-SUM(E414,K414,Q414,W414,AC414)-SUM(IF(F414&lt;X414,C414+D414-E414,0),IF(L414&lt;X414,I414+J414-K414,0),IF(R414&lt;X414,O414+P414-Q414,0),IF(AD414&lt;X414,AA414+AB414-AC414,0)))))</x:f>
        <x:v>0</x:v>
      </x:c>
      <x:c r="Z414" s="6" t="n">
        <x:f>ROUND(MAX(0,U414+V414-W414-Y414),2)</x:f>
        <x:v>0</x:v>
      </x:c>
      <x:c r="AA414" s="6" t="n">
        <x:f>AF413</x:f>
        <x:v>0</x:v>
      </x:c>
      <x:c r="AB414" s="6" t="n">
        <x:f>ROUND(AA414*'Debt strategy'!$D$13/12,2)</x:f>
        <x:v>0</x:v>
      </x:c>
      <x:c r="AC414" s="6" t="n">
        <x:f>MIN(AA414+AB414,'Debt strategy'!$E$13)</x:f>
        <x:v>0</x:v>
      </x:c>
      <x:c r="AD414" s="27" t="n">
        <x:f>IF(AA414+AB414-AC414&lt;=0,99,1+SUM(IF(AND(C414+D414-E414&gt;0,OR('Debt strategy'!$D$9&gt;'Debt strategy'!$D$13,AND('Debt strategy'!$D$9='Debt strategy'!$D$13,0&lt;4))),1,0),IF(AND(I414+J414-K414&gt;0,OR('Debt strategy'!$D$10&gt;'Debt strategy'!$D$13,AND('Debt strategy'!$D$10='Debt strategy'!$D$13,1&lt;4))),1,0),IF(AND(O414+P414-Q414&gt;0,OR('Debt strategy'!$D$11&gt;'Debt strategy'!$D$13,AND('Debt strategy'!$D$11='Debt strategy'!$D$13,2&lt;4))),1,0),IF(AND(U414+V414-W414&gt;0,OR('Debt strategy'!$D$12&gt;'Debt strategy'!$D$13,AND('Debt strategy'!$D$12='Debt strategy'!$D$13,3&lt;4))),1,0)))</x:f>
        <x:v>99</x:v>
      </x:c>
      <x:c r="AE414" s="6" t="n">
        <x:f>IF('Debt strategy'!$C$16&gt;0,0,MIN(AA414+AB414-AC414,MAX(0,'Debt strategy'!$C$5-SUM(E414,K414,Q414,W414,AC414)-SUM(IF(F414&lt;AD414,C414+D414-E414,0),IF(L414&lt;AD414,I414+J414-K414,0),IF(R414&lt;AD414,O414+P414-Q414,0),IF(X414&lt;AD414,U414+V414-W414,0)))))</x:f>
        <x:v>0</x:v>
      </x:c>
      <x:c r="AF414" s="6" t="n">
        <x:f>ROUND(MAX(0,AA414+AB414-AC414-AE414),2)</x:f>
        <x:v>0</x:v>
      </x:c>
      <x:c r="AG414" s="6" t="n">
        <x:f>SUM(H414,N414,T414,Z414,AF414)</x:f>
        <x:v>0</x:v>
      </x:c>
      <x:c r="AH414" s="6" t="n">
        <x:f>SUM(D414,J414,P414,V414,AB414)+AH413</x:f>
        <x:v>1220.8400000000001</x:v>
      </x:c>
      <x:c r="AI414" s="2"/>
    </x:row>
    <x:row r="415" ht="23" customHeight="1">
      <x:c r="B415" s="2" t="n">
        <x:f>407</x:f>
        <x:v>407</x:v>
      </x:c>
      <x:c r="C415" s="6" t="n">
        <x:f>H414</x:f>
        <x:v>0</x:v>
      </x:c>
      <x:c r="D415" s="6" t="n">
        <x:f>ROUND(C415*'Debt strategy'!$D$9/12,2)</x:f>
        <x:v>0</x:v>
      </x:c>
      <x:c r="E415" s="6" t="n">
        <x:f>MIN(C415+D415,'Debt strategy'!$E$9)</x:f>
        <x:v>0</x:v>
      </x:c>
      <x:c r="F415" s="27" t="n">
        <x:f>IF(C415+D415-E415&lt;=0,99,1+SUM(IF(AND(I415+J415-K415&gt;0,OR('Debt strategy'!$D$10&gt;'Debt strategy'!$D$9,AND('Debt strategy'!$D$10='Debt strategy'!$D$9,1&lt;0))),1,0),IF(AND(O415+P415-Q415&gt;0,OR('Debt strategy'!$D$11&gt;'Debt strategy'!$D$9,AND('Debt strategy'!$D$11='Debt strategy'!$D$9,2&lt;0))),1,0),IF(AND(U415+V415-W415&gt;0,OR('Debt strategy'!$D$12&gt;'Debt strategy'!$D$9,AND('Debt strategy'!$D$12='Debt strategy'!$D$9,3&lt;0))),1,0),IF(AND(AA415+AB415-AC415&gt;0,OR('Debt strategy'!$D$13&gt;'Debt strategy'!$D$9,AND('Debt strategy'!$D$13='Debt strategy'!$D$9,4&lt;0))),1,0)))</x:f>
        <x:v>99</x:v>
      </x:c>
      <x:c r="G415" s="6" t="n">
        <x:f>IF('Debt strategy'!$C$16&gt;0,0,MIN(C415+D415-E415,MAX(0,'Debt strategy'!$C$5-SUM(E415,K415,Q415,W415,AC415)-SUM(IF(L415&lt;F415,I415+J415-K415,0),IF(R415&lt;F415,O415+P415-Q415,0),IF(X415&lt;F415,U415+V415-W415,0),IF(AD415&lt;F415,AA415+AB415-AC415,0)))))</x:f>
        <x:v>0</x:v>
      </x:c>
      <x:c r="H415" s="6" t="n">
        <x:f>ROUND(MAX(0,C415+D415-E415-G415),2)</x:f>
        <x:v>0</x:v>
      </x:c>
      <x:c r="I415" s="6" t="n">
        <x:f>N414</x:f>
        <x:v>0</x:v>
      </x:c>
      <x:c r="J415" s="6" t="n">
        <x:f>ROUND(I415*'Debt strategy'!$D$10/12,2)</x:f>
        <x:v>0</x:v>
      </x:c>
      <x:c r="K415" s="6" t="n">
        <x:f>MIN(I415+J415,'Debt strategy'!$E$10)</x:f>
        <x:v>0</x:v>
      </x:c>
      <x:c r="L415" s="27" t="n">
        <x:f>IF(I415+J415-K415&lt;=0,99,1+SUM(IF(AND(C415+D415-E415&gt;0,OR('Debt strategy'!$D$9&gt;'Debt strategy'!$D$10,AND('Debt strategy'!$D$9='Debt strategy'!$D$10,0&lt;1))),1,0),IF(AND(O415+P415-Q415&gt;0,OR('Debt strategy'!$D$11&gt;'Debt strategy'!$D$10,AND('Debt strategy'!$D$11='Debt strategy'!$D$10,2&lt;1))),1,0),IF(AND(U415+V415-W415&gt;0,OR('Debt strategy'!$D$12&gt;'Debt strategy'!$D$10,AND('Debt strategy'!$D$12='Debt strategy'!$D$10,3&lt;1))),1,0),IF(AND(AA415+AB415-AC415&gt;0,OR('Debt strategy'!$D$13&gt;'Debt strategy'!$D$10,AND('Debt strategy'!$D$13='Debt strategy'!$D$10,4&lt;1))),1,0)))</x:f>
        <x:v>99</x:v>
      </x:c>
      <x:c r="M415" s="6" t="n">
        <x:f>IF('Debt strategy'!$C$16&gt;0,0,MIN(I415+J415-K415,MAX(0,'Debt strategy'!$C$5-SUM(E415,K415,Q415,W415,AC415)-SUM(IF(F415&lt;L415,C415+D415-E415,0),IF(R415&lt;L415,O415+P415-Q415,0),IF(X415&lt;L415,U415+V415-W415,0),IF(AD415&lt;L415,AA415+AB415-AC415,0)))))</x:f>
        <x:v>0</x:v>
      </x:c>
      <x:c r="N415" s="6" t="n">
        <x:f>ROUND(MAX(0,I415+J415-K415-M415),2)</x:f>
        <x:v>0</x:v>
      </x:c>
      <x:c r="O415" s="6" t="n">
        <x:f>T414</x:f>
        <x:v>0</x:v>
      </x:c>
      <x:c r="P415" s="6" t="n">
        <x:f>ROUND(O415*'Debt strategy'!$D$11/12,2)</x:f>
        <x:v>0</x:v>
      </x:c>
      <x:c r="Q415" s="6" t="n">
        <x:f>MIN(O415+P415,'Debt strategy'!$E$11)</x:f>
        <x:v>0</x:v>
      </x:c>
      <x:c r="R415" s="27" t="n">
        <x:f>IF(O415+P415-Q415&lt;=0,99,1+SUM(IF(AND(C415+D415-E415&gt;0,OR('Debt strategy'!$D$9&gt;'Debt strategy'!$D$11,AND('Debt strategy'!$D$9='Debt strategy'!$D$11,0&lt;2))),1,0),IF(AND(I415+J415-K415&gt;0,OR('Debt strategy'!$D$10&gt;'Debt strategy'!$D$11,AND('Debt strategy'!$D$10='Debt strategy'!$D$11,1&lt;2))),1,0),IF(AND(U415+V415-W415&gt;0,OR('Debt strategy'!$D$12&gt;'Debt strategy'!$D$11,AND('Debt strategy'!$D$12='Debt strategy'!$D$11,3&lt;2))),1,0),IF(AND(AA415+AB415-AC415&gt;0,OR('Debt strategy'!$D$13&gt;'Debt strategy'!$D$11,AND('Debt strategy'!$D$13='Debt strategy'!$D$11,4&lt;2))),1,0)))</x:f>
        <x:v>99</x:v>
      </x:c>
      <x:c r="S415" s="6" t="n">
        <x:f>IF('Debt strategy'!$C$16&gt;0,0,MIN(O415+P415-Q415,MAX(0,'Debt strategy'!$C$5-SUM(E415,K415,Q415,W415,AC415)-SUM(IF(F415&lt;R415,C415+D415-E415,0),IF(L415&lt;R415,I415+J415-K415,0),IF(X415&lt;R415,U415+V415-W415,0),IF(AD415&lt;R415,AA415+AB415-AC415,0)))))</x:f>
        <x:v>0</x:v>
      </x:c>
      <x:c r="T415" s="6" t="n">
        <x:f>ROUND(MAX(0,O415+P415-Q415-S415),2)</x:f>
        <x:v>0</x:v>
      </x:c>
      <x:c r="U415" s="6" t="n">
        <x:f>Z414</x:f>
        <x:v>0</x:v>
      </x:c>
      <x:c r="V415" s="6" t="n">
        <x:f>ROUND(U415*'Debt strategy'!$D$12/12,2)</x:f>
        <x:v>0</x:v>
      </x:c>
      <x:c r="W415" s="6" t="n">
        <x:f>MIN(U415+V415,'Debt strategy'!$E$12)</x:f>
        <x:v>0</x:v>
      </x:c>
      <x:c r="X415" s="27" t="n">
        <x:f>IF(U415+V415-W415&lt;=0,99,1+SUM(IF(AND(C415+D415-E415&gt;0,OR('Debt strategy'!$D$9&gt;'Debt strategy'!$D$12,AND('Debt strategy'!$D$9='Debt strategy'!$D$12,0&lt;3))),1,0),IF(AND(I415+J415-K415&gt;0,OR('Debt strategy'!$D$10&gt;'Debt strategy'!$D$12,AND('Debt strategy'!$D$10='Debt strategy'!$D$12,1&lt;3))),1,0),IF(AND(O415+P415-Q415&gt;0,OR('Debt strategy'!$D$11&gt;'Debt strategy'!$D$12,AND('Debt strategy'!$D$11='Debt strategy'!$D$12,2&lt;3))),1,0),IF(AND(AA415+AB415-AC415&gt;0,OR('Debt strategy'!$D$13&gt;'Debt strategy'!$D$12,AND('Debt strategy'!$D$13='Debt strategy'!$D$12,4&lt;3))),1,0)))</x:f>
        <x:v>99</x:v>
      </x:c>
      <x:c r="Y415" s="6" t="n">
        <x:f>IF('Debt strategy'!$C$16&gt;0,0,MIN(U415+V415-W415,MAX(0,'Debt strategy'!$C$5-SUM(E415,K415,Q415,W415,AC415)-SUM(IF(F415&lt;X415,C415+D415-E415,0),IF(L415&lt;X415,I415+J415-K415,0),IF(R415&lt;X415,O415+P415-Q415,0),IF(AD415&lt;X415,AA415+AB415-AC415,0)))))</x:f>
        <x:v>0</x:v>
      </x:c>
      <x:c r="Z415" s="6" t="n">
        <x:f>ROUND(MAX(0,U415+V415-W415-Y415),2)</x:f>
        <x:v>0</x:v>
      </x:c>
      <x:c r="AA415" s="6" t="n">
        <x:f>AF414</x:f>
        <x:v>0</x:v>
      </x:c>
      <x:c r="AB415" s="6" t="n">
        <x:f>ROUND(AA415*'Debt strategy'!$D$13/12,2)</x:f>
        <x:v>0</x:v>
      </x:c>
      <x:c r="AC415" s="6" t="n">
        <x:f>MIN(AA415+AB415,'Debt strategy'!$E$13)</x:f>
        <x:v>0</x:v>
      </x:c>
      <x:c r="AD415" s="27" t="n">
        <x:f>IF(AA415+AB415-AC415&lt;=0,99,1+SUM(IF(AND(C415+D415-E415&gt;0,OR('Debt strategy'!$D$9&gt;'Debt strategy'!$D$13,AND('Debt strategy'!$D$9='Debt strategy'!$D$13,0&lt;4))),1,0),IF(AND(I415+J415-K415&gt;0,OR('Debt strategy'!$D$10&gt;'Debt strategy'!$D$13,AND('Debt strategy'!$D$10='Debt strategy'!$D$13,1&lt;4))),1,0),IF(AND(O415+P415-Q415&gt;0,OR('Debt strategy'!$D$11&gt;'Debt strategy'!$D$13,AND('Debt strategy'!$D$11='Debt strategy'!$D$13,2&lt;4))),1,0),IF(AND(U415+V415-W415&gt;0,OR('Debt strategy'!$D$12&gt;'Debt strategy'!$D$13,AND('Debt strategy'!$D$12='Debt strategy'!$D$13,3&lt;4))),1,0)))</x:f>
        <x:v>99</x:v>
      </x:c>
      <x:c r="AE415" s="6" t="n">
        <x:f>IF('Debt strategy'!$C$16&gt;0,0,MIN(AA415+AB415-AC415,MAX(0,'Debt strategy'!$C$5-SUM(E415,K415,Q415,W415,AC415)-SUM(IF(F415&lt;AD415,C415+D415-E415,0),IF(L415&lt;AD415,I415+J415-K415,0),IF(R415&lt;AD415,O415+P415-Q415,0),IF(X415&lt;AD415,U415+V415-W415,0)))))</x:f>
        <x:v>0</x:v>
      </x:c>
      <x:c r="AF415" s="6" t="n">
        <x:f>ROUND(MAX(0,AA415+AB415-AC415-AE415),2)</x:f>
        <x:v>0</x:v>
      </x:c>
      <x:c r="AG415" s="6" t="n">
        <x:f>SUM(H415,N415,T415,Z415,AF415)</x:f>
        <x:v>0</x:v>
      </x:c>
      <x:c r="AH415" s="6" t="n">
        <x:f>SUM(D415,J415,P415,V415,AB415)+AH414</x:f>
        <x:v>1220.8400000000001</x:v>
      </x:c>
      <x:c r="AI415" s="2"/>
    </x:row>
    <x:row r="416" ht="23" customHeight="1">
      <x:c r="B416" s="2" t="n">
        <x:f>408</x:f>
        <x:v>408</x:v>
      </x:c>
      <x:c r="C416" s="6" t="n">
        <x:f>H415</x:f>
        <x:v>0</x:v>
      </x:c>
      <x:c r="D416" s="6" t="n">
        <x:f>ROUND(C416*'Debt strategy'!$D$9/12,2)</x:f>
        <x:v>0</x:v>
      </x:c>
      <x:c r="E416" s="6" t="n">
        <x:f>MIN(C416+D416,'Debt strategy'!$E$9)</x:f>
        <x:v>0</x:v>
      </x:c>
      <x:c r="F416" s="27" t="n">
        <x:f>IF(C416+D416-E416&lt;=0,99,1+SUM(IF(AND(I416+J416-K416&gt;0,OR('Debt strategy'!$D$10&gt;'Debt strategy'!$D$9,AND('Debt strategy'!$D$10='Debt strategy'!$D$9,1&lt;0))),1,0),IF(AND(O416+P416-Q416&gt;0,OR('Debt strategy'!$D$11&gt;'Debt strategy'!$D$9,AND('Debt strategy'!$D$11='Debt strategy'!$D$9,2&lt;0))),1,0),IF(AND(U416+V416-W416&gt;0,OR('Debt strategy'!$D$12&gt;'Debt strategy'!$D$9,AND('Debt strategy'!$D$12='Debt strategy'!$D$9,3&lt;0))),1,0),IF(AND(AA416+AB416-AC416&gt;0,OR('Debt strategy'!$D$13&gt;'Debt strategy'!$D$9,AND('Debt strategy'!$D$13='Debt strategy'!$D$9,4&lt;0))),1,0)))</x:f>
        <x:v>99</x:v>
      </x:c>
      <x:c r="G416" s="6" t="n">
        <x:f>IF('Debt strategy'!$C$16&gt;0,0,MIN(C416+D416-E416,MAX(0,'Debt strategy'!$C$5-SUM(E416,K416,Q416,W416,AC416)-SUM(IF(L416&lt;F416,I416+J416-K416,0),IF(R416&lt;F416,O416+P416-Q416,0),IF(X416&lt;F416,U416+V416-W416,0),IF(AD416&lt;F416,AA416+AB416-AC416,0)))))</x:f>
        <x:v>0</x:v>
      </x:c>
      <x:c r="H416" s="6" t="n">
        <x:f>ROUND(MAX(0,C416+D416-E416-G416),2)</x:f>
        <x:v>0</x:v>
      </x:c>
      <x:c r="I416" s="6" t="n">
        <x:f>N415</x:f>
        <x:v>0</x:v>
      </x:c>
      <x:c r="J416" s="6" t="n">
        <x:f>ROUND(I416*'Debt strategy'!$D$10/12,2)</x:f>
        <x:v>0</x:v>
      </x:c>
      <x:c r="K416" s="6" t="n">
        <x:f>MIN(I416+J416,'Debt strategy'!$E$10)</x:f>
        <x:v>0</x:v>
      </x:c>
      <x:c r="L416" s="27" t="n">
        <x:f>IF(I416+J416-K416&lt;=0,99,1+SUM(IF(AND(C416+D416-E416&gt;0,OR('Debt strategy'!$D$9&gt;'Debt strategy'!$D$10,AND('Debt strategy'!$D$9='Debt strategy'!$D$10,0&lt;1))),1,0),IF(AND(O416+P416-Q416&gt;0,OR('Debt strategy'!$D$11&gt;'Debt strategy'!$D$10,AND('Debt strategy'!$D$11='Debt strategy'!$D$10,2&lt;1))),1,0),IF(AND(U416+V416-W416&gt;0,OR('Debt strategy'!$D$12&gt;'Debt strategy'!$D$10,AND('Debt strategy'!$D$12='Debt strategy'!$D$10,3&lt;1))),1,0),IF(AND(AA416+AB416-AC416&gt;0,OR('Debt strategy'!$D$13&gt;'Debt strategy'!$D$10,AND('Debt strategy'!$D$13='Debt strategy'!$D$10,4&lt;1))),1,0)))</x:f>
        <x:v>99</x:v>
      </x:c>
      <x:c r="M416" s="6" t="n">
        <x:f>IF('Debt strategy'!$C$16&gt;0,0,MIN(I416+J416-K416,MAX(0,'Debt strategy'!$C$5-SUM(E416,K416,Q416,W416,AC416)-SUM(IF(F416&lt;L416,C416+D416-E416,0),IF(R416&lt;L416,O416+P416-Q416,0),IF(X416&lt;L416,U416+V416-W416,0),IF(AD416&lt;L416,AA416+AB416-AC416,0)))))</x:f>
        <x:v>0</x:v>
      </x:c>
      <x:c r="N416" s="6" t="n">
        <x:f>ROUND(MAX(0,I416+J416-K416-M416),2)</x:f>
        <x:v>0</x:v>
      </x:c>
      <x:c r="O416" s="6" t="n">
        <x:f>T415</x:f>
        <x:v>0</x:v>
      </x:c>
      <x:c r="P416" s="6" t="n">
        <x:f>ROUND(O416*'Debt strategy'!$D$11/12,2)</x:f>
        <x:v>0</x:v>
      </x:c>
      <x:c r="Q416" s="6" t="n">
        <x:f>MIN(O416+P416,'Debt strategy'!$E$11)</x:f>
        <x:v>0</x:v>
      </x:c>
      <x:c r="R416" s="27" t="n">
        <x:f>IF(O416+P416-Q416&lt;=0,99,1+SUM(IF(AND(C416+D416-E416&gt;0,OR('Debt strategy'!$D$9&gt;'Debt strategy'!$D$11,AND('Debt strategy'!$D$9='Debt strategy'!$D$11,0&lt;2))),1,0),IF(AND(I416+J416-K416&gt;0,OR('Debt strategy'!$D$10&gt;'Debt strategy'!$D$11,AND('Debt strategy'!$D$10='Debt strategy'!$D$11,1&lt;2))),1,0),IF(AND(U416+V416-W416&gt;0,OR('Debt strategy'!$D$12&gt;'Debt strategy'!$D$11,AND('Debt strategy'!$D$12='Debt strategy'!$D$11,3&lt;2))),1,0),IF(AND(AA416+AB416-AC416&gt;0,OR('Debt strategy'!$D$13&gt;'Debt strategy'!$D$11,AND('Debt strategy'!$D$13='Debt strategy'!$D$11,4&lt;2))),1,0)))</x:f>
        <x:v>99</x:v>
      </x:c>
      <x:c r="S416" s="6" t="n">
        <x:f>IF('Debt strategy'!$C$16&gt;0,0,MIN(O416+P416-Q416,MAX(0,'Debt strategy'!$C$5-SUM(E416,K416,Q416,W416,AC416)-SUM(IF(F416&lt;R416,C416+D416-E416,0),IF(L416&lt;R416,I416+J416-K416,0),IF(X416&lt;R416,U416+V416-W416,0),IF(AD416&lt;R416,AA416+AB416-AC416,0)))))</x:f>
        <x:v>0</x:v>
      </x:c>
      <x:c r="T416" s="6" t="n">
        <x:f>ROUND(MAX(0,O416+P416-Q416-S416),2)</x:f>
        <x:v>0</x:v>
      </x:c>
      <x:c r="U416" s="6" t="n">
        <x:f>Z415</x:f>
        <x:v>0</x:v>
      </x:c>
      <x:c r="V416" s="6" t="n">
        <x:f>ROUND(U416*'Debt strategy'!$D$12/12,2)</x:f>
        <x:v>0</x:v>
      </x:c>
      <x:c r="W416" s="6" t="n">
        <x:f>MIN(U416+V416,'Debt strategy'!$E$12)</x:f>
        <x:v>0</x:v>
      </x:c>
      <x:c r="X416" s="27" t="n">
        <x:f>IF(U416+V416-W416&lt;=0,99,1+SUM(IF(AND(C416+D416-E416&gt;0,OR('Debt strategy'!$D$9&gt;'Debt strategy'!$D$12,AND('Debt strategy'!$D$9='Debt strategy'!$D$12,0&lt;3))),1,0),IF(AND(I416+J416-K416&gt;0,OR('Debt strategy'!$D$10&gt;'Debt strategy'!$D$12,AND('Debt strategy'!$D$10='Debt strategy'!$D$12,1&lt;3))),1,0),IF(AND(O416+P416-Q416&gt;0,OR('Debt strategy'!$D$11&gt;'Debt strategy'!$D$12,AND('Debt strategy'!$D$11='Debt strategy'!$D$12,2&lt;3))),1,0),IF(AND(AA416+AB416-AC416&gt;0,OR('Debt strategy'!$D$13&gt;'Debt strategy'!$D$12,AND('Debt strategy'!$D$13='Debt strategy'!$D$12,4&lt;3))),1,0)))</x:f>
        <x:v>99</x:v>
      </x:c>
      <x:c r="Y416" s="6" t="n">
        <x:f>IF('Debt strategy'!$C$16&gt;0,0,MIN(U416+V416-W416,MAX(0,'Debt strategy'!$C$5-SUM(E416,K416,Q416,W416,AC416)-SUM(IF(F416&lt;X416,C416+D416-E416,0),IF(L416&lt;X416,I416+J416-K416,0),IF(R416&lt;X416,O416+P416-Q416,0),IF(AD416&lt;X416,AA416+AB416-AC416,0)))))</x:f>
        <x:v>0</x:v>
      </x:c>
      <x:c r="Z416" s="6" t="n">
        <x:f>ROUND(MAX(0,U416+V416-W416-Y416),2)</x:f>
        <x:v>0</x:v>
      </x:c>
      <x:c r="AA416" s="6" t="n">
        <x:f>AF415</x:f>
        <x:v>0</x:v>
      </x:c>
      <x:c r="AB416" s="6" t="n">
        <x:f>ROUND(AA416*'Debt strategy'!$D$13/12,2)</x:f>
        <x:v>0</x:v>
      </x:c>
      <x:c r="AC416" s="6" t="n">
        <x:f>MIN(AA416+AB416,'Debt strategy'!$E$13)</x:f>
        <x:v>0</x:v>
      </x:c>
      <x:c r="AD416" s="27" t="n">
        <x:f>IF(AA416+AB416-AC416&lt;=0,99,1+SUM(IF(AND(C416+D416-E416&gt;0,OR('Debt strategy'!$D$9&gt;'Debt strategy'!$D$13,AND('Debt strategy'!$D$9='Debt strategy'!$D$13,0&lt;4))),1,0),IF(AND(I416+J416-K416&gt;0,OR('Debt strategy'!$D$10&gt;'Debt strategy'!$D$13,AND('Debt strategy'!$D$10='Debt strategy'!$D$13,1&lt;4))),1,0),IF(AND(O416+P416-Q416&gt;0,OR('Debt strategy'!$D$11&gt;'Debt strategy'!$D$13,AND('Debt strategy'!$D$11='Debt strategy'!$D$13,2&lt;4))),1,0),IF(AND(U416+V416-W416&gt;0,OR('Debt strategy'!$D$12&gt;'Debt strategy'!$D$13,AND('Debt strategy'!$D$12='Debt strategy'!$D$13,3&lt;4))),1,0)))</x:f>
        <x:v>99</x:v>
      </x:c>
      <x:c r="AE416" s="6" t="n">
        <x:f>IF('Debt strategy'!$C$16&gt;0,0,MIN(AA416+AB416-AC416,MAX(0,'Debt strategy'!$C$5-SUM(E416,K416,Q416,W416,AC416)-SUM(IF(F416&lt;AD416,C416+D416-E416,0),IF(L416&lt;AD416,I416+J416-K416,0),IF(R416&lt;AD416,O416+P416-Q416,0),IF(X416&lt;AD416,U416+V416-W416,0)))))</x:f>
        <x:v>0</x:v>
      </x:c>
      <x:c r="AF416" s="6" t="n">
        <x:f>ROUND(MAX(0,AA416+AB416-AC416-AE416),2)</x:f>
        <x:v>0</x:v>
      </x:c>
      <x:c r="AG416" s="6" t="n">
        <x:f>SUM(H416,N416,T416,Z416,AF416)</x:f>
        <x:v>0</x:v>
      </x:c>
      <x:c r="AH416" s="6" t="n">
        <x:f>SUM(D416,J416,P416,V416,AB416)+AH415</x:f>
        <x:v>1220.8400000000001</x:v>
      </x:c>
      <x:c r="AI416" s="2"/>
    </x:row>
    <x:row r="417" ht="23" customHeight="1">
      <x:c r="B417" s="2" t="n">
        <x:f>409</x:f>
        <x:v>409</x:v>
      </x:c>
      <x:c r="C417" s="6" t="n">
        <x:f>H416</x:f>
        <x:v>0</x:v>
      </x:c>
      <x:c r="D417" s="6" t="n">
        <x:f>ROUND(C417*'Debt strategy'!$D$9/12,2)</x:f>
        <x:v>0</x:v>
      </x:c>
      <x:c r="E417" s="6" t="n">
        <x:f>MIN(C417+D417,'Debt strategy'!$E$9)</x:f>
        <x:v>0</x:v>
      </x:c>
      <x:c r="F417" s="27" t="n">
        <x:f>IF(C417+D417-E417&lt;=0,99,1+SUM(IF(AND(I417+J417-K417&gt;0,OR('Debt strategy'!$D$10&gt;'Debt strategy'!$D$9,AND('Debt strategy'!$D$10='Debt strategy'!$D$9,1&lt;0))),1,0),IF(AND(O417+P417-Q417&gt;0,OR('Debt strategy'!$D$11&gt;'Debt strategy'!$D$9,AND('Debt strategy'!$D$11='Debt strategy'!$D$9,2&lt;0))),1,0),IF(AND(U417+V417-W417&gt;0,OR('Debt strategy'!$D$12&gt;'Debt strategy'!$D$9,AND('Debt strategy'!$D$12='Debt strategy'!$D$9,3&lt;0))),1,0),IF(AND(AA417+AB417-AC417&gt;0,OR('Debt strategy'!$D$13&gt;'Debt strategy'!$D$9,AND('Debt strategy'!$D$13='Debt strategy'!$D$9,4&lt;0))),1,0)))</x:f>
        <x:v>99</x:v>
      </x:c>
      <x:c r="G417" s="6" t="n">
        <x:f>IF('Debt strategy'!$C$16&gt;0,0,MIN(C417+D417-E417,MAX(0,'Debt strategy'!$C$5-SUM(E417,K417,Q417,W417,AC417)-SUM(IF(L417&lt;F417,I417+J417-K417,0),IF(R417&lt;F417,O417+P417-Q417,0),IF(X417&lt;F417,U417+V417-W417,0),IF(AD417&lt;F417,AA417+AB417-AC417,0)))))</x:f>
        <x:v>0</x:v>
      </x:c>
      <x:c r="H417" s="6" t="n">
        <x:f>ROUND(MAX(0,C417+D417-E417-G417),2)</x:f>
        <x:v>0</x:v>
      </x:c>
      <x:c r="I417" s="6" t="n">
        <x:f>N416</x:f>
        <x:v>0</x:v>
      </x:c>
      <x:c r="J417" s="6" t="n">
        <x:f>ROUND(I417*'Debt strategy'!$D$10/12,2)</x:f>
        <x:v>0</x:v>
      </x:c>
      <x:c r="K417" s="6" t="n">
        <x:f>MIN(I417+J417,'Debt strategy'!$E$10)</x:f>
        <x:v>0</x:v>
      </x:c>
      <x:c r="L417" s="27" t="n">
        <x:f>IF(I417+J417-K417&lt;=0,99,1+SUM(IF(AND(C417+D417-E417&gt;0,OR('Debt strategy'!$D$9&gt;'Debt strategy'!$D$10,AND('Debt strategy'!$D$9='Debt strategy'!$D$10,0&lt;1))),1,0),IF(AND(O417+P417-Q417&gt;0,OR('Debt strategy'!$D$11&gt;'Debt strategy'!$D$10,AND('Debt strategy'!$D$11='Debt strategy'!$D$10,2&lt;1))),1,0),IF(AND(U417+V417-W417&gt;0,OR('Debt strategy'!$D$12&gt;'Debt strategy'!$D$10,AND('Debt strategy'!$D$12='Debt strategy'!$D$10,3&lt;1))),1,0),IF(AND(AA417+AB417-AC417&gt;0,OR('Debt strategy'!$D$13&gt;'Debt strategy'!$D$10,AND('Debt strategy'!$D$13='Debt strategy'!$D$10,4&lt;1))),1,0)))</x:f>
        <x:v>99</x:v>
      </x:c>
      <x:c r="M417" s="6" t="n">
        <x:f>IF('Debt strategy'!$C$16&gt;0,0,MIN(I417+J417-K417,MAX(0,'Debt strategy'!$C$5-SUM(E417,K417,Q417,W417,AC417)-SUM(IF(F417&lt;L417,C417+D417-E417,0),IF(R417&lt;L417,O417+P417-Q417,0),IF(X417&lt;L417,U417+V417-W417,0),IF(AD417&lt;L417,AA417+AB417-AC417,0)))))</x:f>
        <x:v>0</x:v>
      </x:c>
      <x:c r="N417" s="6" t="n">
        <x:f>ROUND(MAX(0,I417+J417-K417-M417),2)</x:f>
        <x:v>0</x:v>
      </x:c>
      <x:c r="O417" s="6" t="n">
        <x:f>T416</x:f>
        <x:v>0</x:v>
      </x:c>
      <x:c r="P417" s="6" t="n">
        <x:f>ROUND(O417*'Debt strategy'!$D$11/12,2)</x:f>
        <x:v>0</x:v>
      </x:c>
      <x:c r="Q417" s="6" t="n">
        <x:f>MIN(O417+P417,'Debt strategy'!$E$11)</x:f>
        <x:v>0</x:v>
      </x:c>
      <x:c r="R417" s="27" t="n">
        <x:f>IF(O417+P417-Q417&lt;=0,99,1+SUM(IF(AND(C417+D417-E417&gt;0,OR('Debt strategy'!$D$9&gt;'Debt strategy'!$D$11,AND('Debt strategy'!$D$9='Debt strategy'!$D$11,0&lt;2))),1,0),IF(AND(I417+J417-K417&gt;0,OR('Debt strategy'!$D$10&gt;'Debt strategy'!$D$11,AND('Debt strategy'!$D$10='Debt strategy'!$D$11,1&lt;2))),1,0),IF(AND(U417+V417-W417&gt;0,OR('Debt strategy'!$D$12&gt;'Debt strategy'!$D$11,AND('Debt strategy'!$D$12='Debt strategy'!$D$11,3&lt;2))),1,0),IF(AND(AA417+AB417-AC417&gt;0,OR('Debt strategy'!$D$13&gt;'Debt strategy'!$D$11,AND('Debt strategy'!$D$13='Debt strategy'!$D$11,4&lt;2))),1,0)))</x:f>
        <x:v>99</x:v>
      </x:c>
      <x:c r="S417" s="6" t="n">
        <x:f>IF('Debt strategy'!$C$16&gt;0,0,MIN(O417+P417-Q417,MAX(0,'Debt strategy'!$C$5-SUM(E417,K417,Q417,W417,AC417)-SUM(IF(F417&lt;R417,C417+D417-E417,0),IF(L417&lt;R417,I417+J417-K417,0),IF(X417&lt;R417,U417+V417-W417,0),IF(AD417&lt;R417,AA417+AB417-AC417,0)))))</x:f>
        <x:v>0</x:v>
      </x:c>
      <x:c r="T417" s="6" t="n">
        <x:f>ROUND(MAX(0,O417+P417-Q417-S417),2)</x:f>
        <x:v>0</x:v>
      </x:c>
      <x:c r="U417" s="6" t="n">
        <x:f>Z416</x:f>
        <x:v>0</x:v>
      </x:c>
      <x:c r="V417" s="6" t="n">
        <x:f>ROUND(U417*'Debt strategy'!$D$12/12,2)</x:f>
        <x:v>0</x:v>
      </x:c>
      <x:c r="W417" s="6" t="n">
        <x:f>MIN(U417+V417,'Debt strategy'!$E$12)</x:f>
        <x:v>0</x:v>
      </x:c>
      <x:c r="X417" s="27" t="n">
        <x:f>IF(U417+V417-W417&lt;=0,99,1+SUM(IF(AND(C417+D417-E417&gt;0,OR('Debt strategy'!$D$9&gt;'Debt strategy'!$D$12,AND('Debt strategy'!$D$9='Debt strategy'!$D$12,0&lt;3))),1,0),IF(AND(I417+J417-K417&gt;0,OR('Debt strategy'!$D$10&gt;'Debt strategy'!$D$12,AND('Debt strategy'!$D$10='Debt strategy'!$D$12,1&lt;3))),1,0),IF(AND(O417+P417-Q417&gt;0,OR('Debt strategy'!$D$11&gt;'Debt strategy'!$D$12,AND('Debt strategy'!$D$11='Debt strategy'!$D$12,2&lt;3))),1,0),IF(AND(AA417+AB417-AC417&gt;0,OR('Debt strategy'!$D$13&gt;'Debt strategy'!$D$12,AND('Debt strategy'!$D$13='Debt strategy'!$D$12,4&lt;3))),1,0)))</x:f>
        <x:v>99</x:v>
      </x:c>
      <x:c r="Y417" s="6" t="n">
        <x:f>IF('Debt strategy'!$C$16&gt;0,0,MIN(U417+V417-W417,MAX(0,'Debt strategy'!$C$5-SUM(E417,K417,Q417,W417,AC417)-SUM(IF(F417&lt;X417,C417+D417-E417,0),IF(L417&lt;X417,I417+J417-K417,0),IF(R417&lt;X417,O417+P417-Q417,0),IF(AD417&lt;X417,AA417+AB417-AC417,0)))))</x:f>
        <x:v>0</x:v>
      </x:c>
      <x:c r="Z417" s="6" t="n">
        <x:f>ROUND(MAX(0,U417+V417-W417-Y417),2)</x:f>
        <x:v>0</x:v>
      </x:c>
      <x:c r="AA417" s="6" t="n">
        <x:f>AF416</x:f>
        <x:v>0</x:v>
      </x:c>
      <x:c r="AB417" s="6" t="n">
        <x:f>ROUND(AA417*'Debt strategy'!$D$13/12,2)</x:f>
        <x:v>0</x:v>
      </x:c>
      <x:c r="AC417" s="6" t="n">
        <x:f>MIN(AA417+AB417,'Debt strategy'!$E$13)</x:f>
        <x:v>0</x:v>
      </x:c>
      <x:c r="AD417" s="27" t="n">
        <x:f>IF(AA417+AB417-AC417&lt;=0,99,1+SUM(IF(AND(C417+D417-E417&gt;0,OR('Debt strategy'!$D$9&gt;'Debt strategy'!$D$13,AND('Debt strategy'!$D$9='Debt strategy'!$D$13,0&lt;4))),1,0),IF(AND(I417+J417-K417&gt;0,OR('Debt strategy'!$D$10&gt;'Debt strategy'!$D$13,AND('Debt strategy'!$D$10='Debt strategy'!$D$13,1&lt;4))),1,0),IF(AND(O417+P417-Q417&gt;0,OR('Debt strategy'!$D$11&gt;'Debt strategy'!$D$13,AND('Debt strategy'!$D$11='Debt strategy'!$D$13,2&lt;4))),1,0),IF(AND(U417+V417-W417&gt;0,OR('Debt strategy'!$D$12&gt;'Debt strategy'!$D$13,AND('Debt strategy'!$D$12='Debt strategy'!$D$13,3&lt;4))),1,0)))</x:f>
        <x:v>99</x:v>
      </x:c>
      <x:c r="AE417" s="6" t="n">
        <x:f>IF('Debt strategy'!$C$16&gt;0,0,MIN(AA417+AB417-AC417,MAX(0,'Debt strategy'!$C$5-SUM(E417,K417,Q417,W417,AC417)-SUM(IF(F417&lt;AD417,C417+D417-E417,0),IF(L417&lt;AD417,I417+J417-K417,0),IF(R417&lt;AD417,O417+P417-Q417,0),IF(X417&lt;AD417,U417+V417-W417,0)))))</x:f>
        <x:v>0</x:v>
      </x:c>
      <x:c r="AF417" s="6" t="n">
        <x:f>ROUND(MAX(0,AA417+AB417-AC417-AE417),2)</x:f>
        <x:v>0</x:v>
      </x:c>
      <x:c r="AG417" s="6" t="n">
        <x:f>SUM(H417,N417,T417,Z417,AF417)</x:f>
        <x:v>0</x:v>
      </x:c>
      <x:c r="AH417" s="6" t="n">
        <x:f>SUM(D417,J417,P417,V417,AB417)+AH416</x:f>
        <x:v>1220.8400000000001</x:v>
      </x:c>
      <x:c r="AI417" s="2"/>
    </x:row>
    <x:row r="418" ht="23" customHeight="1">
      <x:c r="B418" s="2" t="n">
        <x:f>410</x:f>
        <x:v>410</x:v>
      </x:c>
      <x:c r="C418" s="6" t="n">
        <x:f>H417</x:f>
        <x:v>0</x:v>
      </x:c>
      <x:c r="D418" s="6" t="n">
        <x:f>ROUND(C418*'Debt strategy'!$D$9/12,2)</x:f>
        <x:v>0</x:v>
      </x:c>
      <x:c r="E418" s="6" t="n">
        <x:f>MIN(C418+D418,'Debt strategy'!$E$9)</x:f>
        <x:v>0</x:v>
      </x:c>
      <x:c r="F418" s="27" t="n">
        <x:f>IF(C418+D418-E418&lt;=0,99,1+SUM(IF(AND(I418+J418-K418&gt;0,OR('Debt strategy'!$D$10&gt;'Debt strategy'!$D$9,AND('Debt strategy'!$D$10='Debt strategy'!$D$9,1&lt;0))),1,0),IF(AND(O418+P418-Q418&gt;0,OR('Debt strategy'!$D$11&gt;'Debt strategy'!$D$9,AND('Debt strategy'!$D$11='Debt strategy'!$D$9,2&lt;0))),1,0),IF(AND(U418+V418-W418&gt;0,OR('Debt strategy'!$D$12&gt;'Debt strategy'!$D$9,AND('Debt strategy'!$D$12='Debt strategy'!$D$9,3&lt;0))),1,0),IF(AND(AA418+AB418-AC418&gt;0,OR('Debt strategy'!$D$13&gt;'Debt strategy'!$D$9,AND('Debt strategy'!$D$13='Debt strategy'!$D$9,4&lt;0))),1,0)))</x:f>
        <x:v>99</x:v>
      </x:c>
      <x:c r="G418" s="6" t="n">
        <x:f>IF('Debt strategy'!$C$16&gt;0,0,MIN(C418+D418-E418,MAX(0,'Debt strategy'!$C$5-SUM(E418,K418,Q418,W418,AC418)-SUM(IF(L418&lt;F418,I418+J418-K418,0),IF(R418&lt;F418,O418+P418-Q418,0),IF(X418&lt;F418,U418+V418-W418,0),IF(AD418&lt;F418,AA418+AB418-AC418,0)))))</x:f>
        <x:v>0</x:v>
      </x:c>
      <x:c r="H418" s="6" t="n">
        <x:f>ROUND(MAX(0,C418+D418-E418-G418),2)</x:f>
        <x:v>0</x:v>
      </x:c>
      <x:c r="I418" s="6" t="n">
        <x:f>N417</x:f>
        <x:v>0</x:v>
      </x:c>
      <x:c r="J418" s="6" t="n">
        <x:f>ROUND(I418*'Debt strategy'!$D$10/12,2)</x:f>
        <x:v>0</x:v>
      </x:c>
      <x:c r="K418" s="6" t="n">
        <x:f>MIN(I418+J418,'Debt strategy'!$E$10)</x:f>
        <x:v>0</x:v>
      </x:c>
      <x:c r="L418" s="27" t="n">
        <x:f>IF(I418+J418-K418&lt;=0,99,1+SUM(IF(AND(C418+D418-E418&gt;0,OR('Debt strategy'!$D$9&gt;'Debt strategy'!$D$10,AND('Debt strategy'!$D$9='Debt strategy'!$D$10,0&lt;1))),1,0),IF(AND(O418+P418-Q418&gt;0,OR('Debt strategy'!$D$11&gt;'Debt strategy'!$D$10,AND('Debt strategy'!$D$11='Debt strategy'!$D$10,2&lt;1))),1,0),IF(AND(U418+V418-W418&gt;0,OR('Debt strategy'!$D$12&gt;'Debt strategy'!$D$10,AND('Debt strategy'!$D$12='Debt strategy'!$D$10,3&lt;1))),1,0),IF(AND(AA418+AB418-AC418&gt;0,OR('Debt strategy'!$D$13&gt;'Debt strategy'!$D$10,AND('Debt strategy'!$D$13='Debt strategy'!$D$10,4&lt;1))),1,0)))</x:f>
        <x:v>99</x:v>
      </x:c>
      <x:c r="M418" s="6" t="n">
        <x:f>IF('Debt strategy'!$C$16&gt;0,0,MIN(I418+J418-K418,MAX(0,'Debt strategy'!$C$5-SUM(E418,K418,Q418,W418,AC418)-SUM(IF(F418&lt;L418,C418+D418-E418,0),IF(R418&lt;L418,O418+P418-Q418,0),IF(X418&lt;L418,U418+V418-W418,0),IF(AD418&lt;L418,AA418+AB418-AC418,0)))))</x:f>
        <x:v>0</x:v>
      </x:c>
      <x:c r="N418" s="6" t="n">
        <x:f>ROUND(MAX(0,I418+J418-K418-M418),2)</x:f>
        <x:v>0</x:v>
      </x:c>
      <x:c r="O418" s="6" t="n">
        <x:f>T417</x:f>
        <x:v>0</x:v>
      </x:c>
      <x:c r="P418" s="6" t="n">
        <x:f>ROUND(O418*'Debt strategy'!$D$11/12,2)</x:f>
        <x:v>0</x:v>
      </x:c>
      <x:c r="Q418" s="6" t="n">
        <x:f>MIN(O418+P418,'Debt strategy'!$E$11)</x:f>
        <x:v>0</x:v>
      </x:c>
      <x:c r="R418" s="27" t="n">
        <x:f>IF(O418+P418-Q418&lt;=0,99,1+SUM(IF(AND(C418+D418-E418&gt;0,OR('Debt strategy'!$D$9&gt;'Debt strategy'!$D$11,AND('Debt strategy'!$D$9='Debt strategy'!$D$11,0&lt;2))),1,0),IF(AND(I418+J418-K418&gt;0,OR('Debt strategy'!$D$10&gt;'Debt strategy'!$D$11,AND('Debt strategy'!$D$10='Debt strategy'!$D$11,1&lt;2))),1,0),IF(AND(U418+V418-W418&gt;0,OR('Debt strategy'!$D$12&gt;'Debt strategy'!$D$11,AND('Debt strategy'!$D$12='Debt strategy'!$D$11,3&lt;2))),1,0),IF(AND(AA418+AB418-AC418&gt;0,OR('Debt strategy'!$D$13&gt;'Debt strategy'!$D$11,AND('Debt strategy'!$D$13='Debt strategy'!$D$11,4&lt;2))),1,0)))</x:f>
        <x:v>99</x:v>
      </x:c>
      <x:c r="S418" s="6" t="n">
        <x:f>IF('Debt strategy'!$C$16&gt;0,0,MIN(O418+P418-Q418,MAX(0,'Debt strategy'!$C$5-SUM(E418,K418,Q418,W418,AC418)-SUM(IF(F418&lt;R418,C418+D418-E418,0),IF(L418&lt;R418,I418+J418-K418,0),IF(X418&lt;R418,U418+V418-W418,0),IF(AD418&lt;R418,AA418+AB418-AC418,0)))))</x:f>
        <x:v>0</x:v>
      </x:c>
      <x:c r="T418" s="6" t="n">
        <x:f>ROUND(MAX(0,O418+P418-Q418-S418),2)</x:f>
        <x:v>0</x:v>
      </x:c>
      <x:c r="U418" s="6" t="n">
        <x:f>Z417</x:f>
        <x:v>0</x:v>
      </x:c>
      <x:c r="V418" s="6" t="n">
        <x:f>ROUND(U418*'Debt strategy'!$D$12/12,2)</x:f>
        <x:v>0</x:v>
      </x:c>
      <x:c r="W418" s="6" t="n">
        <x:f>MIN(U418+V418,'Debt strategy'!$E$12)</x:f>
        <x:v>0</x:v>
      </x:c>
      <x:c r="X418" s="27" t="n">
        <x:f>IF(U418+V418-W418&lt;=0,99,1+SUM(IF(AND(C418+D418-E418&gt;0,OR('Debt strategy'!$D$9&gt;'Debt strategy'!$D$12,AND('Debt strategy'!$D$9='Debt strategy'!$D$12,0&lt;3))),1,0),IF(AND(I418+J418-K418&gt;0,OR('Debt strategy'!$D$10&gt;'Debt strategy'!$D$12,AND('Debt strategy'!$D$10='Debt strategy'!$D$12,1&lt;3))),1,0),IF(AND(O418+P418-Q418&gt;0,OR('Debt strategy'!$D$11&gt;'Debt strategy'!$D$12,AND('Debt strategy'!$D$11='Debt strategy'!$D$12,2&lt;3))),1,0),IF(AND(AA418+AB418-AC418&gt;0,OR('Debt strategy'!$D$13&gt;'Debt strategy'!$D$12,AND('Debt strategy'!$D$13='Debt strategy'!$D$12,4&lt;3))),1,0)))</x:f>
        <x:v>99</x:v>
      </x:c>
      <x:c r="Y418" s="6" t="n">
        <x:f>IF('Debt strategy'!$C$16&gt;0,0,MIN(U418+V418-W418,MAX(0,'Debt strategy'!$C$5-SUM(E418,K418,Q418,W418,AC418)-SUM(IF(F418&lt;X418,C418+D418-E418,0),IF(L418&lt;X418,I418+J418-K418,0),IF(R418&lt;X418,O418+P418-Q418,0),IF(AD418&lt;X418,AA418+AB418-AC418,0)))))</x:f>
        <x:v>0</x:v>
      </x:c>
      <x:c r="Z418" s="6" t="n">
        <x:f>ROUND(MAX(0,U418+V418-W418-Y418),2)</x:f>
        <x:v>0</x:v>
      </x:c>
      <x:c r="AA418" s="6" t="n">
        <x:f>AF417</x:f>
        <x:v>0</x:v>
      </x:c>
      <x:c r="AB418" s="6" t="n">
        <x:f>ROUND(AA418*'Debt strategy'!$D$13/12,2)</x:f>
        <x:v>0</x:v>
      </x:c>
      <x:c r="AC418" s="6" t="n">
        <x:f>MIN(AA418+AB418,'Debt strategy'!$E$13)</x:f>
        <x:v>0</x:v>
      </x:c>
      <x:c r="AD418" s="27" t="n">
        <x:f>IF(AA418+AB418-AC418&lt;=0,99,1+SUM(IF(AND(C418+D418-E418&gt;0,OR('Debt strategy'!$D$9&gt;'Debt strategy'!$D$13,AND('Debt strategy'!$D$9='Debt strategy'!$D$13,0&lt;4))),1,0),IF(AND(I418+J418-K418&gt;0,OR('Debt strategy'!$D$10&gt;'Debt strategy'!$D$13,AND('Debt strategy'!$D$10='Debt strategy'!$D$13,1&lt;4))),1,0),IF(AND(O418+P418-Q418&gt;0,OR('Debt strategy'!$D$11&gt;'Debt strategy'!$D$13,AND('Debt strategy'!$D$11='Debt strategy'!$D$13,2&lt;4))),1,0),IF(AND(U418+V418-W418&gt;0,OR('Debt strategy'!$D$12&gt;'Debt strategy'!$D$13,AND('Debt strategy'!$D$12='Debt strategy'!$D$13,3&lt;4))),1,0)))</x:f>
        <x:v>99</x:v>
      </x:c>
      <x:c r="AE418" s="6" t="n">
        <x:f>IF('Debt strategy'!$C$16&gt;0,0,MIN(AA418+AB418-AC418,MAX(0,'Debt strategy'!$C$5-SUM(E418,K418,Q418,W418,AC418)-SUM(IF(F418&lt;AD418,C418+D418-E418,0),IF(L418&lt;AD418,I418+J418-K418,0),IF(R418&lt;AD418,O418+P418-Q418,0),IF(X418&lt;AD418,U418+V418-W418,0)))))</x:f>
        <x:v>0</x:v>
      </x:c>
      <x:c r="AF418" s="6" t="n">
        <x:f>ROUND(MAX(0,AA418+AB418-AC418-AE418),2)</x:f>
        <x:v>0</x:v>
      </x:c>
      <x:c r="AG418" s="6" t="n">
        <x:f>SUM(H418,N418,T418,Z418,AF418)</x:f>
        <x:v>0</x:v>
      </x:c>
      <x:c r="AH418" s="6" t="n">
        <x:f>SUM(D418,J418,P418,V418,AB418)+AH417</x:f>
        <x:v>1220.8400000000001</x:v>
      </x:c>
      <x:c r="AI418" s="2"/>
    </x:row>
    <x:row r="419" ht="23" customHeight="1">
      <x:c r="B419" s="2" t="n">
        <x:f>411</x:f>
        <x:v>411</x:v>
      </x:c>
      <x:c r="C419" s="6" t="n">
        <x:f>H418</x:f>
        <x:v>0</x:v>
      </x:c>
      <x:c r="D419" s="6" t="n">
        <x:f>ROUND(C419*'Debt strategy'!$D$9/12,2)</x:f>
        <x:v>0</x:v>
      </x:c>
      <x:c r="E419" s="6" t="n">
        <x:f>MIN(C419+D419,'Debt strategy'!$E$9)</x:f>
        <x:v>0</x:v>
      </x:c>
      <x:c r="F419" s="27" t="n">
        <x:f>IF(C419+D419-E419&lt;=0,99,1+SUM(IF(AND(I419+J419-K419&gt;0,OR('Debt strategy'!$D$10&gt;'Debt strategy'!$D$9,AND('Debt strategy'!$D$10='Debt strategy'!$D$9,1&lt;0))),1,0),IF(AND(O419+P419-Q419&gt;0,OR('Debt strategy'!$D$11&gt;'Debt strategy'!$D$9,AND('Debt strategy'!$D$11='Debt strategy'!$D$9,2&lt;0))),1,0),IF(AND(U419+V419-W419&gt;0,OR('Debt strategy'!$D$12&gt;'Debt strategy'!$D$9,AND('Debt strategy'!$D$12='Debt strategy'!$D$9,3&lt;0))),1,0),IF(AND(AA419+AB419-AC419&gt;0,OR('Debt strategy'!$D$13&gt;'Debt strategy'!$D$9,AND('Debt strategy'!$D$13='Debt strategy'!$D$9,4&lt;0))),1,0)))</x:f>
        <x:v>99</x:v>
      </x:c>
      <x:c r="G419" s="6" t="n">
        <x:f>IF('Debt strategy'!$C$16&gt;0,0,MIN(C419+D419-E419,MAX(0,'Debt strategy'!$C$5-SUM(E419,K419,Q419,W419,AC419)-SUM(IF(L419&lt;F419,I419+J419-K419,0),IF(R419&lt;F419,O419+P419-Q419,0),IF(X419&lt;F419,U419+V419-W419,0),IF(AD419&lt;F419,AA419+AB419-AC419,0)))))</x:f>
        <x:v>0</x:v>
      </x:c>
      <x:c r="H419" s="6" t="n">
        <x:f>ROUND(MAX(0,C419+D419-E419-G419),2)</x:f>
        <x:v>0</x:v>
      </x:c>
      <x:c r="I419" s="6" t="n">
        <x:f>N418</x:f>
        <x:v>0</x:v>
      </x:c>
      <x:c r="J419" s="6" t="n">
        <x:f>ROUND(I419*'Debt strategy'!$D$10/12,2)</x:f>
        <x:v>0</x:v>
      </x:c>
      <x:c r="K419" s="6" t="n">
        <x:f>MIN(I419+J419,'Debt strategy'!$E$10)</x:f>
        <x:v>0</x:v>
      </x:c>
      <x:c r="L419" s="27" t="n">
        <x:f>IF(I419+J419-K419&lt;=0,99,1+SUM(IF(AND(C419+D419-E419&gt;0,OR('Debt strategy'!$D$9&gt;'Debt strategy'!$D$10,AND('Debt strategy'!$D$9='Debt strategy'!$D$10,0&lt;1))),1,0),IF(AND(O419+P419-Q419&gt;0,OR('Debt strategy'!$D$11&gt;'Debt strategy'!$D$10,AND('Debt strategy'!$D$11='Debt strategy'!$D$10,2&lt;1))),1,0),IF(AND(U419+V419-W419&gt;0,OR('Debt strategy'!$D$12&gt;'Debt strategy'!$D$10,AND('Debt strategy'!$D$12='Debt strategy'!$D$10,3&lt;1))),1,0),IF(AND(AA419+AB419-AC419&gt;0,OR('Debt strategy'!$D$13&gt;'Debt strategy'!$D$10,AND('Debt strategy'!$D$13='Debt strategy'!$D$10,4&lt;1))),1,0)))</x:f>
        <x:v>99</x:v>
      </x:c>
      <x:c r="M419" s="6" t="n">
        <x:f>IF('Debt strategy'!$C$16&gt;0,0,MIN(I419+J419-K419,MAX(0,'Debt strategy'!$C$5-SUM(E419,K419,Q419,W419,AC419)-SUM(IF(F419&lt;L419,C419+D419-E419,0),IF(R419&lt;L419,O419+P419-Q419,0),IF(X419&lt;L419,U419+V419-W419,0),IF(AD419&lt;L419,AA419+AB419-AC419,0)))))</x:f>
        <x:v>0</x:v>
      </x:c>
      <x:c r="N419" s="6" t="n">
        <x:f>ROUND(MAX(0,I419+J419-K419-M419),2)</x:f>
        <x:v>0</x:v>
      </x:c>
      <x:c r="O419" s="6" t="n">
        <x:f>T418</x:f>
        <x:v>0</x:v>
      </x:c>
      <x:c r="P419" s="6" t="n">
        <x:f>ROUND(O419*'Debt strategy'!$D$11/12,2)</x:f>
        <x:v>0</x:v>
      </x:c>
      <x:c r="Q419" s="6" t="n">
        <x:f>MIN(O419+P419,'Debt strategy'!$E$11)</x:f>
        <x:v>0</x:v>
      </x:c>
      <x:c r="R419" s="27" t="n">
        <x:f>IF(O419+P419-Q419&lt;=0,99,1+SUM(IF(AND(C419+D419-E419&gt;0,OR('Debt strategy'!$D$9&gt;'Debt strategy'!$D$11,AND('Debt strategy'!$D$9='Debt strategy'!$D$11,0&lt;2))),1,0),IF(AND(I419+J419-K419&gt;0,OR('Debt strategy'!$D$10&gt;'Debt strategy'!$D$11,AND('Debt strategy'!$D$10='Debt strategy'!$D$11,1&lt;2))),1,0),IF(AND(U419+V419-W419&gt;0,OR('Debt strategy'!$D$12&gt;'Debt strategy'!$D$11,AND('Debt strategy'!$D$12='Debt strategy'!$D$11,3&lt;2))),1,0),IF(AND(AA419+AB419-AC419&gt;0,OR('Debt strategy'!$D$13&gt;'Debt strategy'!$D$11,AND('Debt strategy'!$D$13='Debt strategy'!$D$11,4&lt;2))),1,0)))</x:f>
        <x:v>99</x:v>
      </x:c>
      <x:c r="S419" s="6" t="n">
        <x:f>IF('Debt strategy'!$C$16&gt;0,0,MIN(O419+P419-Q419,MAX(0,'Debt strategy'!$C$5-SUM(E419,K419,Q419,W419,AC419)-SUM(IF(F419&lt;R419,C419+D419-E419,0),IF(L419&lt;R419,I419+J419-K419,0),IF(X419&lt;R419,U419+V419-W419,0),IF(AD419&lt;R419,AA419+AB419-AC419,0)))))</x:f>
        <x:v>0</x:v>
      </x:c>
      <x:c r="T419" s="6" t="n">
        <x:f>ROUND(MAX(0,O419+P419-Q419-S419),2)</x:f>
        <x:v>0</x:v>
      </x:c>
      <x:c r="U419" s="6" t="n">
        <x:f>Z418</x:f>
        <x:v>0</x:v>
      </x:c>
      <x:c r="V419" s="6" t="n">
        <x:f>ROUND(U419*'Debt strategy'!$D$12/12,2)</x:f>
        <x:v>0</x:v>
      </x:c>
      <x:c r="W419" s="6" t="n">
        <x:f>MIN(U419+V419,'Debt strategy'!$E$12)</x:f>
        <x:v>0</x:v>
      </x:c>
      <x:c r="X419" s="27" t="n">
        <x:f>IF(U419+V419-W419&lt;=0,99,1+SUM(IF(AND(C419+D419-E419&gt;0,OR('Debt strategy'!$D$9&gt;'Debt strategy'!$D$12,AND('Debt strategy'!$D$9='Debt strategy'!$D$12,0&lt;3))),1,0),IF(AND(I419+J419-K419&gt;0,OR('Debt strategy'!$D$10&gt;'Debt strategy'!$D$12,AND('Debt strategy'!$D$10='Debt strategy'!$D$12,1&lt;3))),1,0),IF(AND(O419+P419-Q419&gt;0,OR('Debt strategy'!$D$11&gt;'Debt strategy'!$D$12,AND('Debt strategy'!$D$11='Debt strategy'!$D$12,2&lt;3))),1,0),IF(AND(AA419+AB419-AC419&gt;0,OR('Debt strategy'!$D$13&gt;'Debt strategy'!$D$12,AND('Debt strategy'!$D$13='Debt strategy'!$D$12,4&lt;3))),1,0)))</x:f>
        <x:v>99</x:v>
      </x:c>
      <x:c r="Y419" s="6" t="n">
        <x:f>IF('Debt strategy'!$C$16&gt;0,0,MIN(U419+V419-W419,MAX(0,'Debt strategy'!$C$5-SUM(E419,K419,Q419,W419,AC419)-SUM(IF(F419&lt;X419,C419+D419-E419,0),IF(L419&lt;X419,I419+J419-K419,0),IF(R419&lt;X419,O419+P419-Q419,0),IF(AD419&lt;X419,AA419+AB419-AC419,0)))))</x:f>
        <x:v>0</x:v>
      </x:c>
      <x:c r="Z419" s="6" t="n">
        <x:f>ROUND(MAX(0,U419+V419-W419-Y419),2)</x:f>
        <x:v>0</x:v>
      </x:c>
      <x:c r="AA419" s="6" t="n">
        <x:f>AF418</x:f>
        <x:v>0</x:v>
      </x:c>
      <x:c r="AB419" s="6" t="n">
        <x:f>ROUND(AA419*'Debt strategy'!$D$13/12,2)</x:f>
        <x:v>0</x:v>
      </x:c>
      <x:c r="AC419" s="6" t="n">
        <x:f>MIN(AA419+AB419,'Debt strategy'!$E$13)</x:f>
        <x:v>0</x:v>
      </x:c>
      <x:c r="AD419" s="27" t="n">
        <x:f>IF(AA419+AB419-AC419&lt;=0,99,1+SUM(IF(AND(C419+D419-E419&gt;0,OR('Debt strategy'!$D$9&gt;'Debt strategy'!$D$13,AND('Debt strategy'!$D$9='Debt strategy'!$D$13,0&lt;4))),1,0),IF(AND(I419+J419-K419&gt;0,OR('Debt strategy'!$D$10&gt;'Debt strategy'!$D$13,AND('Debt strategy'!$D$10='Debt strategy'!$D$13,1&lt;4))),1,0),IF(AND(O419+P419-Q419&gt;0,OR('Debt strategy'!$D$11&gt;'Debt strategy'!$D$13,AND('Debt strategy'!$D$11='Debt strategy'!$D$13,2&lt;4))),1,0),IF(AND(U419+V419-W419&gt;0,OR('Debt strategy'!$D$12&gt;'Debt strategy'!$D$13,AND('Debt strategy'!$D$12='Debt strategy'!$D$13,3&lt;4))),1,0)))</x:f>
        <x:v>99</x:v>
      </x:c>
      <x:c r="AE419" s="6" t="n">
        <x:f>IF('Debt strategy'!$C$16&gt;0,0,MIN(AA419+AB419-AC419,MAX(0,'Debt strategy'!$C$5-SUM(E419,K419,Q419,W419,AC419)-SUM(IF(F419&lt;AD419,C419+D419-E419,0),IF(L419&lt;AD419,I419+J419-K419,0),IF(R419&lt;AD419,O419+P419-Q419,0),IF(X419&lt;AD419,U419+V419-W419,0)))))</x:f>
        <x:v>0</x:v>
      </x:c>
      <x:c r="AF419" s="6" t="n">
        <x:f>ROUND(MAX(0,AA419+AB419-AC419-AE419),2)</x:f>
        <x:v>0</x:v>
      </x:c>
      <x:c r="AG419" s="6" t="n">
        <x:f>SUM(H419,N419,T419,Z419,AF419)</x:f>
        <x:v>0</x:v>
      </x:c>
      <x:c r="AH419" s="6" t="n">
        <x:f>SUM(D419,J419,P419,V419,AB419)+AH418</x:f>
        <x:v>1220.8400000000001</x:v>
      </x:c>
      <x:c r="AI419" s="2"/>
    </x:row>
    <x:row r="420" ht="23" customHeight="1">
      <x:c r="B420" s="2" t="n">
        <x:f>412</x:f>
        <x:v>412</x:v>
      </x:c>
      <x:c r="C420" s="6" t="n">
        <x:f>H419</x:f>
        <x:v>0</x:v>
      </x:c>
      <x:c r="D420" s="6" t="n">
        <x:f>ROUND(C420*'Debt strategy'!$D$9/12,2)</x:f>
        <x:v>0</x:v>
      </x:c>
      <x:c r="E420" s="6" t="n">
        <x:f>MIN(C420+D420,'Debt strategy'!$E$9)</x:f>
        <x:v>0</x:v>
      </x:c>
      <x:c r="F420" s="27" t="n">
        <x:f>IF(C420+D420-E420&lt;=0,99,1+SUM(IF(AND(I420+J420-K420&gt;0,OR('Debt strategy'!$D$10&gt;'Debt strategy'!$D$9,AND('Debt strategy'!$D$10='Debt strategy'!$D$9,1&lt;0))),1,0),IF(AND(O420+P420-Q420&gt;0,OR('Debt strategy'!$D$11&gt;'Debt strategy'!$D$9,AND('Debt strategy'!$D$11='Debt strategy'!$D$9,2&lt;0))),1,0),IF(AND(U420+V420-W420&gt;0,OR('Debt strategy'!$D$12&gt;'Debt strategy'!$D$9,AND('Debt strategy'!$D$12='Debt strategy'!$D$9,3&lt;0))),1,0),IF(AND(AA420+AB420-AC420&gt;0,OR('Debt strategy'!$D$13&gt;'Debt strategy'!$D$9,AND('Debt strategy'!$D$13='Debt strategy'!$D$9,4&lt;0))),1,0)))</x:f>
        <x:v>99</x:v>
      </x:c>
      <x:c r="G420" s="6" t="n">
        <x:f>IF('Debt strategy'!$C$16&gt;0,0,MIN(C420+D420-E420,MAX(0,'Debt strategy'!$C$5-SUM(E420,K420,Q420,W420,AC420)-SUM(IF(L420&lt;F420,I420+J420-K420,0),IF(R420&lt;F420,O420+P420-Q420,0),IF(X420&lt;F420,U420+V420-W420,0),IF(AD420&lt;F420,AA420+AB420-AC420,0)))))</x:f>
        <x:v>0</x:v>
      </x:c>
      <x:c r="H420" s="6" t="n">
        <x:f>ROUND(MAX(0,C420+D420-E420-G420),2)</x:f>
        <x:v>0</x:v>
      </x:c>
      <x:c r="I420" s="6" t="n">
        <x:f>N419</x:f>
        <x:v>0</x:v>
      </x:c>
      <x:c r="J420" s="6" t="n">
        <x:f>ROUND(I420*'Debt strategy'!$D$10/12,2)</x:f>
        <x:v>0</x:v>
      </x:c>
      <x:c r="K420" s="6" t="n">
        <x:f>MIN(I420+J420,'Debt strategy'!$E$10)</x:f>
        <x:v>0</x:v>
      </x:c>
      <x:c r="L420" s="27" t="n">
        <x:f>IF(I420+J420-K420&lt;=0,99,1+SUM(IF(AND(C420+D420-E420&gt;0,OR('Debt strategy'!$D$9&gt;'Debt strategy'!$D$10,AND('Debt strategy'!$D$9='Debt strategy'!$D$10,0&lt;1))),1,0),IF(AND(O420+P420-Q420&gt;0,OR('Debt strategy'!$D$11&gt;'Debt strategy'!$D$10,AND('Debt strategy'!$D$11='Debt strategy'!$D$10,2&lt;1))),1,0),IF(AND(U420+V420-W420&gt;0,OR('Debt strategy'!$D$12&gt;'Debt strategy'!$D$10,AND('Debt strategy'!$D$12='Debt strategy'!$D$10,3&lt;1))),1,0),IF(AND(AA420+AB420-AC420&gt;0,OR('Debt strategy'!$D$13&gt;'Debt strategy'!$D$10,AND('Debt strategy'!$D$13='Debt strategy'!$D$10,4&lt;1))),1,0)))</x:f>
        <x:v>99</x:v>
      </x:c>
      <x:c r="M420" s="6" t="n">
        <x:f>IF('Debt strategy'!$C$16&gt;0,0,MIN(I420+J420-K420,MAX(0,'Debt strategy'!$C$5-SUM(E420,K420,Q420,W420,AC420)-SUM(IF(F420&lt;L420,C420+D420-E420,0),IF(R420&lt;L420,O420+P420-Q420,0),IF(X420&lt;L420,U420+V420-W420,0),IF(AD420&lt;L420,AA420+AB420-AC420,0)))))</x:f>
        <x:v>0</x:v>
      </x:c>
      <x:c r="N420" s="6" t="n">
        <x:f>ROUND(MAX(0,I420+J420-K420-M420),2)</x:f>
        <x:v>0</x:v>
      </x:c>
      <x:c r="O420" s="6" t="n">
        <x:f>T419</x:f>
        <x:v>0</x:v>
      </x:c>
      <x:c r="P420" s="6" t="n">
        <x:f>ROUND(O420*'Debt strategy'!$D$11/12,2)</x:f>
        <x:v>0</x:v>
      </x:c>
      <x:c r="Q420" s="6" t="n">
        <x:f>MIN(O420+P420,'Debt strategy'!$E$11)</x:f>
        <x:v>0</x:v>
      </x:c>
      <x:c r="R420" s="27" t="n">
        <x:f>IF(O420+P420-Q420&lt;=0,99,1+SUM(IF(AND(C420+D420-E420&gt;0,OR('Debt strategy'!$D$9&gt;'Debt strategy'!$D$11,AND('Debt strategy'!$D$9='Debt strategy'!$D$11,0&lt;2))),1,0),IF(AND(I420+J420-K420&gt;0,OR('Debt strategy'!$D$10&gt;'Debt strategy'!$D$11,AND('Debt strategy'!$D$10='Debt strategy'!$D$11,1&lt;2))),1,0),IF(AND(U420+V420-W420&gt;0,OR('Debt strategy'!$D$12&gt;'Debt strategy'!$D$11,AND('Debt strategy'!$D$12='Debt strategy'!$D$11,3&lt;2))),1,0),IF(AND(AA420+AB420-AC420&gt;0,OR('Debt strategy'!$D$13&gt;'Debt strategy'!$D$11,AND('Debt strategy'!$D$13='Debt strategy'!$D$11,4&lt;2))),1,0)))</x:f>
        <x:v>99</x:v>
      </x:c>
      <x:c r="S420" s="6" t="n">
        <x:f>IF('Debt strategy'!$C$16&gt;0,0,MIN(O420+P420-Q420,MAX(0,'Debt strategy'!$C$5-SUM(E420,K420,Q420,W420,AC420)-SUM(IF(F420&lt;R420,C420+D420-E420,0),IF(L420&lt;R420,I420+J420-K420,0),IF(X420&lt;R420,U420+V420-W420,0),IF(AD420&lt;R420,AA420+AB420-AC420,0)))))</x:f>
        <x:v>0</x:v>
      </x:c>
      <x:c r="T420" s="6" t="n">
        <x:f>ROUND(MAX(0,O420+P420-Q420-S420),2)</x:f>
        <x:v>0</x:v>
      </x:c>
      <x:c r="U420" s="6" t="n">
        <x:f>Z419</x:f>
        <x:v>0</x:v>
      </x:c>
      <x:c r="V420" s="6" t="n">
        <x:f>ROUND(U420*'Debt strategy'!$D$12/12,2)</x:f>
        <x:v>0</x:v>
      </x:c>
      <x:c r="W420" s="6" t="n">
        <x:f>MIN(U420+V420,'Debt strategy'!$E$12)</x:f>
        <x:v>0</x:v>
      </x:c>
      <x:c r="X420" s="27" t="n">
        <x:f>IF(U420+V420-W420&lt;=0,99,1+SUM(IF(AND(C420+D420-E420&gt;0,OR('Debt strategy'!$D$9&gt;'Debt strategy'!$D$12,AND('Debt strategy'!$D$9='Debt strategy'!$D$12,0&lt;3))),1,0),IF(AND(I420+J420-K420&gt;0,OR('Debt strategy'!$D$10&gt;'Debt strategy'!$D$12,AND('Debt strategy'!$D$10='Debt strategy'!$D$12,1&lt;3))),1,0),IF(AND(O420+P420-Q420&gt;0,OR('Debt strategy'!$D$11&gt;'Debt strategy'!$D$12,AND('Debt strategy'!$D$11='Debt strategy'!$D$12,2&lt;3))),1,0),IF(AND(AA420+AB420-AC420&gt;0,OR('Debt strategy'!$D$13&gt;'Debt strategy'!$D$12,AND('Debt strategy'!$D$13='Debt strategy'!$D$12,4&lt;3))),1,0)))</x:f>
        <x:v>99</x:v>
      </x:c>
      <x:c r="Y420" s="6" t="n">
        <x:f>IF('Debt strategy'!$C$16&gt;0,0,MIN(U420+V420-W420,MAX(0,'Debt strategy'!$C$5-SUM(E420,K420,Q420,W420,AC420)-SUM(IF(F420&lt;X420,C420+D420-E420,0),IF(L420&lt;X420,I420+J420-K420,0),IF(R420&lt;X420,O420+P420-Q420,0),IF(AD420&lt;X420,AA420+AB420-AC420,0)))))</x:f>
        <x:v>0</x:v>
      </x:c>
      <x:c r="Z420" s="6" t="n">
        <x:f>ROUND(MAX(0,U420+V420-W420-Y420),2)</x:f>
        <x:v>0</x:v>
      </x:c>
      <x:c r="AA420" s="6" t="n">
        <x:f>AF419</x:f>
        <x:v>0</x:v>
      </x:c>
      <x:c r="AB420" s="6" t="n">
        <x:f>ROUND(AA420*'Debt strategy'!$D$13/12,2)</x:f>
        <x:v>0</x:v>
      </x:c>
      <x:c r="AC420" s="6" t="n">
        <x:f>MIN(AA420+AB420,'Debt strategy'!$E$13)</x:f>
        <x:v>0</x:v>
      </x:c>
      <x:c r="AD420" s="27" t="n">
        <x:f>IF(AA420+AB420-AC420&lt;=0,99,1+SUM(IF(AND(C420+D420-E420&gt;0,OR('Debt strategy'!$D$9&gt;'Debt strategy'!$D$13,AND('Debt strategy'!$D$9='Debt strategy'!$D$13,0&lt;4))),1,0),IF(AND(I420+J420-K420&gt;0,OR('Debt strategy'!$D$10&gt;'Debt strategy'!$D$13,AND('Debt strategy'!$D$10='Debt strategy'!$D$13,1&lt;4))),1,0),IF(AND(O420+P420-Q420&gt;0,OR('Debt strategy'!$D$11&gt;'Debt strategy'!$D$13,AND('Debt strategy'!$D$11='Debt strategy'!$D$13,2&lt;4))),1,0),IF(AND(U420+V420-W420&gt;0,OR('Debt strategy'!$D$12&gt;'Debt strategy'!$D$13,AND('Debt strategy'!$D$12='Debt strategy'!$D$13,3&lt;4))),1,0)))</x:f>
        <x:v>99</x:v>
      </x:c>
      <x:c r="AE420" s="6" t="n">
        <x:f>IF('Debt strategy'!$C$16&gt;0,0,MIN(AA420+AB420-AC420,MAX(0,'Debt strategy'!$C$5-SUM(E420,K420,Q420,W420,AC420)-SUM(IF(F420&lt;AD420,C420+D420-E420,0),IF(L420&lt;AD420,I420+J420-K420,0),IF(R420&lt;AD420,O420+P420-Q420,0),IF(X420&lt;AD420,U420+V420-W420,0)))))</x:f>
        <x:v>0</x:v>
      </x:c>
      <x:c r="AF420" s="6" t="n">
        <x:f>ROUND(MAX(0,AA420+AB420-AC420-AE420),2)</x:f>
        <x:v>0</x:v>
      </x:c>
      <x:c r="AG420" s="6" t="n">
        <x:f>SUM(H420,N420,T420,Z420,AF420)</x:f>
        <x:v>0</x:v>
      </x:c>
      <x:c r="AH420" s="6" t="n">
        <x:f>SUM(D420,J420,P420,V420,AB420)+AH419</x:f>
        <x:v>1220.8400000000001</x:v>
      </x:c>
      <x:c r="AI420" s="2"/>
    </x:row>
    <x:row r="421" ht="23" customHeight="1">
      <x:c r="B421" s="2" t="n">
        <x:f>413</x:f>
        <x:v>413</x:v>
      </x:c>
      <x:c r="C421" s="6" t="n">
        <x:f>H420</x:f>
        <x:v>0</x:v>
      </x:c>
      <x:c r="D421" s="6" t="n">
        <x:f>ROUND(C421*'Debt strategy'!$D$9/12,2)</x:f>
        <x:v>0</x:v>
      </x:c>
      <x:c r="E421" s="6" t="n">
        <x:f>MIN(C421+D421,'Debt strategy'!$E$9)</x:f>
        <x:v>0</x:v>
      </x:c>
      <x:c r="F421" s="27" t="n">
        <x:f>IF(C421+D421-E421&lt;=0,99,1+SUM(IF(AND(I421+J421-K421&gt;0,OR('Debt strategy'!$D$10&gt;'Debt strategy'!$D$9,AND('Debt strategy'!$D$10='Debt strategy'!$D$9,1&lt;0))),1,0),IF(AND(O421+P421-Q421&gt;0,OR('Debt strategy'!$D$11&gt;'Debt strategy'!$D$9,AND('Debt strategy'!$D$11='Debt strategy'!$D$9,2&lt;0))),1,0),IF(AND(U421+V421-W421&gt;0,OR('Debt strategy'!$D$12&gt;'Debt strategy'!$D$9,AND('Debt strategy'!$D$12='Debt strategy'!$D$9,3&lt;0))),1,0),IF(AND(AA421+AB421-AC421&gt;0,OR('Debt strategy'!$D$13&gt;'Debt strategy'!$D$9,AND('Debt strategy'!$D$13='Debt strategy'!$D$9,4&lt;0))),1,0)))</x:f>
        <x:v>99</x:v>
      </x:c>
      <x:c r="G421" s="6" t="n">
        <x:f>IF('Debt strategy'!$C$16&gt;0,0,MIN(C421+D421-E421,MAX(0,'Debt strategy'!$C$5-SUM(E421,K421,Q421,W421,AC421)-SUM(IF(L421&lt;F421,I421+J421-K421,0),IF(R421&lt;F421,O421+P421-Q421,0),IF(X421&lt;F421,U421+V421-W421,0),IF(AD421&lt;F421,AA421+AB421-AC421,0)))))</x:f>
        <x:v>0</x:v>
      </x:c>
      <x:c r="H421" s="6" t="n">
        <x:f>ROUND(MAX(0,C421+D421-E421-G421),2)</x:f>
        <x:v>0</x:v>
      </x:c>
      <x:c r="I421" s="6" t="n">
        <x:f>N420</x:f>
        <x:v>0</x:v>
      </x:c>
      <x:c r="J421" s="6" t="n">
        <x:f>ROUND(I421*'Debt strategy'!$D$10/12,2)</x:f>
        <x:v>0</x:v>
      </x:c>
      <x:c r="K421" s="6" t="n">
        <x:f>MIN(I421+J421,'Debt strategy'!$E$10)</x:f>
        <x:v>0</x:v>
      </x:c>
      <x:c r="L421" s="27" t="n">
        <x:f>IF(I421+J421-K421&lt;=0,99,1+SUM(IF(AND(C421+D421-E421&gt;0,OR('Debt strategy'!$D$9&gt;'Debt strategy'!$D$10,AND('Debt strategy'!$D$9='Debt strategy'!$D$10,0&lt;1))),1,0),IF(AND(O421+P421-Q421&gt;0,OR('Debt strategy'!$D$11&gt;'Debt strategy'!$D$10,AND('Debt strategy'!$D$11='Debt strategy'!$D$10,2&lt;1))),1,0),IF(AND(U421+V421-W421&gt;0,OR('Debt strategy'!$D$12&gt;'Debt strategy'!$D$10,AND('Debt strategy'!$D$12='Debt strategy'!$D$10,3&lt;1))),1,0),IF(AND(AA421+AB421-AC421&gt;0,OR('Debt strategy'!$D$13&gt;'Debt strategy'!$D$10,AND('Debt strategy'!$D$13='Debt strategy'!$D$10,4&lt;1))),1,0)))</x:f>
        <x:v>99</x:v>
      </x:c>
      <x:c r="M421" s="6" t="n">
        <x:f>IF('Debt strategy'!$C$16&gt;0,0,MIN(I421+J421-K421,MAX(0,'Debt strategy'!$C$5-SUM(E421,K421,Q421,W421,AC421)-SUM(IF(F421&lt;L421,C421+D421-E421,0),IF(R421&lt;L421,O421+P421-Q421,0),IF(X421&lt;L421,U421+V421-W421,0),IF(AD421&lt;L421,AA421+AB421-AC421,0)))))</x:f>
        <x:v>0</x:v>
      </x:c>
      <x:c r="N421" s="6" t="n">
        <x:f>ROUND(MAX(0,I421+J421-K421-M421),2)</x:f>
        <x:v>0</x:v>
      </x:c>
      <x:c r="O421" s="6" t="n">
        <x:f>T420</x:f>
        <x:v>0</x:v>
      </x:c>
      <x:c r="P421" s="6" t="n">
        <x:f>ROUND(O421*'Debt strategy'!$D$11/12,2)</x:f>
        <x:v>0</x:v>
      </x:c>
      <x:c r="Q421" s="6" t="n">
        <x:f>MIN(O421+P421,'Debt strategy'!$E$11)</x:f>
        <x:v>0</x:v>
      </x:c>
      <x:c r="R421" s="27" t="n">
        <x:f>IF(O421+P421-Q421&lt;=0,99,1+SUM(IF(AND(C421+D421-E421&gt;0,OR('Debt strategy'!$D$9&gt;'Debt strategy'!$D$11,AND('Debt strategy'!$D$9='Debt strategy'!$D$11,0&lt;2))),1,0),IF(AND(I421+J421-K421&gt;0,OR('Debt strategy'!$D$10&gt;'Debt strategy'!$D$11,AND('Debt strategy'!$D$10='Debt strategy'!$D$11,1&lt;2))),1,0),IF(AND(U421+V421-W421&gt;0,OR('Debt strategy'!$D$12&gt;'Debt strategy'!$D$11,AND('Debt strategy'!$D$12='Debt strategy'!$D$11,3&lt;2))),1,0),IF(AND(AA421+AB421-AC421&gt;0,OR('Debt strategy'!$D$13&gt;'Debt strategy'!$D$11,AND('Debt strategy'!$D$13='Debt strategy'!$D$11,4&lt;2))),1,0)))</x:f>
        <x:v>99</x:v>
      </x:c>
      <x:c r="S421" s="6" t="n">
        <x:f>IF('Debt strategy'!$C$16&gt;0,0,MIN(O421+P421-Q421,MAX(0,'Debt strategy'!$C$5-SUM(E421,K421,Q421,W421,AC421)-SUM(IF(F421&lt;R421,C421+D421-E421,0),IF(L421&lt;R421,I421+J421-K421,0),IF(X421&lt;R421,U421+V421-W421,0),IF(AD421&lt;R421,AA421+AB421-AC421,0)))))</x:f>
        <x:v>0</x:v>
      </x:c>
      <x:c r="T421" s="6" t="n">
        <x:f>ROUND(MAX(0,O421+P421-Q421-S421),2)</x:f>
        <x:v>0</x:v>
      </x:c>
      <x:c r="U421" s="6" t="n">
        <x:f>Z420</x:f>
        <x:v>0</x:v>
      </x:c>
      <x:c r="V421" s="6" t="n">
        <x:f>ROUND(U421*'Debt strategy'!$D$12/12,2)</x:f>
        <x:v>0</x:v>
      </x:c>
      <x:c r="W421" s="6" t="n">
        <x:f>MIN(U421+V421,'Debt strategy'!$E$12)</x:f>
        <x:v>0</x:v>
      </x:c>
      <x:c r="X421" s="27" t="n">
        <x:f>IF(U421+V421-W421&lt;=0,99,1+SUM(IF(AND(C421+D421-E421&gt;0,OR('Debt strategy'!$D$9&gt;'Debt strategy'!$D$12,AND('Debt strategy'!$D$9='Debt strategy'!$D$12,0&lt;3))),1,0),IF(AND(I421+J421-K421&gt;0,OR('Debt strategy'!$D$10&gt;'Debt strategy'!$D$12,AND('Debt strategy'!$D$10='Debt strategy'!$D$12,1&lt;3))),1,0),IF(AND(O421+P421-Q421&gt;0,OR('Debt strategy'!$D$11&gt;'Debt strategy'!$D$12,AND('Debt strategy'!$D$11='Debt strategy'!$D$12,2&lt;3))),1,0),IF(AND(AA421+AB421-AC421&gt;0,OR('Debt strategy'!$D$13&gt;'Debt strategy'!$D$12,AND('Debt strategy'!$D$13='Debt strategy'!$D$12,4&lt;3))),1,0)))</x:f>
        <x:v>99</x:v>
      </x:c>
      <x:c r="Y421" s="6" t="n">
        <x:f>IF('Debt strategy'!$C$16&gt;0,0,MIN(U421+V421-W421,MAX(0,'Debt strategy'!$C$5-SUM(E421,K421,Q421,W421,AC421)-SUM(IF(F421&lt;X421,C421+D421-E421,0),IF(L421&lt;X421,I421+J421-K421,0),IF(R421&lt;X421,O421+P421-Q421,0),IF(AD421&lt;X421,AA421+AB421-AC421,0)))))</x:f>
        <x:v>0</x:v>
      </x:c>
      <x:c r="Z421" s="6" t="n">
        <x:f>ROUND(MAX(0,U421+V421-W421-Y421),2)</x:f>
        <x:v>0</x:v>
      </x:c>
      <x:c r="AA421" s="6" t="n">
        <x:f>AF420</x:f>
        <x:v>0</x:v>
      </x:c>
      <x:c r="AB421" s="6" t="n">
        <x:f>ROUND(AA421*'Debt strategy'!$D$13/12,2)</x:f>
        <x:v>0</x:v>
      </x:c>
      <x:c r="AC421" s="6" t="n">
        <x:f>MIN(AA421+AB421,'Debt strategy'!$E$13)</x:f>
        <x:v>0</x:v>
      </x:c>
      <x:c r="AD421" s="27" t="n">
        <x:f>IF(AA421+AB421-AC421&lt;=0,99,1+SUM(IF(AND(C421+D421-E421&gt;0,OR('Debt strategy'!$D$9&gt;'Debt strategy'!$D$13,AND('Debt strategy'!$D$9='Debt strategy'!$D$13,0&lt;4))),1,0),IF(AND(I421+J421-K421&gt;0,OR('Debt strategy'!$D$10&gt;'Debt strategy'!$D$13,AND('Debt strategy'!$D$10='Debt strategy'!$D$13,1&lt;4))),1,0),IF(AND(O421+P421-Q421&gt;0,OR('Debt strategy'!$D$11&gt;'Debt strategy'!$D$13,AND('Debt strategy'!$D$11='Debt strategy'!$D$13,2&lt;4))),1,0),IF(AND(U421+V421-W421&gt;0,OR('Debt strategy'!$D$12&gt;'Debt strategy'!$D$13,AND('Debt strategy'!$D$12='Debt strategy'!$D$13,3&lt;4))),1,0)))</x:f>
        <x:v>99</x:v>
      </x:c>
      <x:c r="AE421" s="6" t="n">
        <x:f>IF('Debt strategy'!$C$16&gt;0,0,MIN(AA421+AB421-AC421,MAX(0,'Debt strategy'!$C$5-SUM(E421,K421,Q421,W421,AC421)-SUM(IF(F421&lt;AD421,C421+D421-E421,0),IF(L421&lt;AD421,I421+J421-K421,0),IF(R421&lt;AD421,O421+P421-Q421,0),IF(X421&lt;AD421,U421+V421-W421,0)))))</x:f>
        <x:v>0</x:v>
      </x:c>
      <x:c r="AF421" s="6" t="n">
        <x:f>ROUND(MAX(0,AA421+AB421-AC421-AE421),2)</x:f>
        <x:v>0</x:v>
      </x:c>
      <x:c r="AG421" s="6" t="n">
        <x:f>SUM(H421,N421,T421,Z421,AF421)</x:f>
        <x:v>0</x:v>
      </x:c>
      <x:c r="AH421" s="6" t="n">
        <x:f>SUM(D421,J421,P421,V421,AB421)+AH420</x:f>
        <x:v>1220.8400000000001</x:v>
      </x:c>
      <x:c r="AI421" s="2"/>
    </x:row>
    <x:row r="422" ht="23" customHeight="1">
      <x:c r="B422" s="2" t="n">
        <x:f>414</x:f>
        <x:v>414</x:v>
      </x:c>
      <x:c r="C422" s="6" t="n">
        <x:f>H421</x:f>
        <x:v>0</x:v>
      </x:c>
      <x:c r="D422" s="6" t="n">
        <x:f>ROUND(C422*'Debt strategy'!$D$9/12,2)</x:f>
        <x:v>0</x:v>
      </x:c>
      <x:c r="E422" s="6" t="n">
        <x:f>MIN(C422+D422,'Debt strategy'!$E$9)</x:f>
        <x:v>0</x:v>
      </x:c>
      <x:c r="F422" s="27" t="n">
        <x:f>IF(C422+D422-E422&lt;=0,99,1+SUM(IF(AND(I422+J422-K422&gt;0,OR('Debt strategy'!$D$10&gt;'Debt strategy'!$D$9,AND('Debt strategy'!$D$10='Debt strategy'!$D$9,1&lt;0))),1,0),IF(AND(O422+P422-Q422&gt;0,OR('Debt strategy'!$D$11&gt;'Debt strategy'!$D$9,AND('Debt strategy'!$D$11='Debt strategy'!$D$9,2&lt;0))),1,0),IF(AND(U422+V422-W422&gt;0,OR('Debt strategy'!$D$12&gt;'Debt strategy'!$D$9,AND('Debt strategy'!$D$12='Debt strategy'!$D$9,3&lt;0))),1,0),IF(AND(AA422+AB422-AC422&gt;0,OR('Debt strategy'!$D$13&gt;'Debt strategy'!$D$9,AND('Debt strategy'!$D$13='Debt strategy'!$D$9,4&lt;0))),1,0)))</x:f>
        <x:v>99</x:v>
      </x:c>
      <x:c r="G422" s="6" t="n">
        <x:f>IF('Debt strategy'!$C$16&gt;0,0,MIN(C422+D422-E422,MAX(0,'Debt strategy'!$C$5-SUM(E422,K422,Q422,W422,AC422)-SUM(IF(L422&lt;F422,I422+J422-K422,0),IF(R422&lt;F422,O422+P422-Q422,0),IF(X422&lt;F422,U422+V422-W422,0),IF(AD422&lt;F422,AA422+AB422-AC422,0)))))</x:f>
        <x:v>0</x:v>
      </x:c>
      <x:c r="H422" s="6" t="n">
        <x:f>ROUND(MAX(0,C422+D422-E422-G422),2)</x:f>
        <x:v>0</x:v>
      </x:c>
      <x:c r="I422" s="6" t="n">
        <x:f>N421</x:f>
        <x:v>0</x:v>
      </x:c>
      <x:c r="J422" s="6" t="n">
        <x:f>ROUND(I422*'Debt strategy'!$D$10/12,2)</x:f>
        <x:v>0</x:v>
      </x:c>
      <x:c r="K422" s="6" t="n">
        <x:f>MIN(I422+J422,'Debt strategy'!$E$10)</x:f>
        <x:v>0</x:v>
      </x:c>
      <x:c r="L422" s="27" t="n">
        <x:f>IF(I422+J422-K422&lt;=0,99,1+SUM(IF(AND(C422+D422-E422&gt;0,OR('Debt strategy'!$D$9&gt;'Debt strategy'!$D$10,AND('Debt strategy'!$D$9='Debt strategy'!$D$10,0&lt;1))),1,0),IF(AND(O422+P422-Q422&gt;0,OR('Debt strategy'!$D$11&gt;'Debt strategy'!$D$10,AND('Debt strategy'!$D$11='Debt strategy'!$D$10,2&lt;1))),1,0),IF(AND(U422+V422-W422&gt;0,OR('Debt strategy'!$D$12&gt;'Debt strategy'!$D$10,AND('Debt strategy'!$D$12='Debt strategy'!$D$10,3&lt;1))),1,0),IF(AND(AA422+AB422-AC422&gt;0,OR('Debt strategy'!$D$13&gt;'Debt strategy'!$D$10,AND('Debt strategy'!$D$13='Debt strategy'!$D$10,4&lt;1))),1,0)))</x:f>
        <x:v>99</x:v>
      </x:c>
      <x:c r="M422" s="6" t="n">
        <x:f>IF('Debt strategy'!$C$16&gt;0,0,MIN(I422+J422-K422,MAX(0,'Debt strategy'!$C$5-SUM(E422,K422,Q422,W422,AC422)-SUM(IF(F422&lt;L422,C422+D422-E422,0),IF(R422&lt;L422,O422+P422-Q422,0),IF(X422&lt;L422,U422+V422-W422,0),IF(AD422&lt;L422,AA422+AB422-AC422,0)))))</x:f>
        <x:v>0</x:v>
      </x:c>
      <x:c r="N422" s="6" t="n">
        <x:f>ROUND(MAX(0,I422+J422-K422-M422),2)</x:f>
        <x:v>0</x:v>
      </x:c>
      <x:c r="O422" s="6" t="n">
        <x:f>T421</x:f>
        <x:v>0</x:v>
      </x:c>
      <x:c r="P422" s="6" t="n">
        <x:f>ROUND(O422*'Debt strategy'!$D$11/12,2)</x:f>
        <x:v>0</x:v>
      </x:c>
      <x:c r="Q422" s="6" t="n">
        <x:f>MIN(O422+P422,'Debt strategy'!$E$11)</x:f>
        <x:v>0</x:v>
      </x:c>
      <x:c r="R422" s="27" t="n">
        <x:f>IF(O422+P422-Q422&lt;=0,99,1+SUM(IF(AND(C422+D422-E422&gt;0,OR('Debt strategy'!$D$9&gt;'Debt strategy'!$D$11,AND('Debt strategy'!$D$9='Debt strategy'!$D$11,0&lt;2))),1,0),IF(AND(I422+J422-K422&gt;0,OR('Debt strategy'!$D$10&gt;'Debt strategy'!$D$11,AND('Debt strategy'!$D$10='Debt strategy'!$D$11,1&lt;2))),1,0),IF(AND(U422+V422-W422&gt;0,OR('Debt strategy'!$D$12&gt;'Debt strategy'!$D$11,AND('Debt strategy'!$D$12='Debt strategy'!$D$11,3&lt;2))),1,0),IF(AND(AA422+AB422-AC422&gt;0,OR('Debt strategy'!$D$13&gt;'Debt strategy'!$D$11,AND('Debt strategy'!$D$13='Debt strategy'!$D$11,4&lt;2))),1,0)))</x:f>
        <x:v>99</x:v>
      </x:c>
      <x:c r="S422" s="6" t="n">
        <x:f>IF('Debt strategy'!$C$16&gt;0,0,MIN(O422+P422-Q422,MAX(0,'Debt strategy'!$C$5-SUM(E422,K422,Q422,W422,AC422)-SUM(IF(F422&lt;R422,C422+D422-E422,0),IF(L422&lt;R422,I422+J422-K422,0),IF(X422&lt;R422,U422+V422-W422,0),IF(AD422&lt;R422,AA422+AB422-AC422,0)))))</x:f>
        <x:v>0</x:v>
      </x:c>
      <x:c r="T422" s="6" t="n">
        <x:f>ROUND(MAX(0,O422+P422-Q422-S422),2)</x:f>
        <x:v>0</x:v>
      </x:c>
      <x:c r="U422" s="6" t="n">
        <x:f>Z421</x:f>
        <x:v>0</x:v>
      </x:c>
      <x:c r="V422" s="6" t="n">
        <x:f>ROUND(U422*'Debt strategy'!$D$12/12,2)</x:f>
        <x:v>0</x:v>
      </x:c>
      <x:c r="W422" s="6" t="n">
        <x:f>MIN(U422+V422,'Debt strategy'!$E$12)</x:f>
        <x:v>0</x:v>
      </x:c>
      <x:c r="X422" s="27" t="n">
        <x:f>IF(U422+V422-W422&lt;=0,99,1+SUM(IF(AND(C422+D422-E422&gt;0,OR('Debt strategy'!$D$9&gt;'Debt strategy'!$D$12,AND('Debt strategy'!$D$9='Debt strategy'!$D$12,0&lt;3))),1,0),IF(AND(I422+J422-K422&gt;0,OR('Debt strategy'!$D$10&gt;'Debt strategy'!$D$12,AND('Debt strategy'!$D$10='Debt strategy'!$D$12,1&lt;3))),1,0),IF(AND(O422+P422-Q422&gt;0,OR('Debt strategy'!$D$11&gt;'Debt strategy'!$D$12,AND('Debt strategy'!$D$11='Debt strategy'!$D$12,2&lt;3))),1,0),IF(AND(AA422+AB422-AC422&gt;0,OR('Debt strategy'!$D$13&gt;'Debt strategy'!$D$12,AND('Debt strategy'!$D$13='Debt strategy'!$D$12,4&lt;3))),1,0)))</x:f>
        <x:v>99</x:v>
      </x:c>
      <x:c r="Y422" s="6" t="n">
        <x:f>IF('Debt strategy'!$C$16&gt;0,0,MIN(U422+V422-W422,MAX(0,'Debt strategy'!$C$5-SUM(E422,K422,Q422,W422,AC422)-SUM(IF(F422&lt;X422,C422+D422-E422,0),IF(L422&lt;X422,I422+J422-K422,0),IF(R422&lt;X422,O422+P422-Q422,0),IF(AD422&lt;X422,AA422+AB422-AC422,0)))))</x:f>
        <x:v>0</x:v>
      </x:c>
      <x:c r="Z422" s="6" t="n">
        <x:f>ROUND(MAX(0,U422+V422-W422-Y422),2)</x:f>
        <x:v>0</x:v>
      </x:c>
      <x:c r="AA422" s="6" t="n">
        <x:f>AF421</x:f>
        <x:v>0</x:v>
      </x:c>
      <x:c r="AB422" s="6" t="n">
        <x:f>ROUND(AA422*'Debt strategy'!$D$13/12,2)</x:f>
        <x:v>0</x:v>
      </x:c>
      <x:c r="AC422" s="6" t="n">
        <x:f>MIN(AA422+AB422,'Debt strategy'!$E$13)</x:f>
        <x:v>0</x:v>
      </x:c>
      <x:c r="AD422" s="27" t="n">
        <x:f>IF(AA422+AB422-AC422&lt;=0,99,1+SUM(IF(AND(C422+D422-E422&gt;0,OR('Debt strategy'!$D$9&gt;'Debt strategy'!$D$13,AND('Debt strategy'!$D$9='Debt strategy'!$D$13,0&lt;4))),1,0),IF(AND(I422+J422-K422&gt;0,OR('Debt strategy'!$D$10&gt;'Debt strategy'!$D$13,AND('Debt strategy'!$D$10='Debt strategy'!$D$13,1&lt;4))),1,0),IF(AND(O422+P422-Q422&gt;0,OR('Debt strategy'!$D$11&gt;'Debt strategy'!$D$13,AND('Debt strategy'!$D$11='Debt strategy'!$D$13,2&lt;4))),1,0),IF(AND(U422+V422-W422&gt;0,OR('Debt strategy'!$D$12&gt;'Debt strategy'!$D$13,AND('Debt strategy'!$D$12='Debt strategy'!$D$13,3&lt;4))),1,0)))</x:f>
        <x:v>99</x:v>
      </x:c>
      <x:c r="AE422" s="6" t="n">
        <x:f>IF('Debt strategy'!$C$16&gt;0,0,MIN(AA422+AB422-AC422,MAX(0,'Debt strategy'!$C$5-SUM(E422,K422,Q422,W422,AC422)-SUM(IF(F422&lt;AD422,C422+D422-E422,0),IF(L422&lt;AD422,I422+J422-K422,0),IF(R422&lt;AD422,O422+P422-Q422,0),IF(X422&lt;AD422,U422+V422-W422,0)))))</x:f>
        <x:v>0</x:v>
      </x:c>
      <x:c r="AF422" s="6" t="n">
        <x:f>ROUND(MAX(0,AA422+AB422-AC422-AE422),2)</x:f>
        <x:v>0</x:v>
      </x:c>
      <x:c r="AG422" s="6" t="n">
        <x:f>SUM(H422,N422,T422,Z422,AF422)</x:f>
        <x:v>0</x:v>
      </x:c>
      <x:c r="AH422" s="6" t="n">
        <x:f>SUM(D422,J422,P422,V422,AB422)+AH421</x:f>
        <x:v>1220.8400000000001</x:v>
      </x:c>
      <x:c r="AI422" s="2"/>
    </x:row>
    <x:row r="423" ht="23" customHeight="1">
      <x:c r="B423" s="2" t="n">
        <x:f>415</x:f>
        <x:v>415</x:v>
      </x:c>
      <x:c r="C423" s="6" t="n">
        <x:f>H422</x:f>
        <x:v>0</x:v>
      </x:c>
      <x:c r="D423" s="6" t="n">
        <x:f>ROUND(C423*'Debt strategy'!$D$9/12,2)</x:f>
        <x:v>0</x:v>
      </x:c>
      <x:c r="E423" s="6" t="n">
        <x:f>MIN(C423+D423,'Debt strategy'!$E$9)</x:f>
        <x:v>0</x:v>
      </x:c>
      <x:c r="F423" s="27" t="n">
        <x:f>IF(C423+D423-E423&lt;=0,99,1+SUM(IF(AND(I423+J423-K423&gt;0,OR('Debt strategy'!$D$10&gt;'Debt strategy'!$D$9,AND('Debt strategy'!$D$10='Debt strategy'!$D$9,1&lt;0))),1,0),IF(AND(O423+P423-Q423&gt;0,OR('Debt strategy'!$D$11&gt;'Debt strategy'!$D$9,AND('Debt strategy'!$D$11='Debt strategy'!$D$9,2&lt;0))),1,0),IF(AND(U423+V423-W423&gt;0,OR('Debt strategy'!$D$12&gt;'Debt strategy'!$D$9,AND('Debt strategy'!$D$12='Debt strategy'!$D$9,3&lt;0))),1,0),IF(AND(AA423+AB423-AC423&gt;0,OR('Debt strategy'!$D$13&gt;'Debt strategy'!$D$9,AND('Debt strategy'!$D$13='Debt strategy'!$D$9,4&lt;0))),1,0)))</x:f>
        <x:v>99</x:v>
      </x:c>
      <x:c r="G423" s="6" t="n">
        <x:f>IF('Debt strategy'!$C$16&gt;0,0,MIN(C423+D423-E423,MAX(0,'Debt strategy'!$C$5-SUM(E423,K423,Q423,W423,AC423)-SUM(IF(L423&lt;F423,I423+J423-K423,0),IF(R423&lt;F423,O423+P423-Q423,0),IF(X423&lt;F423,U423+V423-W423,0),IF(AD423&lt;F423,AA423+AB423-AC423,0)))))</x:f>
        <x:v>0</x:v>
      </x:c>
      <x:c r="H423" s="6" t="n">
        <x:f>ROUND(MAX(0,C423+D423-E423-G423),2)</x:f>
        <x:v>0</x:v>
      </x:c>
      <x:c r="I423" s="6" t="n">
        <x:f>N422</x:f>
        <x:v>0</x:v>
      </x:c>
      <x:c r="J423" s="6" t="n">
        <x:f>ROUND(I423*'Debt strategy'!$D$10/12,2)</x:f>
        <x:v>0</x:v>
      </x:c>
      <x:c r="K423" s="6" t="n">
        <x:f>MIN(I423+J423,'Debt strategy'!$E$10)</x:f>
        <x:v>0</x:v>
      </x:c>
      <x:c r="L423" s="27" t="n">
        <x:f>IF(I423+J423-K423&lt;=0,99,1+SUM(IF(AND(C423+D423-E423&gt;0,OR('Debt strategy'!$D$9&gt;'Debt strategy'!$D$10,AND('Debt strategy'!$D$9='Debt strategy'!$D$10,0&lt;1))),1,0),IF(AND(O423+P423-Q423&gt;0,OR('Debt strategy'!$D$11&gt;'Debt strategy'!$D$10,AND('Debt strategy'!$D$11='Debt strategy'!$D$10,2&lt;1))),1,0),IF(AND(U423+V423-W423&gt;0,OR('Debt strategy'!$D$12&gt;'Debt strategy'!$D$10,AND('Debt strategy'!$D$12='Debt strategy'!$D$10,3&lt;1))),1,0),IF(AND(AA423+AB423-AC423&gt;0,OR('Debt strategy'!$D$13&gt;'Debt strategy'!$D$10,AND('Debt strategy'!$D$13='Debt strategy'!$D$10,4&lt;1))),1,0)))</x:f>
        <x:v>99</x:v>
      </x:c>
      <x:c r="M423" s="6" t="n">
        <x:f>IF('Debt strategy'!$C$16&gt;0,0,MIN(I423+J423-K423,MAX(0,'Debt strategy'!$C$5-SUM(E423,K423,Q423,W423,AC423)-SUM(IF(F423&lt;L423,C423+D423-E423,0),IF(R423&lt;L423,O423+P423-Q423,0),IF(X423&lt;L423,U423+V423-W423,0),IF(AD423&lt;L423,AA423+AB423-AC423,0)))))</x:f>
        <x:v>0</x:v>
      </x:c>
      <x:c r="N423" s="6" t="n">
        <x:f>ROUND(MAX(0,I423+J423-K423-M423),2)</x:f>
        <x:v>0</x:v>
      </x:c>
      <x:c r="O423" s="6" t="n">
        <x:f>T422</x:f>
        <x:v>0</x:v>
      </x:c>
      <x:c r="P423" s="6" t="n">
        <x:f>ROUND(O423*'Debt strategy'!$D$11/12,2)</x:f>
        <x:v>0</x:v>
      </x:c>
      <x:c r="Q423" s="6" t="n">
        <x:f>MIN(O423+P423,'Debt strategy'!$E$11)</x:f>
        <x:v>0</x:v>
      </x:c>
      <x:c r="R423" s="27" t="n">
        <x:f>IF(O423+P423-Q423&lt;=0,99,1+SUM(IF(AND(C423+D423-E423&gt;0,OR('Debt strategy'!$D$9&gt;'Debt strategy'!$D$11,AND('Debt strategy'!$D$9='Debt strategy'!$D$11,0&lt;2))),1,0),IF(AND(I423+J423-K423&gt;0,OR('Debt strategy'!$D$10&gt;'Debt strategy'!$D$11,AND('Debt strategy'!$D$10='Debt strategy'!$D$11,1&lt;2))),1,0),IF(AND(U423+V423-W423&gt;0,OR('Debt strategy'!$D$12&gt;'Debt strategy'!$D$11,AND('Debt strategy'!$D$12='Debt strategy'!$D$11,3&lt;2))),1,0),IF(AND(AA423+AB423-AC423&gt;0,OR('Debt strategy'!$D$13&gt;'Debt strategy'!$D$11,AND('Debt strategy'!$D$13='Debt strategy'!$D$11,4&lt;2))),1,0)))</x:f>
        <x:v>99</x:v>
      </x:c>
      <x:c r="S423" s="6" t="n">
        <x:f>IF('Debt strategy'!$C$16&gt;0,0,MIN(O423+P423-Q423,MAX(0,'Debt strategy'!$C$5-SUM(E423,K423,Q423,W423,AC423)-SUM(IF(F423&lt;R423,C423+D423-E423,0),IF(L423&lt;R423,I423+J423-K423,0),IF(X423&lt;R423,U423+V423-W423,0),IF(AD423&lt;R423,AA423+AB423-AC423,0)))))</x:f>
        <x:v>0</x:v>
      </x:c>
      <x:c r="T423" s="6" t="n">
        <x:f>ROUND(MAX(0,O423+P423-Q423-S423),2)</x:f>
        <x:v>0</x:v>
      </x:c>
      <x:c r="U423" s="6" t="n">
        <x:f>Z422</x:f>
        <x:v>0</x:v>
      </x:c>
      <x:c r="V423" s="6" t="n">
        <x:f>ROUND(U423*'Debt strategy'!$D$12/12,2)</x:f>
        <x:v>0</x:v>
      </x:c>
      <x:c r="W423" s="6" t="n">
        <x:f>MIN(U423+V423,'Debt strategy'!$E$12)</x:f>
        <x:v>0</x:v>
      </x:c>
      <x:c r="X423" s="27" t="n">
        <x:f>IF(U423+V423-W423&lt;=0,99,1+SUM(IF(AND(C423+D423-E423&gt;0,OR('Debt strategy'!$D$9&gt;'Debt strategy'!$D$12,AND('Debt strategy'!$D$9='Debt strategy'!$D$12,0&lt;3))),1,0),IF(AND(I423+J423-K423&gt;0,OR('Debt strategy'!$D$10&gt;'Debt strategy'!$D$12,AND('Debt strategy'!$D$10='Debt strategy'!$D$12,1&lt;3))),1,0),IF(AND(O423+P423-Q423&gt;0,OR('Debt strategy'!$D$11&gt;'Debt strategy'!$D$12,AND('Debt strategy'!$D$11='Debt strategy'!$D$12,2&lt;3))),1,0),IF(AND(AA423+AB423-AC423&gt;0,OR('Debt strategy'!$D$13&gt;'Debt strategy'!$D$12,AND('Debt strategy'!$D$13='Debt strategy'!$D$12,4&lt;3))),1,0)))</x:f>
        <x:v>99</x:v>
      </x:c>
      <x:c r="Y423" s="6" t="n">
        <x:f>IF('Debt strategy'!$C$16&gt;0,0,MIN(U423+V423-W423,MAX(0,'Debt strategy'!$C$5-SUM(E423,K423,Q423,W423,AC423)-SUM(IF(F423&lt;X423,C423+D423-E423,0),IF(L423&lt;X423,I423+J423-K423,0),IF(R423&lt;X423,O423+P423-Q423,0),IF(AD423&lt;X423,AA423+AB423-AC423,0)))))</x:f>
        <x:v>0</x:v>
      </x:c>
      <x:c r="Z423" s="6" t="n">
        <x:f>ROUND(MAX(0,U423+V423-W423-Y423),2)</x:f>
        <x:v>0</x:v>
      </x:c>
      <x:c r="AA423" s="6" t="n">
        <x:f>AF422</x:f>
        <x:v>0</x:v>
      </x:c>
      <x:c r="AB423" s="6" t="n">
        <x:f>ROUND(AA423*'Debt strategy'!$D$13/12,2)</x:f>
        <x:v>0</x:v>
      </x:c>
      <x:c r="AC423" s="6" t="n">
        <x:f>MIN(AA423+AB423,'Debt strategy'!$E$13)</x:f>
        <x:v>0</x:v>
      </x:c>
      <x:c r="AD423" s="27" t="n">
        <x:f>IF(AA423+AB423-AC423&lt;=0,99,1+SUM(IF(AND(C423+D423-E423&gt;0,OR('Debt strategy'!$D$9&gt;'Debt strategy'!$D$13,AND('Debt strategy'!$D$9='Debt strategy'!$D$13,0&lt;4))),1,0),IF(AND(I423+J423-K423&gt;0,OR('Debt strategy'!$D$10&gt;'Debt strategy'!$D$13,AND('Debt strategy'!$D$10='Debt strategy'!$D$13,1&lt;4))),1,0),IF(AND(O423+P423-Q423&gt;0,OR('Debt strategy'!$D$11&gt;'Debt strategy'!$D$13,AND('Debt strategy'!$D$11='Debt strategy'!$D$13,2&lt;4))),1,0),IF(AND(U423+V423-W423&gt;0,OR('Debt strategy'!$D$12&gt;'Debt strategy'!$D$13,AND('Debt strategy'!$D$12='Debt strategy'!$D$13,3&lt;4))),1,0)))</x:f>
        <x:v>99</x:v>
      </x:c>
      <x:c r="AE423" s="6" t="n">
        <x:f>IF('Debt strategy'!$C$16&gt;0,0,MIN(AA423+AB423-AC423,MAX(0,'Debt strategy'!$C$5-SUM(E423,K423,Q423,W423,AC423)-SUM(IF(F423&lt;AD423,C423+D423-E423,0),IF(L423&lt;AD423,I423+J423-K423,0),IF(R423&lt;AD423,O423+P423-Q423,0),IF(X423&lt;AD423,U423+V423-W423,0)))))</x:f>
        <x:v>0</x:v>
      </x:c>
      <x:c r="AF423" s="6" t="n">
        <x:f>ROUND(MAX(0,AA423+AB423-AC423-AE423),2)</x:f>
        <x:v>0</x:v>
      </x:c>
      <x:c r="AG423" s="6" t="n">
        <x:f>SUM(H423,N423,T423,Z423,AF423)</x:f>
        <x:v>0</x:v>
      </x:c>
      <x:c r="AH423" s="6" t="n">
        <x:f>SUM(D423,J423,P423,V423,AB423)+AH422</x:f>
        <x:v>1220.8400000000001</x:v>
      </x:c>
      <x:c r="AI423" s="2"/>
    </x:row>
    <x:row r="424" ht="23" customHeight="1">
      <x:c r="B424" s="2" t="n">
        <x:f>416</x:f>
        <x:v>416</x:v>
      </x:c>
      <x:c r="C424" s="6" t="n">
        <x:f>H423</x:f>
        <x:v>0</x:v>
      </x:c>
      <x:c r="D424" s="6" t="n">
        <x:f>ROUND(C424*'Debt strategy'!$D$9/12,2)</x:f>
        <x:v>0</x:v>
      </x:c>
      <x:c r="E424" s="6" t="n">
        <x:f>MIN(C424+D424,'Debt strategy'!$E$9)</x:f>
        <x:v>0</x:v>
      </x:c>
      <x:c r="F424" s="27" t="n">
        <x:f>IF(C424+D424-E424&lt;=0,99,1+SUM(IF(AND(I424+J424-K424&gt;0,OR('Debt strategy'!$D$10&gt;'Debt strategy'!$D$9,AND('Debt strategy'!$D$10='Debt strategy'!$D$9,1&lt;0))),1,0),IF(AND(O424+P424-Q424&gt;0,OR('Debt strategy'!$D$11&gt;'Debt strategy'!$D$9,AND('Debt strategy'!$D$11='Debt strategy'!$D$9,2&lt;0))),1,0),IF(AND(U424+V424-W424&gt;0,OR('Debt strategy'!$D$12&gt;'Debt strategy'!$D$9,AND('Debt strategy'!$D$12='Debt strategy'!$D$9,3&lt;0))),1,0),IF(AND(AA424+AB424-AC424&gt;0,OR('Debt strategy'!$D$13&gt;'Debt strategy'!$D$9,AND('Debt strategy'!$D$13='Debt strategy'!$D$9,4&lt;0))),1,0)))</x:f>
        <x:v>99</x:v>
      </x:c>
      <x:c r="G424" s="6" t="n">
        <x:f>IF('Debt strategy'!$C$16&gt;0,0,MIN(C424+D424-E424,MAX(0,'Debt strategy'!$C$5-SUM(E424,K424,Q424,W424,AC424)-SUM(IF(L424&lt;F424,I424+J424-K424,0),IF(R424&lt;F424,O424+P424-Q424,0),IF(X424&lt;F424,U424+V424-W424,0),IF(AD424&lt;F424,AA424+AB424-AC424,0)))))</x:f>
        <x:v>0</x:v>
      </x:c>
      <x:c r="H424" s="6" t="n">
        <x:f>ROUND(MAX(0,C424+D424-E424-G424),2)</x:f>
        <x:v>0</x:v>
      </x:c>
      <x:c r="I424" s="6" t="n">
        <x:f>N423</x:f>
        <x:v>0</x:v>
      </x:c>
      <x:c r="J424" s="6" t="n">
        <x:f>ROUND(I424*'Debt strategy'!$D$10/12,2)</x:f>
        <x:v>0</x:v>
      </x:c>
      <x:c r="K424" s="6" t="n">
        <x:f>MIN(I424+J424,'Debt strategy'!$E$10)</x:f>
        <x:v>0</x:v>
      </x:c>
      <x:c r="L424" s="27" t="n">
        <x:f>IF(I424+J424-K424&lt;=0,99,1+SUM(IF(AND(C424+D424-E424&gt;0,OR('Debt strategy'!$D$9&gt;'Debt strategy'!$D$10,AND('Debt strategy'!$D$9='Debt strategy'!$D$10,0&lt;1))),1,0),IF(AND(O424+P424-Q424&gt;0,OR('Debt strategy'!$D$11&gt;'Debt strategy'!$D$10,AND('Debt strategy'!$D$11='Debt strategy'!$D$10,2&lt;1))),1,0),IF(AND(U424+V424-W424&gt;0,OR('Debt strategy'!$D$12&gt;'Debt strategy'!$D$10,AND('Debt strategy'!$D$12='Debt strategy'!$D$10,3&lt;1))),1,0),IF(AND(AA424+AB424-AC424&gt;0,OR('Debt strategy'!$D$13&gt;'Debt strategy'!$D$10,AND('Debt strategy'!$D$13='Debt strategy'!$D$10,4&lt;1))),1,0)))</x:f>
        <x:v>99</x:v>
      </x:c>
      <x:c r="M424" s="6" t="n">
        <x:f>IF('Debt strategy'!$C$16&gt;0,0,MIN(I424+J424-K424,MAX(0,'Debt strategy'!$C$5-SUM(E424,K424,Q424,W424,AC424)-SUM(IF(F424&lt;L424,C424+D424-E424,0),IF(R424&lt;L424,O424+P424-Q424,0),IF(X424&lt;L424,U424+V424-W424,0),IF(AD424&lt;L424,AA424+AB424-AC424,0)))))</x:f>
        <x:v>0</x:v>
      </x:c>
      <x:c r="N424" s="6" t="n">
        <x:f>ROUND(MAX(0,I424+J424-K424-M424),2)</x:f>
        <x:v>0</x:v>
      </x:c>
      <x:c r="O424" s="6" t="n">
        <x:f>T423</x:f>
        <x:v>0</x:v>
      </x:c>
      <x:c r="P424" s="6" t="n">
        <x:f>ROUND(O424*'Debt strategy'!$D$11/12,2)</x:f>
        <x:v>0</x:v>
      </x:c>
      <x:c r="Q424" s="6" t="n">
        <x:f>MIN(O424+P424,'Debt strategy'!$E$11)</x:f>
        <x:v>0</x:v>
      </x:c>
      <x:c r="R424" s="27" t="n">
        <x:f>IF(O424+P424-Q424&lt;=0,99,1+SUM(IF(AND(C424+D424-E424&gt;0,OR('Debt strategy'!$D$9&gt;'Debt strategy'!$D$11,AND('Debt strategy'!$D$9='Debt strategy'!$D$11,0&lt;2))),1,0),IF(AND(I424+J424-K424&gt;0,OR('Debt strategy'!$D$10&gt;'Debt strategy'!$D$11,AND('Debt strategy'!$D$10='Debt strategy'!$D$11,1&lt;2))),1,0),IF(AND(U424+V424-W424&gt;0,OR('Debt strategy'!$D$12&gt;'Debt strategy'!$D$11,AND('Debt strategy'!$D$12='Debt strategy'!$D$11,3&lt;2))),1,0),IF(AND(AA424+AB424-AC424&gt;0,OR('Debt strategy'!$D$13&gt;'Debt strategy'!$D$11,AND('Debt strategy'!$D$13='Debt strategy'!$D$11,4&lt;2))),1,0)))</x:f>
        <x:v>99</x:v>
      </x:c>
      <x:c r="S424" s="6" t="n">
        <x:f>IF('Debt strategy'!$C$16&gt;0,0,MIN(O424+P424-Q424,MAX(0,'Debt strategy'!$C$5-SUM(E424,K424,Q424,W424,AC424)-SUM(IF(F424&lt;R424,C424+D424-E424,0),IF(L424&lt;R424,I424+J424-K424,0),IF(X424&lt;R424,U424+V424-W424,0),IF(AD424&lt;R424,AA424+AB424-AC424,0)))))</x:f>
        <x:v>0</x:v>
      </x:c>
      <x:c r="T424" s="6" t="n">
        <x:f>ROUND(MAX(0,O424+P424-Q424-S424),2)</x:f>
        <x:v>0</x:v>
      </x:c>
      <x:c r="U424" s="6" t="n">
        <x:f>Z423</x:f>
        <x:v>0</x:v>
      </x:c>
      <x:c r="V424" s="6" t="n">
        <x:f>ROUND(U424*'Debt strategy'!$D$12/12,2)</x:f>
        <x:v>0</x:v>
      </x:c>
      <x:c r="W424" s="6" t="n">
        <x:f>MIN(U424+V424,'Debt strategy'!$E$12)</x:f>
        <x:v>0</x:v>
      </x:c>
      <x:c r="X424" s="27" t="n">
        <x:f>IF(U424+V424-W424&lt;=0,99,1+SUM(IF(AND(C424+D424-E424&gt;0,OR('Debt strategy'!$D$9&gt;'Debt strategy'!$D$12,AND('Debt strategy'!$D$9='Debt strategy'!$D$12,0&lt;3))),1,0),IF(AND(I424+J424-K424&gt;0,OR('Debt strategy'!$D$10&gt;'Debt strategy'!$D$12,AND('Debt strategy'!$D$10='Debt strategy'!$D$12,1&lt;3))),1,0),IF(AND(O424+P424-Q424&gt;0,OR('Debt strategy'!$D$11&gt;'Debt strategy'!$D$12,AND('Debt strategy'!$D$11='Debt strategy'!$D$12,2&lt;3))),1,0),IF(AND(AA424+AB424-AC424&gt;0,OR('Debt strategy'!$D$13&gt;'Debt strategy'!$D$12,AND('Debt strategy'!$D$13='Debt strategy'!$D$12,4&lt;3))),1,0)))</x:f>
        <x:v>99</x:v>
      </x:c>
      <x:c r="Y424" s="6" t="n">
        <x:f>IF('Debt strategy'!$C$16&gt;0,0,MIN(U424+V424-W424,MAX(0,'Debt strategy'!$C$5-SUM(E424,K424,Q424,W424,AC424)-SUM(IF(F424&lt;X424,C424+D424-E424,0),IF(L424&lt;X424,I424+J424-K424,0),IF(R424&lt;X424,O424+P424-Q424,0),IF(AD424&lt;X424,AA424+AB424-AC424,0)))))</x:f>
        <x:v>0</x:v>
      </x:c>
      <x:c r="Z424" s="6" t="n">
        <x:f>ROUND(MAX(0,U424+V424-W424-Y424),2)</x:f>
        <x:v>0</x:v>
      </x:c>
      <x:c r="AA424" s="6" t="n">
        <x:f>AF423</x:f>
        <x:v>0</x:v>
      </x:c>
      <x:c r="AB424" s="6" t="n">
        <x:f>ROUND(AA424*'Debt strategy'!$D$13/12,2)</x:f>
        <x:v>0</x:v>
      </x:c>
      <x:c r="AC424" s="6" t="n">
        <x:f>MIN(AA424+AB424,'Debt strategy'!$E$13)</x:f>
        <x:v>0</x:v>
      </x:c>
      <x:c r="AD424" s="27" t="n">
        <x:f>IF(AA424+AB424-AC424&lt;=0,99,1+SUM(IF(AND(C424+D424-E424&gt;0,OR('Debt strategy'!$D$9&gt;'Debt strategy'!$D$13,AND('Debt strategy'!$D$9='Debt strategy'!$D$13,0&lt;4))),1,0),IF(AND(I424+J424-K424&gt;0,OR('Debt strategy'!$D$10&gt;'Debt strategy'!$D$13,AND('Debt strategy'!$D$10='Debt strategy'!$D$13,1&lt;4))),1,0),IF(AND(O424+P424-Q424&gt;0,OR('Debt strategy'!$D$11&gt;'Debt strategy'!$D$13,AND('Debt strategy'!$D$11='Debt strategy'!$D$13,2&lt;4))),1,0),IF(AND(U424+V424-W424&gt;0,OR('Debt strategy'!$D$12&gt;'Debt strategy'!$D$13,AND('Debt strategy'!$D$12='Debt strategy'!$D$13,3&lt;4))),1,0)))</x:f>
        <x:v>99</x:v>
      </x:c>
      <x:c r="AE424" s="6" t="n">
        <x:f>IF('Debt strategy'!$C$16&gt;0,0,MIN(AA424+AB424-AC424,MAX(0,'Debt strategy'!$C$5-SUM(E424,K424,Q424,W424,AC424)-SUM(IF(F424&lt;AD424,C424+D424-E424,0),IF(L424&lt;AD424,I424+J424-K424,0),IF(R424&lt;AD424,O424+P424-Q424,0),IF(X424&lt;AD424,U424+V424-W424,0)))))</x:f>
        <x:v>0</x:v>
      </x:c>
      <x:c r="AF424" s="6" t="n">
        <x:f>ROUND(MAX(0,AA424+AB424-AC424-AE424),2)</x:f>
        <x:v>0</x:v>
      </x:c>
      <x:c r="AG424" s="6" t="n">
        <x:f>SUM(H424,N424,T424,Z424,AF424)</x:f>
        <x:v>0</x:v>
      </x:c>
      <x:c r="AH424" s="6" t="n">
        <x:f>SUM(D424,J424,P424,V424,AB424)+AH423</x:f>
        <x:v>1220.8400000000001</x:v>
      </x:c>
      <x:c r="AI424" s="2"/>
    </x:row>
    <x:row r="425" ht="23" customHeight="1">
      <x:c r="B425" s="2" t="n">
        <x:f>417</x:f>
        <x:v>417</x:v>
      </x:c>
      <x:c r="C425" s="6" t="n">
        <x:f>H424</x:f>
        <x:v>0</x:v>
      </x:c>
      <x:c r="D425" s="6" t="n">
        <x:f>ROUND(C425*'Debt strategy'!$D$9/12,2)</x:f>
        <x:v>0</x:v>
      </x:c>
      <x:c r="E425" s="6" t="n">
        <x:f>MIN(C425+D425,'Debt strategy'!$E$9)</x:f>
        <x:v>0</x:v>
      </x:c>
      <x:c r="F425" s="27" t="n">
        <x:f>IF(C425+D425-E425&lt;=0,99,1+SUM(IF(AND(I425+J425-K425&gt;0,OR('Debt strategy'!$D$10&gt;'Debt strategy'!$D$9,AND('Debt strategy'!$D$10='Debt strategy'!$D$9,1&lt;0))),1,0),IF(AND(O425+P425-Q425&gt;0,OR('Debt strategy'!$D$11&gt;'Debt strategy'!$D$9,AND('Debt strategy'!$D$11='Debt strategy'!$D$9,2&lt;0))),1,0),IF(AND(U425+V425-W425&gt;0,OR('Debt strategy'!$D$12&gt;'Debt strategy'!$D$9,AND('Debt strategy'!$D$12='Debt strategy'!$D$9,3&lt;0))),1,0),IF(AND(AA425+AB425-AC425&gt;0,OR('Debt strategy'!$D$13&gt;'Debt strategy'!$D$9,AND('Debt strategy'!$D$13='Debt strategy'!$D$9,4&lt;0))),1,0)))</x:f>
        <x:v>99</x:v>
      </x:c>
      <x:c r="G425" s="6" t="n">
        <x:f>IF('Debt strategy'!$C$16&gt;0,0,MIN(C425+D425-E425,MAX(0,'Debt strategy'!$C$5-SUM(E425,K425,Q425,W425,AC425)-SUM(IF(L425&lt;F425,I425+J425-K425,0),IF(R425&lt;F425,O425+P425-Q425,0),IF(X425&lt;F425,U425+V425-W425,0),IF(AD425&lt;F425,AA425+AB425-AC425,0)))))</x:f>
        <x:v>0</x:v>
      </x:c>
      <x:c r="H425" s="6" t="n">
        <x:f>ROUND(MAX(0,C425+D425-E425-G425),2)</x:f>
        <x:v>0</x:v>
      </x:c>
      <x:c r="I425" s="6" t="n">
        <x:f>N424</x:f>
        <x:v>0</x:v>
      </x:c>
      <x:c r="J425" s="6" t="n">
        <x:f>ROUND(I425*'Debt strategy'!$D$10/12,2)</x:f>
        <x:v>0</x:v>
      </x:c>
      <x:c r="K425" s="6" t="n">
        <x:f>MIN(I425+J425,'Debt strategy'!$E$10)</x:f>
        <x:v>0</x:v>
      </x:c>
      <x:c r="L425" s="27" t="n">
        <x:f>IF(I425+J425-K425&lt;=0,99,1+SUM(IF(AND(C425+D425-E425&gt;0,OR('Debt strategy'!$D$9&gt;'Debt strategy'!$D$10,AND('Debt strategy'!$D$9='Debt strategy'!$D$10,0&lt;1))),1,0),IF(AND(O425+P425-Q425&gt;0,OR('Debt strategy'!$D$11&gt;'Debt strategy'!$D$10,AND('Debt strategy'!$D$11='Debt strategy'!$D$10,2&lt;1))),1,0),IF(AND(U425+V425-W425&gt;0,OR('Debt strategy'!$D$12&gt;'Debt strategy'!$D$10,AND('Debt strategy'!$D$12='Debt strategy'!$D$10,3&lt;1))),1,0),IF(AND(AA425+AB425-AC425&gt;0,OR('Debt strategy'!$D$13&gt;'Debt strategy'!$D$10,AND('Debt strategy'!$D$13='Debt strategy'!$D$10,4&lt;1))),1,0)))</x:f>
        <x:v>99</x:v>
      </x:c>
      <x:c r="M425" s="6" t="n">
        <x:f>IF('Debt strategy'!$C$16&gt;0,0,MIN(I425+J425-K425,MAX(0,'Debt strategy'!$C$5-SUM(E425,K425,Q425,W425,AC425)-SUM(IF(F425&lt;L425,C425+D425-E425,0),IF(R425&lt;L425,O425+P425-Q425,0),IF(X425&lt;L425,U425+V425-W425,0),IF(AD425&lt;L425,AA425+AB425-AC425,0)))))</x:f>
        <x:v>0</x:v>
      </x:c>
      <x:c r="N425" s="6" t="n">
        <x:f>ROUND(MAX(0,I425+J425-K425-M425),2)</x:f>
        <x:v>0</x:v>
      </x:c>
      <x:c r="O425" s="6" t="n">
        <x:f>T424</x:f>
        <x:v>0</x:v>
      </x:c>
      <x:c r="P425" s="6" t="n">
        <x:f>ROUND(O425*'Debt strategy'!$D$11/12,2)</x:f>
        <x:v>0</x:v>
      </x:c>
      <x:c r="Q425" s="6" t="n">
        <x:f>MIN(O425+P425,'Debt strategy'!$E$11)</x:f>
        <x:v>0</x:v>
      </x:c>
      <x:c r="R425" s="27" t="n">
        <x:f>IF(O425+P425-Q425&lt;=0,99,1+SUM(IF(AND(C425+D425-E425&gt;0,OR('Debt strategy'!$D$9&gt;'Debt strategy'!$D$11,AND('Debt strategy'!$D$9='Debt strategy'!$D$11,0&lt;2))),1,0),IF(AND(I425+J425-K425&gt;0,OR('Debt strategy'!$D$10&gt;'Debt strategy'!$D$11,AND('Debt strategy'!$D$10='Debt strategy'!$D$11,1&lt;2))),1,0),IF(AND(U425+V425-W425&gt;0,OR('Debt strategy'!$D$12&gt;'Debt strategy'!$D$11,AND('Debt strategy'!$D$12='Debt strategy'!$D$11,3&lt;2))),1,0),IF(AND(AA425+AB425-AC425&gt;0,OR('Debt strategy'!$D$13&gt;'Debt strategy'!$D$11,AND('Debt strategy'!$D$13='Debt strategy'!$D$11,4&lt;2))),1,0)))</x:f>
        <x:v>99</x:v>
      </x:c>
      <x:c r="S425" s="6" t="n">
        <x:f>IF('Debt strategy'!$C$16&gt;0,0,MIN(O425+P425-Q425,MAX(0,'Debt strategy'!$C$5-SUM(E425,K425,Q425,W425,AC425)-SUM(IF(F425&lt;R425,C425+D425-E425,0),IF(L425&lt;R425,I425+J425-K425,0),IF(X425&lt;R425,U425+V425-W425,0),IF(AD425&lt;R425,AA425+AB425-AC425,0)))))</x:f>
        <x:v>0</x:v>
      </x:c>
      <x:c r="T425" s="6" t="n">
        <x:f>ROUND(MAX(0,O425+P425-Q425-S425),2)</x:f>
        <x:v>0</x:v>
      </x:c>
      <x:c r="U425" s="6" t="n">
        <x:f>Z424</x:f>
        <x:v>0</x:v>
      </x:c>
      <x:c r="V425" s="6" t="n">
        <x:f>ROUND(U425*'Debt strategy'!$D$12/12,2)</x:f>
        <x:v>0</x:v>
      </x:c>
      <x:c r="W425" s="6" t="n">
        <x:f>MIN(U425+V425,'Debt strategy'!$E$12)</x:f>
        <x:v>0</x:v>
      </x:c>
      <x:c r="X425" s="27" t="n">
        <x:f>IF(U425+V425-W425&lt;=0,99,1+SUM(IF(AND(C425+D425-E425&gt;0,OR('Debt strategy'!$D$9&gt;'Debt strategy'!$D$12,AND('Debt strategy'!$D$9='Debt strategy'!$D$12,0&lt;3))),1,0),IF(AND(I425+J425-K425&gt;0,OR('Debt strategy'!$D$10&gt;'Debt strategy'!$D$12,AND('Debt strategy'!$D$10='Debt strategy'!$D$12,1&lt;3))),1,0),IF(AND(O425+P425-Q425&gt;0,OR('Debt strategy'!$D$11&gt;'Debt strategy'!$D$12,AND('Debt strategy'!$D$11='Debt strategy'!$D$12,2&lt;3))),1,0),IF(AND(AA425+AB425-AC425&gt;0,OR('Debt strategy'!$D$13&gt;'Debt strategy'!$D$12,AND('Debt strategy'!$D$13='Debt strategy'!$D$12,4&lt;3))),1,0)))</x:f>
        <x:v>99</x:v>
      </x:c>
      <x:c r="Y425" s="6" t="n">
        <x:f>IF('Debt strategy'!$C$16&gt;0,0,MIN(U425+V425-W425,MAX(0,'Debt strategy'!$C$5-SUM(E425,K425,Q425,W425,AC425)-SUM(IF(F425&lt;X425,C425+D425-E425,0),IF(L425&lt;X425,I425+J425-K425,0),IF(R425&lt;X425,O425+P425-Q425,0),IF(AD425&lt;X425,AA425+AB425-AC425,0)))))</x:f>
        <x:v>0</x:v>
      </x:c>
      <x:c r="Z425" s="6" t="n">
        <x:f>ROUND(MAX(0,U425+V425-W425-Y425),2)</x:f>
        <x:v>0</x:v>
      </x:c>
      <x:c r="AA425" s="6" t="n">
        <x:f>AF424</x:f>
        <x:v>0</x:v>
      </x:c>
      <x:c r="AB425" s="6" t="n">
        <x:f>ROUND(AA425*'Debt strategy'!$D$13/12,2)</x:f>
        <x:v>0</x:v>
      </x:c>
      <x:c r="AC425" s="6" t="n">
        <x:f>MIN(AA425+AB425,'Debt strategy'!$E$13)</x:f>
        <x:v>0</x:v>
      </x:c>
      <x:c r="AD425" s="27" t="n">
        <x:f>IF(AA425+AB425-AC425&lt;=0,99,1+SUM(IF(AND(C425+D425-E425&gt;0,OR('Debt strategy'!$D$9&gt;'Debt strategy'!$D$13,AND('Debt strategy'!$D$9='Debt strategy'!$D$13,0&lt;4))),1,0),IF(AND(I425+J425-K425&gt;0,OR('Debt strategy'!$D$10&gt;'Debt strategy'!$D$13,AND('Debt strategy'!$D$10='Debt strategy'!$D$13,1&lt;4))),1,0),IF(AND(O425+P425-Q425&gt;0,OR('Debt strategy'!$D$11&gt;'Debt strategy'!$D$13,AND('Debt strategy'!$D$11='Debt strategy'!$D$13,2&lt;4))),1,0),IF(AND(U425+V425-W425&gt;0,OR('Debt strategy'!$D$12&gt;'Debt strategy'!$D$13,AND('Debt strategy'!$D$12='Debt strategy'!$D$13,3&lt;4))),1,0)))</x:f>
        <x:v>99</x:v>
      </x:c>
      <x:c r="AE425" s="6" t="n">
        <x:f>IF('Debt strategy'!$C$16&gt;0,0,MIN(AA425+AB425-AC425,MAX(0,'Debt strategy'!$C$5-SUM(E425,K425,Q425,W425,AC425)-SUM(IF(F425&lt;AD425,C425+D425-E425,0),IF(L425&lt;AD425,I425+J425-K425,0),IF(R425&lt;AD425,O425+P425-Q425,0),IF(X425&lt;AD425,U425+V425-W425,0)))))</x:f>
        <x:v>0</x:v>
      </x:c>
      <x:c r="AF425" s="6" t="n">
        <x:f>ROUND(MAX(0,AA425+AB425-AC425-AE425),2)</x:f>
        <x:v>0</x:v>
      </x:c>
      <x:c r="AG425" s="6" t="n">
        <x:f>SUM(H425,N425,T425,Z425,AF425)</x:f>
        <x:v>0</x:v>
      </x:c>
      <x:c r="AH425" s="6" t="n">
        <x:f>SUM(D425,J425,P425,V425,AB425)+AH424</x:f>
        <x:v>1220.8400000000001</x:v>
      </x:c>
      <x:c r="AI425" s="2"/>
    </x:row>
    <x:row r="426" ht="23" customHeight="1">
      <x:c r="B426" s="2" t="n">
        <x:f>418</x:f>
        <x:v>418</x:v>
      </x:c>
      <x:c r="C426" s="6" t="n">
        <x:f>H425</x:f>
        <x:v>0</x:v>
      </x:c>
      <x:c r="D426" s="6" t="n">
        <x:f>ROUND(C426*'Debt strategy'!$D$9/12,2)</x:f>
        <x:v>0</x:v>
      </x:c>
      <x:c r="E426" s="6" t="n">
        <x:f>MIN(C426+D426,'Debt strategy'!$E$9)</x:f>
        <x:v>0</x:v>
      </x:c>
      <x:c r="F426" s="27" t="n">
        <x:f>IF(C426+D426-E426&lt;=0,99,1+SUM(IF(AND(I426+J426-K426&gt;0,OR('Debt strategy'!$D$10&gt;'Debt strategy'!$D$9,AND('Debt strategy'!$D$10='Debt strategy'!$D$9,1&lt;0))),1,0),IF(AND(O426+P426-Q426&gt;0,OR('Debt strategy'!$D$11&gt;'Debt strategy'!$D$9,AND('Debt strategy'!$D$11='Debt strategy'!$D$9,2&lt;0))),1,0),IF(AND(U426+V426-W426&gt;0,OR('Debt strategy'!$D$12&gt;'Debt strategy'!$D$9,AND('Debt strategy'!$D$12='Debt strategy'!$D$9,3&lt;0))),1,0),IF(AND(AA426+AB426-AC426&gt;0,OR('Debt strategy'!$D$13&gt;'Debt strategy'!$D$9,AND('Debt strategy'!$D$13='Debt strategy'!$D$9,4&lt;0))),1,0)))</x:f>
        <x:v>99</x:v>
      </x:c>
      <x:c r="G426" s="6" t="n">
        <x:f>IF('Debt strategy'!$C$16&gt;0,0,MIN(C426+D426-E426,MAX(0,'Debt strategy'!$C$5-SUM(E426,K426,Q426,W426,AC426)-SUM(IF(L426&lt;F426,I426+J426-K426,0),IF(R426&lt;F426,O426+P426-Q426,0),IF(X426&lt;F426,U426+V426-W426,0),IF(AD426&lt;F426,AA426+AB426-AC426,0)))))</x:f>
        <x:v>0</x:v>
      </x:c>
      <x:c r="H426" s="6" t="n">
        <x:f>ROUND(MAX(0,C426+D426-E426-G426),2)</x:f>
        <x:v>0</x:v>
      </x:c>
      <x:c r="I426" s="6" t="n">
        <x:f>N425</x:f>
        <x:v>0</x:v>
      </x:c>
      <x:c r="J426" s="6" t="n">
        <x:f>ROUND(I426*'Debt strategy'!$D$10/12,2)</x:f>
        <x:v>0</x:v>
      </x:c>
      <x:c r="K426" s="6" t="n">
        <x:f>MIN(I426+J426,'Debt strategy'!$E$10)</x:f>
        <x:v>0</x:v>
      </x:c>
      <x:c r="L426" s="27" t="n">
        <x:f>IF(I426+J426-K426&lt;=0,99,1+SUM(IF(AND(C426+D426-E426&gt;0,OR('Debt strategy'!$D$9&gt;'Debt strategy'!$D$10,AND('Debt strategy'!$D$9='Debt strategy'!$D$10,0&lt;1))),1,0),IF(AND(O426+P426-Q426&gt;0,OR('Debt strategy'!$D$11&gt;'Debt strategy'!$D$10,AND('Debt strategy'!$D$11='Debt strategy'!$D$10,2&lt;1))),1,0),IF(AND(U426+V426-W426&gt;0,OR('Debt strategy'!$D$12&gt;'Debt strategy'!$D$10,AND('Debt strategy'!$D$12='Debt strategy'!$D$10,3&lt;1))),1,0),IF(AND(AA426+AB426-AC426&gt;0,OR('Debt strategy'!$D$13&gt;'Debt strategy'!$D$10,AND('Debt strategy'!$D$13='Debt strategy'!$D$10,4&lt;1))),1,0)))</x:f>
        <x:v>99</x:v>
      </x:c>
      <x:c r="M426" s="6" t="n">
        <x:f>IF('Debt strategy'!$C$16&gt;0,0,MIN(I426+J426-K426,MAX(0,'Debt strategy'!$C$5-SUM(E426,K426,Q426,W426,AC426)-SUM(IF(F426&lt;L426,C426+D426-E426,0),IF(R426&lt;L426,O426+P426-Q426,0),IF(X426&lt;L426,U426+V426-W426,0),IF(AD426&lt;L426,AA426+AB426-AC426,0)))))</x:f>
        <x:v>0</x:v>
      </x:c>
      <x:c r="N426" s="6" t="n">
        <x:f>ROUND(MAX(0,I426+J426-K426-M426),2)</x:f>
        <x:v>0</x:v>
      </x:c>
      <x:c r="O426" s="6" t="n">
        <x:f>T425</x:f>
        <x:v>0</x:v>
      </x:c>
      <x:c r="P426" s="6" t="n">
        <x:f>ROUND(O426*'Debt strategy'!$D$11/12,2)</x:f>
        <x:v>0</x:v>
      </x:c>
      <x:c r="Q426" s="6" t="n">
        <x:f>MIN(O426+P426,'Debt strategy'!$E$11)</x:f>
        <x:v>0</x:v>
      </x:c>
      <x:c r="R426" s="27" t="n">
        <x:f>IF(O426+P426-Q426&lt;=0,99,1+SUM(IF(AND(C426+D426-E426&gt;0,OR('Debt strategy'!$D$9&gt;'Debt strategy'!$D$11,AND('Debt strategy'!$D$9='Debt strategy'!$D$11,0&lt;2))),1,0),IF(AND(I426+J426-K426&gt;0,OR('Debt strategy'!$D$10&gt;'Debt strategy'!$D$11,AND('Debt strategy'!$D$10='Debt strategy'!$D$11,1&lt;2))),1,0),IF(AND(U426+V426-W426&gt;0,OR('Debt strategy'!$D$12&gt;'Debt strategy'!$D$11,AND('Debt strategy'!$D$12='Debt strategy'!$D$11,3&lt;2))),1,0),IF(AND(AA426+AB426-AC426&gt;0,OR('Debt strategy'!$D$13&gt;'Debt strategy'!$D$11,AND('Debt strategy'!$D$13='Debt strategy'!$D$11,4&lt;2))),1,0)))</x:f>
        <x:v>99</x:v>
      </x:c>
      <x:c r="S426" s="6" t="n">
        <x:f>IF('Debt strategy'!$C$16&gt;0,0,MIN(O426+P426-Q426,MAX(0,'Debt strategy'!$C$5-SUM(E426,K426,Q426,W426,AC426)-SUM(IF(F426&lt;R426,C426+D426-E426,0),IF(L426&lt;R426,I426+J426-K426,0),IF(X426&lt;R426,U426+V426-W426,0),IF(AD426&lt;R426,AA426+AB426-AC426,0)))))</x:f>
        <x:v>0</x:v>
      </x:c>
      <x:c r="T426" s="6" t="n">
        <x:f>ROUND(MAX(0,O426+P426-Q426-S426),2)</x:f>
        <x:v>0</x:v>
      </x:c>
      <x:c r="U426" s="6" t="n">
        <x:f>Z425</x:f>
        <x:v>0</x:v>
      </x:c>
      <x:c r="V426" s="6" t="n">
        <x:f>ROUND(U426*'Debt strategy'!$D$12/12,2)</x:f>
        <x:v>0</x:v>
      </x:c>
      <x:c r="W426" s="6" t="n">
        <x:f>MIN(U426+V426,'Debt strategy'!$E$12)</x:f>
        <x:v>0</x:v>
      </x:c>
      <x:c r="X426" s="27" t="n">
        <x:f>IF(U426+V426-W426&lt;=0,99,1+SUM(IF(AND(C426+D426-E426&gt;0,OR('Debt strategy'!$D$9&gt;'Debt strategy'!$D$12,AND('Debt strategy'!$D$9='Debt strategy'!$D$12,0&lt;3))),1,0),IF(AND(I426+J426-K426&gt;0,OR('Debt strategy'!$D$10&gt;'Debt strategy'!$D$12,AND('Debt strategy'!$D$10='Debt strategy'!$D$12,1&lt;3))),1,0),IF(AND(O426+P426-Q426&gt;0,OR('Debt strategy'!$D$11&gt;'Debt strategy'!$D$12,AND('Debt strategy'!$D$11='Debt strategy'!$D$12,2&lt;3))),1,0),IF(AND(AA426+AB426-AC426&gt;0,OR('Debt strategy'!$D$13&gt;'Debt strategy'!$D$12,AND('Debt strategy'!$D$13='Debt strategy'!$D$12,4&lt;3))),1,0)))</x:f>
        <x:v>99</x:v>
      </x:c>
      <x:c r="Y426" s="6" t="n">
        <x:f>IF('Debt strategy'!$C$16&gt;0,0,MIN(U426+V426-W426,MAX(0,'Debt strategy'!$C$5-SUM(E426,K426,Q426,W426,AC426)-SUM(IF(F426&lt;X426,C426+D426-E426,0),IF(L426&lt;X426,I426+J426-K426,0),IF(R426&lt;X426,O426+P426-Q426,0),IF(AD426&lt;X426,AA426+AB426-AC426,0)))))</x:f>
        <x:v>0</x:v>
      </x:c>
      <x:c r="Z426" s="6" t="n">
        <x:f>ROUND(MAX(0,U426+V426-W426-Y426),2)</x:f>
        <x:v>0</x:v>
      </x:c>
      <x:c r="AA426" s="6" t="n">
        <x:f>AF425</x:f>
        <x:v>0</x:v>
      </x:c>
      <x:c r="AB426" s="6" t="n">
        <x:f>ROUND(AA426*'Debt strategy'!$D$13/12,2)</x:f>
        <x:v>0</x:v>
      </x:c>
      <x:c r="AC426" s="6" t="n">
        <x:f>MIN(AA426+AB426,'Debt strategy'!$E$13)</x:f>
        <x:v>0</x:v>
      </x:c>
      <x:c r="AD426" s="27" t="n">
        <x:f>IF(AA426+AB426-AC426&lt;=0,99,1+SUM(IF(AND(C426+D426-E426&gt;0,OR('Debt strategy'!$D$9&gt;'Debt strategy'!$D$13,AND('Debt strategy'!$D$9='Debt strategy'!$D$13,0&lt;4))),1,0),IF(AND(I426+J426-K426&gt;0,OR('Debt strategy'!$D$10&gt;'Debt strategy'!$D$13,AND('Debt strategy'!$D$10='Debt strategy'!$D$13,1&lt;4))),1,0),IF(AND(O426+P426-Q426&gt;0,OR('Debt strategy'!$D$11&gt;'Debt strategy'!$D$13,AND('Debt strategy'!$D$11='Debt strategy'!$D$13,2&lt;4))),1,0),IF(AND(U426+V426-W426&gt;0,OR('Debt strategy'!$D$12&gt;'Debt strategy'!$D$13,AND('Debt strategy'!$D$12='Debt strategy'!$D$13,3&lt;4))),1,0)))</x:f>
        <x:v>99</x:v>
      </x:c>
      <x:c r="AE426" s="6" t="n">
        <x:f>IF('Debt strategy'!$C$16&gt;0,0,MIN(AA426+AB426-AC426,MAX(0,'Debt strategy'!$C$5-SUM(E426,K426,Q426,W426,AC426)-SUM(IF(F426&lt;AD426,C426+D426-E426,0),IF(L426&lt;AD426,I426+J426-K426,0),IF(R426&lt;AD426,O426+P426-Q426,0),IF(X426&lt;AD426,U426+V426-W426,0)))))</x:f>
        <x:v>0</x:v>
      </x:c>
      <x:c r="AF426" s="6" t="n">
        <x:f>ROUND(MAX(0,AA426+AB426-AC426-AE426),2)</x:f>
        <x:v>0</x:v>
      </x:c>
      <x:c r="AG426" s="6" t="n">
        <x:f>SUM(H426,N426,T426,Z426,AF426)</x:f>
        <x:v>0</x:v>
      </x:c>
      <x:c r="AH426" s="6" t="n">
        <x:f>SUM(D426,J426,P426,V426,AB426)+AH425</x:f>
        <x:v>1220.8400000000001</x:v>
      </x:c>
      <x:c r="AI426" s="2"/>
    </x:row>
    <x:row r="427" ht="23" customHeight="1">
      <x:c r="B427" s="2" t="n">
        <x:f>419</x:f>
        <x:v>419</x:v>
      </x:c>
      <x:c r="C427" s="6" t="n">
        <x:f>H426</x:f>
        <x:v>0</x:v>
      </x:c>
      <x:c r="D427" s="6" t="n">
        <x:f>ROUND(C427*'Debt strategy'!$D$9/12,2)</x:f>
        <x:v>0</x:v>
      </x:c>
      <x:c r="E427" s="6" t="n">
        <x:f>MIN(C427+D427,'Debt strategy'!$E$9)</x:f>
        <x:v>0</x:v>
      </x:c>
      <x:c r="F427" s="27" t="n">
        <x:f>IF(C427+D427-E427&lt;=0,99,1+SUM(IF(AND(I427+J427-K427&gt;0,OR('Debt strategy'!$D$10&gt;'Debt strategy'!$D$9,AND('Debt strategy'!$D$10='Debt strategy'!$D$9,1&lt;0))),1,0),IF(AND(O427+P427-Q427&gt;0,OR('Debt strategy'!$D$11&gt;'Debt strategy'!$D$9,AND('Debt strategy'!$D$11='Debt strategy'!$D$9,2&lt;0))),1,0),IF(AND(U427+V427-W427&gt;0,OR('Debt strategy'!$D$12&gt;'Debt strategy'!$D$9,AND('Debt strategy'!$D$12='Debt strategy'!$D$9,3&lt;0))),1,0),IF(AND(AA427+AB427-AC427&gt;0,OR('Debt strategy'!$D$13&gt;'Debt strategy'!$D$9,AND('Debt strategy'!$D$13='Debt strategy'!$D$9,4&lt;0))),1,0)))</x:f>
        <x:v>99</x:v>
      </x:c>
      <x:c r="G427" s="6" t="n">
        <x:f>IF('Debt strategy'!$C$16&gt;0,0,MIN(C427+D427-E427,MAX(0,'Debt strategy'!$C$5-SUM(E427,K427,Q427,W427,AC427)-SUM(IF(L427&lt;F427,I427+J427-K427,0),IF(R427&lt;F427,O427+P427-Q427,0),IF(X427&lt;F427,U427+V427-W427,0),IF(AD427&lt;F427,AA427+AB427-AC427,0)))))</x:f>
        <x:v>0</x:v>
      </x:c>
      <x:c r="H427" s="6" t="n">
        <x:f>ROUND(MAX(0,C427+D427-E427-G427),2)</x:f>
        <x:v>0</x:v>
      </x:c>
      <x:c r="I427" s="6" t="n">
        <x:f>N426</x:f>
        <x:v>0</x:v>
      </x:c>
      <x:c r="J427" s="6" t="n">
        <x:f>ROUND(I427*'Debt strategy'!$D$10/12,2)</x:f>
        <x:v>0</x:v>
      </x:c>
      <x:c r="K427" s="6" t="n">
        <x:f>MIN(I427+J427,'Debt strategy'!$E$10)</x:f>
        <x:v>0</x:v>
      </x:c>
      <x:c r="L427" s="27" t="n">
        <x:f>IF(I427+J427-K427&lt;=0,99,1+SUM(IF(AND(C427+D427-E427&gt;0,OR('Debt strategy'!$D$9&gt;'Debt strategy'!$D$10,AND('Debt strategy'!$D$9='Debt strategy'!$D$10,0&lt;1))),1,0),IF(AND(O427+P427-Q427&gt;0,OR('Debt strategy'!$D$11&gt;'Debt strategy'!$D$10,AND('Debt strategy'!$D$11='Debt strategy'!$D$10,2&lt;1))),1,0),IF(AND(U427+V427-W427&gt;0,OR('Debt strategy'!$D$12&gt;'Debt strategy'!$D$10,AND('Debt strategy'!$D$12='Debt strategy'!$D$10,3&lt;1))),1,0),IF(AND(AA427+AB427-AC427&gt;0,OR('Debt strategy'!$D$13&gt;'Debt strategy'!$D$10,AND('Debt strategy'!$D$13='Debt strategy'!$D$10,4&lt;1))),1,0)))</x:f>
        <x:v>99</x:v>
      </x:c>
      <x:c r="M427" s="6" t="n">
        <x:f>IF('Debt strategy'!$C$16&gt;0,0,MIN(I427+J427-K427,MAX(0,'Debt strategy'!$C$5-SUM(E427,K427,Q427,W427,AC427)-SUM(IF(F427&lt;L427,C427+D427-E427,0),IF(R427&lt;L427,O427+P427-Q427,0),IF(X427&lt;L427,U427+V427-W427,0),IF(AD427&lt;L427,AA427+AB427-AC427,0)))))</x:f>
        <x:v>0</x:v>
      </x:c>
      <x:c r="N427" s="6" t="n">
        <x:f>ROUND(MAX(0,I427+J427-K427-M427),2)</x:f>
        <x:v>0</x:v>
      </x:c>
      <x:c r="O427" s="6" t="n">
        <x:f>T426</x:f>
        <x:v>0</x:v>
      </x:c>
      <x:c r="P427" s="6" t="n">
        <x:f>ROUND(O427*'Debt strategy'!$D$11/12,2)</x:f>
        <x:v>0</x:v>
      </x:c>
      <x:c r="Q427" s="6" t="n">
        <x:f>MIN(O427+P427,'Debt strategy'!$E$11)</x:f>
        <x:v>0</x:v>
      </x:c>
      <x:c r="R427" s="27" t="n">
        <x:f>IF(O427+P427-Q427&lt;=0,99,1+SUM(IF(AND(C427+D427-E427&gt;0,OR('Debt strategy'!$D$9&gt;'Debt strategy'!$D$11,AND('Debt strategy'!$D$9='Debt strategy'!$D$11,0&lt;2))),1,0),IF(AND(I427+J427-K427&gt;0,OR('Debt strategy'!$D$10&gt;'Debt strategy'!$D$11,AND('Debt strategy'!$D$10='Debt strategy'!$D$11,1&lt;2))),1,0),IF(AND(U427+V427-W427&gt;0,OR('Debt strategy'!$D$12&gt;'Debt strategy'!$D$11,AND('Debt strategy'!$D$12='Debt strategy'!$D$11,3&lt;2))),1,0),IF(AND(AA427+AB427-AC427&gt;0,OR('Debt strategy'!$D$13&gt;'Debt strategy'!$D$11,AND('Debt strategy'!$D$13='Debt strategy'!$D$11,4&lt;2))),1,0)))</x:f>
        <x:v>99</x:v>
      </x:c>
      <x:c r="S427" s="6" t="n">
        <x:f>IF('Debt strategy'!$C$16&gt;0,0,MIN(O427+P427-Q427,MAX(0,'Debt strategy'!$C$5-SUM(E427,K427,Q427,W427,AC427)-SUM(IF(F427&lt;R427,C427+D427-E427,0),IF(L427&lt;R427,I427+J427-K427,0),IF(X427&lt;R427,U427+V427-W427,0),IF(AD427&lt;R427,AA427+AB427-AC427,0)))))</x:f>
        <x:v>0</x:v>
      </x:c>
      <x:c r="T427" s="6" t="n">
        <x:f>ROUND(MAX(0,O427+P427-Q427-S427),2)</x:f>
        <x:v>0</x:v>
      </x:c>
      <x:c r="U427" s="6" t="n">
        <x:f>Z426</x:f>
        <x:v>0</x:v>
      </x:c>
      <x:c r="V427" s="6" t="n">
        <x:f>ROUND(U427*'Debt strategy'!$D$12/12,2)</x:f>
        <x:v>0</x:v>
      </x:c>
      <x:c r="W427" s="6" t="n">
        <x:f>MIN(U427+V427,'Debt strategy'!$E$12)</x:f>
        <x:v>0</x:v>
      </x:c>
      <x:c r="X427" s="27" t="n">
        <x:f>IF(U427+V427-W427&lt;=0,99,1+SUM(IF(AND(C427+D427-E427&gt;0,OR('Debt strategy'!$D$9&gt;'Debt strategy'!$D$12,AND('Debt strategy'!$D$9='Debt strategy'!$D$12,0&lt;3))),1,0),IF(AND(I427+J427-K427&gt;0,OR('Debt strategy'!$D$10&gt;'Debt strategy'!$D$12,AND('Debt strategy'!$D$10='Debt strategy'!$D$12,1&lt;3))),1,0),IF(AND(O427+P427-Q427&gt;0,OR('Debt strategy'!$D$11&gt;'Debt strategy'!$D$12,AND('Debt strategy'!$D$11='Debt strategy'!$D$12,2&lt;3))),1,0),IF(AND(AA427+AB427-AC427&gt;0,OR('Debt strategy'!$D$13&gt;'Debt strategy'!$D$12,AND('Debt strategy'!$D$13='Debt strategy'!$D$12,4&lt;3))),1,0)))</x:f>
        <x:v>99</x:v>
      </x:c>
      <x:c r="Y427" s="6" t="n">
        <x:f>IF('Debt strategy'!$C$16&gt;0,0,MIN(U427+V427-W427,MAX(0,'Debt strategy'!$C$5-SUM(E427,K427,Q427,W427,AC427)-SUM(IF(F427&lt;X427,C427+D427-E427,0),IF(L427&lt;X427,I427+J427-K427,0),IF(R427&lt;X427,O427+P427-Q427,0),IF(AD427&lt;X427,AA427+AB427-AC427,0)))))</x:f>
        <x:v>0</x:v>
      </x:c>
      <x:c r="Z427" s="6" t="n">
        <x:f>ROUND(MAX(0,U427+V427-W427-Y427),2)</x:f>
        <x:v>0</x:v>
      </x:c>
      <x:c r="AA427" s="6" t="n">
        <x:f>AF426</x:f>
        <x:v>0</x:v>
      </x:c>
      <x:c r="AB427" s="6" t="n">
        <x:f>ROUND(AA427*'Debt strategy'!$D$13/12,2)</x:f>
        <x:v>0</x:v>
      </x:c>
      <x:c r="AC427" s="6" t="n">
        <x:f>MIN(AA427+AB427,'Debt strategy'!$E$13)</x:f>
        <x:v>0</x:v>
      </x:c>
      <x:c r="AD427" s="27" t="n">
        <x:f>IF(AA427+AB427-AC427&lt;=0,99,1+SUM(IF(AND(C427+D427-E427&gt;0,OR('Debt strategy'!$D$9&gt;'Debt strategy'!$D$13,AND('Debt strategy'!$D$9='Debt strategy'!$D$13,0&lt;4))),1,0),IF(AND(I427+J427-K427&gt;0,OR('Debt strategy'!$D$10&gt;'Debt strategy'!$D$13,AND('Debt strategy'!$D$10='Debt strategy'!$D$13,1&lt;4))),1,0),IF(AND(O427+P427-Q427&gt;0,OR('Debt strategy'!$D$11&gt;'Debt strategy'!$D$13,AND('Debt strategy'!$D$11='Debt strategy'!$D$13,2&lt;4))),1,0),IF(AND(U427+V427-W427&gt;0,OR('Debt strategy'!$D$12&gt;'Debt strategy'!$D$13,AND('Debt strategy'!$D$12='Debt strategy'!$D$13,3&lt;4))),1,0)))</x:f>
        <x:v>99</x:v>
      </x:c>
      <x:c r="AE427" s="6" t="n">
        <x:f>IF('Debt strategy'!$C$16&gt;0,0,MIN(AA427+AB427-AC427,MAX(0,'Debt strategy'!$C$5-SUM(E427,K427,Q427,W427,AC427)-SUM(IF(F427&lt;AD427,C427+D427-E427,0),IF(L427&lt;AD427,I427+J427-K427,0),IF(R427&lt;AD427,O427+P427-Q427,0),IF(X427&lt;AD427,U427+V427-W427,0)))))</x:f>
        <x:v>0</x:v>
      </x:c>
      <x:c r="AF427" s="6" t="n">
        <x:f>ROUND(MAX(0,AA427+AB427-AC427-AE427),2)</x:f>
        <x:v>0</x:v>
      </x:c>
      <x:c r="AG427" s="6" t="n">
        <x:f>SUM(H427,N427,T427,Z427,AF427)</x:f>
        <x:v>0</x:v>
      </x:c>
      <x:c r="AH427" s="6" t="n">
        <x:f>SUM(D427,J427,P427,V427,AB427)+AH426</x:f>
        <x:v>1220.8400000000001</x:v>
      </x:c>
      <x:c r="AI427" s="2"/>
    </x:row>
    <x:row r="428" ht="23" customHeight="1">
      <x:c r="B428" s="2" t="n">
        <x:f>420</x:f>
        <x:v>420</x:v>
      </x:c>
      <x:c r="C428" s="6" t="n">
        <x:f>H427</x:f>
        <x:v>0</x:v>
      </x:c>
      <x:c r="D428" s="6" t="n">
        <x:f>ROUND(C428*'Debt strategy'!$D$9/12,2)</x:f>
        <x:v>0</x:v>
      </x:c>
      <x:c r="E428" s="6" t="n">
        <x:f>MIN(C428+D428,'Debt strategy'!$E$9)</x:f>
        <x:v>0</x:v>
      </x:c>
      <x:c r="F428" s="27" t="n">
        <x:f>IF(C428+D428-E428&lt;=0,99,1+SUM(IF(AND(I428+J428-K428&gt;0,OR('Debt strategy'!$D$10&gt;'Debt strategy'!$D$9,AND('Debt strategy'!$D$10='Debt strategy'!$D$9,1&lt;0))),1,0),IF(AND(O428+P428-Q428&gt;0,OR('Debt strategy'!$D$11&gt;'Debt strategy'!$D$9,AND('Debt strategy'!$D$11='Debt strategy'!$D$9,2&lt;0))),1,0),IF(AND(U428+V428-W428&gt;0,OR('Debt strategy'!$D$12&gt;'Debt strategy'!$D$9,AND('Debt strategy'!$D$12='Debt strategy'!$D$9,3&lt;0))),1,0),IF(AND(AA428+AB428-AC428&gt;0,OR('Debt strategy'!$D$13&gt;'Debt strategy'!$D$9,AND('Debt strategy'!$D$13='Debt strategy'!$D$9,4&lt;0))),1,0)))</x:f>
        <x:v>99</x:v>
      </x:c>
      <x:c r="G428" s="6" t="n">
        <x:f>IF('Debt strategy'!$C$16&gt;0,0,MIN(C428+D428-E428,MAX(0,'Debt strategy'!$C$5-SUM(E428,K428,Q428,W428,AC428)-SUM(IF(L428&lt;F428,I428+J428-K428,0),IF(R428&lt;F428,O428+P428-Q428,0),IF(X428&lt;F428,U428+V428-W428,0),IF(AD428&lt;F428,AA428+AB428-AC428,0)))))</x:f>
        <x:v>0</x:v>
      </x:c>
      <x:c r="H428" s="6" t="n">
        <x:f>ROUND(MAX(0,C428+D428-E428-G428),2)</x:f>
        <x:v>0</x:v>
      </x:c>
      <x:c r="I428" s="6" t="n">
        <x:f>N427</x:f>
        <x:v>0</x:v>
      </x:c>
      <x:c r="J428" s="6" t="n">
        <x:f>ROUND(I428*'Debt strategy'!$D$10/12,2)</x:f>
        <x:v>0</x:v>
      </x:c>
      <x:c r="K428" s="6" t="n">
        <x:f>MIN(I428+J428,'Debt strategy'!$E$10)</x:f>
        <x:v>0</x:v>
      </x:c>
      <x:c r="L428" s="27" t="n">
        <x:f>IF(I428+J428-K428&lt;=0,99,1+SUM(IF(AND(C428+D428-E428&gt;0,OR('Debt strategy'!$D$9&gt;'Debt strategy'!$D$10,AND('Debt strategy'!$D$9='Debt strategy'!$D$10,0&lt;1))),1,0),IF(AND(O428+P428-Q428&gt;0,OR('Debt strategy'!$D$11&gt;'Debt strategy'!$D$10,AND('Debt strategy'!$D$11='Debt strategy'!$D$10,2&lt;1))),1,0),IF(AND(U428+V428-W428&gt;0,OR('Debt strategy'!$D$12&gt;'Debt strategy'!$D$10,AND('Debt strategy'!$D$12='Debt strategy'!$D$10,3&lt;1))),1,0),IF(AND(AA428+AB428-AC428&gt;0,OR('Debt strategy'!$D$13&gt;'Debt strategy'!$D$10,AND('Debt strategy'!$D$13='Debt strategy'!$D$10,4&lt;1))),1,0)))</x:f>
        <x:v>99</x:v>
      </x:c>
      <x:c r="M428" s="6" t="n">
        <x:f>IF('Debt strategy'!$C$16&gt;0,0,MIN(I428+J428-K428,MAX(0,'Debt strategy'!$C$5-SUM(E428,K428,Q428,W428,AC428)-SUM(IF(F428&lt;L428,C428+D428-E428,0),IF(R428&lt;L428,O428+P428-Q428,0),IF(X428&lt;L428,U428+V428-W428,0),IF(AD428&lt;L428,AA428+AB428-AC428,0)))))</x:f>
        <x:v>0</x:v>
      </x:c>
      <x:c r="N428" s="6" t="n">
        <x:f>ROUND(MAX(0,I428+J428-K428-M428),2)</x:f>
        <x:v>0</x:v>
      </x:c>
      <x:c r="O428" s="6" t="n">
        <x:f>T427</x:f>
        <x:v>0</x:v>
      </x:c>
      <x:c r="P428" s="6" t="n">
        <x:f>ROUND(O428*'Debt strategy'!$D$11/12,2)</x:f>
        <x:v>0</x:v>
      </x:c>
      <x:c r="Q428" s="6" t="n">
        <x:f>MIN(O428+P428,'Debt strategy'!$E$11)</x:f>
        <x:v>0</x:v>
      </x:c>
      <x:c r="R428" s="27" t="n">
        <x:f>IF(O428+P428-Q428&lt;=0,99,1+SUM(IF(AND(C428+D428-E428&gt;0,OR('Debt strategy'!$D$9&gt;'Debt strategy'!$D$11,AND('Debt strategy'!$D$9='Debt strategy'!$D$11,0&lt;2))),1,0),IF(AND(I428+J428-K428&gt;0,OR('Debt strategy'!$D$10&gt;'Debt strategy'!$D$11,AND('Debt strategy'!$D$10='Debt strategy'!$D$11,1&lt;2))),1,0),IF(AND(U428+V428-W428&gt;0,OR('Debt strategy'!$D$12&gt;'Debt strategy'!$D$11,AND('Debt strategy'!$D$12='Debt strategy'!$D$11,3&lt;2))),1,0),IF(AND(AA428+AB428-AC428&gt;0,OR('Debt strategy'!$D$13&gt;'Debt strategy'!$D$11,AND('Debt strategy'!$D$13='Debt strategy'!$D$11,4&lt;2))),1,0)))</x:f>
        <x:v>99</x:v>
      </x:c>
      <x:c r="S428" s="6" t="n">
        <x:f>IF('Debt strategy'!$C$16&gt;0,0,MIN(O428+P428-Q428,MAX(0,'Debt strategy'!$C$5-SUM(E428,K428,Q428,W428,AC428)-SUM(IF(F428&lt;R428,C428+D428-E428,0),IF(L428&lt;R428,I428+J428-K428,0),IF(X428&lt;R428,U428+V428-W428,0),IF(AD428&lt;R428,AA428+AB428-AC428,0)))))</x:f>
        <x:v>0</x:v>
      </x:c>
      <x:c r="T428" s="6" t="n">
        <x:f>ROUND(MAX(0,O428+P428-Q428-S428),2)</x:f>
        <x:v>0</x:v>
      </x:c>
      <x:c r="U428" s="6" t="n">
        <x:f>Z427</x:f>
        <x:v>0</x:v>
      </x:c>
      <x:c r="V428" s="6" t="n">
        <x:f>ROUND(U428*'Debt strategy'!$D$12/12,2)</x:f>
        <x:v>0</x:v>
      </x:c>
      <x:c r="W428" s="6" t="n">
        <x:f>MIN(U428+V428,'Debt strategy'!$E$12)</x:f>
        <x:v>0</x:v>
      </x:c>
      <x:c r="X428" s="27" t="n">
        <x:f>IF(U428+V428-W428&lt;=0,99,1+SUM(IF(AND(C428+D428-E428&gt;0,OR('Debt strategy'!$D$9&gt;'Debt strategy'!$D$12,AND('Debt strategy'!$D$9='Debt strategy'!$D$12,0&lt;3))),1,0),IF(AND(I428+J428-K428&gt;0,OR('Debt strategy'!$D$10&gt;'Debt strategy'!$D$12,AND('Debt strategy'!$D$10='Debt strategy'!$D$12,1&lt;3))),1,0),IF(AND(O428+P428-Q428&gt;0,OR('Debt strategy'!$D$11&gt;'Debt strategy'!$D$12,AND('Debt strategy'!$D$11='Debt strategy'!$D$12,2&lt;3))),1,0),IF(AND(AA428+AB428-AC428&gt;0,OR('Debt strategy'!$D$13&gt;'Debt strategy'!$D$12,AND('Debt strategy'!$D$13='Debt strategy'!$D$12,4&lt;3))),1,0)))</x:f>
        <x:v>99</x:v>
      </x:c>
      <x:c r="Y428" s="6" t="n">
        <x:f>IF('Debt strategy'!$C$16&gt;0,0,MIN(U428+V428-W428,MAX(0,'Debt strategy'!$C$5-SUM(E428,K428,Q428,W428,AC428)-SUM(IF(F428&lt;X428,C428+D428-E428,0),IF(L428&lt;X428,I428+J428-K428,0),IF(R428&lt;X428,O428+P428-Q428,0),IF(AD428&lt;X428,AA428+AB428-AC428,0)))))</x:f>
        <x:v>0</x:v>
      </x:c>
      <x:c r="Z428" s="6" t="n">
        <x:f>ROUND(MAX(0,U428+V428-W428-Y428),2)</x:f>
        <x:v>0</x:v>
      </x:c>
      <x:c r="AA428" s="6" t="n">
        <x:f>AF427</x:f>
        <x:v>0</x:v>
      </x:c>
      <x:c r="AB428" s="6" t="n">
        <x:f>ROUND(AA428*'Debt strategy'!$D$13/12,2)</x:f>
        <x:v>0</x:v>
      </x:c>
      <x:c r="AC428" s="6" t="n">
        <x:f>MIN(AA428+AB428,'Debt strategy'!$E$13)</x:f>
        <x:v>0</x:v>
      </x:c>
      <x:c r="AD428" s="27" t="n">
        <x:f>IF(AA428+AB428-AC428&lt;=0,99,1+SUM(IF(AND(C428+D428-E428&gt;0,OR('Debt strategy'!$D$9&gt;'Debt strategy'!$D$13,AND('Debt strategy'!$D$9='Debt strategy'!$D$13,0&lt;4))),1,0),IF(AND(I428+J428-K428&gt;0,OR('Debt strategy'!$D$10&gt;'Debt strategy'!$D$13,AND('Debt strategy'!$D$10='Debt strategy'!$D$13,1&lt;4))),1,0),IF(AND(O428+P428-Q428&gt;0,OR('Debt strategy'!$D$11&gt;'Debt strategy'!$D$13,AND('Debt strategy'!$D$11='Debt strategy'!$D$13,2&lt;4))),1,0),IF(AND(U428+V428-W428&gt;0,OR('Debt strategy'!$D$12&gt;'Debt strategy'!$D$13,AND('Debt strategy'!$D$12='Debt strategy'!$D$13,3&lt;4))),1,0)))</x:f>
        <x:v>99</x:v>
      </x:c>
      <x:c r="AE428" s="6" t="n">
        <x:f>IF('Debt strategy'!$C$16&gt;0,0,MIN(AA428+AB428-AC428,MAX(0,'Debt strategy'!$C$5-SUM(E428,K428,Q428,W428,AC428)-SUM(IF(F428&lt;AD428,C428+D428-E428,0),IF(L428&lt;AD428,I428+J428-K428,0),IF(R428&lt;AD428,O428+P428-Q428,0),IF(X428&lt;AD428,U428+V428-W428,0)))))</x:f>
        <x:v>0</x:v>
      </x:c>
      <x:c r="AF428" s="6" t="n">
        <x:f>ROUND(MAX(0,AA428+AB428-AC428-AE428),2)</x:f>
        <x:v>0</x:v>
      </x:c>
      <x:c r="AG428" s="6" t="n">
        <x:f>SUM(H428,N428,T428,Z428,AF428)</x:f>
        <x:v>0</x:v>
      </x:c>
      <x:c r="AH428" s="6" t="n">
        <x:f>SUM(D428,J428,P428,V428,AB428)+AH427</x:f>
        <x:v>1220.8400000000001</x:v>
      </x:c>
      <x:c r="AI428" s="2"/>
    </x:row>
    <x:row r="429" ht="23" customHeight="1">
      <x:c r="B429" s="2" t="n">
        <x:f>421</x:f>
        <x:v>421</x:v>
      </x:c>
      <x:c r="C429" s="6" t="n">
        <x:f>H428</x:f>
        <x:v>0</x:v>
      </x:c>
      <x:c r="D429" s="6" t="n">
        <x:f>ROUND(C429*'Debt strategy'!$D$9/12,2)</x:f>
        <x:v>0</x:v>
      </x:c>
      <x:c r="E429" s="6" t="n">
        <x:f>MIN(C429+D429,'Debt strategy'!$E$9)</x:f>
        <x:v>0</x:v>
      </x:c>
      <x:c r="F429" s="27" t="n">
        <x:f>IF(C429+D429-E429&lt;=0,99,1+SUM(IF(AND(I429+J429-K429&gt;0,OR('Debt strategy'!$D$10&gt;'Debt strategy'!$D$9,AND('Debt strategy'!$D$10='Debt strategy'!$D$9,1&lt;0))),1,0),IF(AND(O429+P429-Q429&gt;0,OR('Debt strategy'!$D$11&gt;'Debt strategy'!$D$9,AND('Debt strategy'!$D$11='Debt strategy'!$D$9,2&lt;0))),1,0),IF(AND(U429+V429-W429&gt;0,OR('Debt strategy'!$D$12&gt;'Debt strategy'!$D$9,AND('Debt strategy'!$D$12='Debt strategy'!$D$9,3&lt;0))),1,0),IF(AND(AA429+AB429-AC429&gt;0,OR('Debt strategy'!$D$13&gt;'Debt strategy'!$D$9,AND('Debt strategy'!$D$13='Debt strategy'!$D$9,4&lt;0))),1,0)))</x:f>
        <x:v>99</x:v>
      </x:c>
      <x:c r="G429" s="6" t="n">
        <x:f>IF('Debt strategy'!$C$16&gt;0,0,MIN(C429+D429-E429,MAX(0,'Debt strategy'!$C$5-SUM(E429,K429,Q429,W429,AC429)-SUM(IF(L429&lt;F429,I429+J429-K429,0),IF(R429&lt;F429,O429+P429-Q429,0),IF(X429&lt;F429,U429+V429-W429,0),IF(AD429&lt;F429,AA429+AB429-AC429,0)))))</x:f>
        <x:v>0</x:v>
      </x:c>
      <x:c r="H429" s="6" t="n">
        <x:f>ROUND(MAX(0,C429+D429-E429-G429),2)</x:f>
        <x:v>0</x:v>
      </x:c>
      <x:c r="I429" s="6" t="n">
        <x:f>N428</x:f>
        <x:v>0</x:v>
      </x:c>
      <x:c r="J429" s="6" t="n">
        <x:f>ROUND(I429*'Debt strategy'!$D$10/12,2)</x:f>
        <x:v>0</x:v>
      </x:c>
      <x:c r="K429" s="6" t="n">
        <x:f>MIN(I429+J429,'Debt strategy'!$E$10)</x:f>
        <x:v>0</x:v>
      </x:c>
      <x:c r="L429" s="27" t="n">
        <x:f>IF(I429+J429-K429&lt;=0,99,1+SUM(IF(AND(C429+D429-E429&gt;0,OR('Debt strategy'!$D$9&gt;'Debt strategy'!$D$10,AND('Debt strategy'!$D$9='Debt strategy'!$D$10,0&lt;1))),1,0),IF(AND(O429+P429-Q429&gt;0,OR('Debt strategy'!$D$11&gt;'Debt strategy'!$D$10,AND('Debt strategy'!$D$11='Debt strategy'!$D$10,2&lt;1))),1,0),IF(AND(U429+V429-W429&gt;0,OR('Debt strategy'!$D$12&gt;'Debt strategy'!$D$10,AND('Debt strategy'!$D$12='Debt strategy'!$D$10,3&lt;1))),1,0),IF(AND(AA429+AB429-AC429&gt;0,OR('Debt strategy'!$D$13&gt;'Debt strategy'!$D$10,AND('Debt strategy'!$D$13='Debt strategy'!$D$10,4&lt;1))),1,0)))</x:f>
        <x:v>99</x:v>
      </x:c>
      <x:c r="M429" s="6" t="n">
        <x:f>IF('Debt strategy'!$C$16&gt;0,0,MIN(I429+J429-K429,MAX(0,'Debt strategy'!$C$5-SUM(E429,K429,Q429,W429,AC429)-SUM(IF(F429&lt;L429,C429+D429-E429,0),IF(R429&lt;L429,O429+P429-Q429,0),IF(X429&lt;L429,U429+V429-W429,0),IF(AD429&lt;L429,AA429+AB429-AC429,0)))))</x:f>
        <x:v>0</x:v>
      </x:c>
      <x:c r="N429" s="6" t="n">
        <x:f>ROUND(MAX(0,I429+J429-K429-M429),2)</x:f>
        <x:v>0</x:v>
      </x:c>
      <x:c r="O429" s="6" t="n">
        <x:f>T428</x:f>
        <x:v>0</x:v>
      </x:c>
      <x:c r="P429" s="6" t="n">
        <x:f>ROUND(O429*'Debt strategy'!$D$11/12,2)</x:f>
        <x:v>0</x:v>
      </x:c>
      <x:c r="Q429" s="6" t="n">
        <x:f>MIN(O429+P429,'Debt strategy'!$E$11)</x:f>
        <x:v>0</x:v>
      </x:c>
      <x:c r="R429" s="27" t="n">
        <x:f>IF(O429+P429-Q429&lt;=0,99,1+SUM(IF(AND(C429+D429-E429&gt;0,OR('Debt strategy'!$D$9&gt;'Debt strategy'!$D$11,AND('Debt strategy'!$D$9='Debt strategy'!$D$11,0&lt;2))),1,0),IF(AND(I429+J429-K429&gt;0,OR('Debt strategy'!$D$10&gt;'Debt strategy'!$D$11,AND('Debt strategy'!$D$10='Debt strategy'!$D$11,1&lt;2))),1,0),IF(AND(U429+V429-W429&gt;0,OR('Debt strategy'!$D$12&gt;'Debt strategy'!$D$11,AND('Debt strategy'!$D$12='Debt strategy'!$D$11,3&lt;2))),1,0),IF(AND(AA429+AB429-AC429&gt;0,OR('Debt strategy'!$D$13&gt;'Debt strategy'!$D$11,AND('Debt strategy'!$D$13='Debt strategy'!$D$11,4&lt;2))),1,0)))</x:f>
        <x:v>99</x:v>
      </x:c>
      <x:c r="S429" s="6" t="n">
        <x:f>IF('Debt strategy'!$C$16&gt;0,0,MIN(O429+P429-Q429,MAX(0,'Debt strategy'!$C$5-SUM(E429,K429,Q429,W429,AC429)-SUM(IF(F429&lt;R429,C429+D429-E429,0),IF(L429&lt;R429,I429+J429-K429,0),IF(X429&lt;R429,U429+V429-W429,0),IF(AD429&lt;R429,AA429+AB429-AC429,0)))))</x:f>
        <x:v>0</x:v>
      </x:c>
      <x:c r="T429" s="6" t="n">
        <x:f>ROUND(MAX(0,O429+P429-Q429-S429),2)</x:f>
        <x:v>0</x:v>
      </x:c>
      <x:c r="U429" s="6" t="n">
        <x:f>Z428</x:f>
        <x:v>0</x:v>
      </x:c>
      <x:c r="V429" s="6" t="n">
        <x:f>ROUND(U429*'Debt strategy'!$D$12/12,2)</x:f>
        <x:v>0</x:v>
      </x:c>
      <x:c r="W429" s="6" t="n">
        <x:f>MIN(U429+V429,'Debt strategy'!$E$12)</x:f>
        <x:v>0</x:v>
      </x:c>
      <x:c r="X429" s="27" t="n">
        <x:f>IF(U429+V429-W429&lt;=0,99,1+SUM(IF(AND(C429+D429-E429&gt;0,OR('Debt strategy'!$D$9&gt;'Debt strategy'!$D$12,AND('Debt strategy'!$D$9='Debt strategy'!$D$12,0&lt;3))),1,0),IF(AND(I429+J429-K429&gt;0,OR('Debt strategy'!$D$10&gt;'Debt strategy'!$D$12,AND('Debt strategy'!$D$10='Debt strategy'!$D$12,1&lt;3))),1,0),IF(AND(O429+P429-Q429&gt;0,OR('Debt strategy'!$D$11&gt;'Debt strategy'!$D$12,AND('Debt strategy'!$D$11='Debt strategy'!$D$12,2&lt;3))),1,0),IF(AND(AA429+AB429-AC429&gt;0,OR('Debt strategy'!$D$13&gt;'Debt strategy'!$D$12,AND('Debt strategy'!$D$13='Debt strategy'!$D$12,4&lt;3))),1,0)))</x:f>
        <x:v>99</x:v>
      </x:c>
      <x:c r="Y429" s="6" t="n">
        <x:f>IF('Debt strategy'!$C$16&gt;0,0,MIN(U429+V429-W429,MAX(0,'Debt strategy'!$C$5-SUM(E429,K429,Q429,W429,AC429)-SUM(IF(F429&lt;X429,C429+D429-E429,0),IF(L429&lt;X429,I429+J429-K429,0),IF(R429&lt;X429,O429+P429-Q429,0),IF(AD429&lt;X429,AA429+AB429-AC429,0)))))</x:f>
        <x:v>0</x:v>
      </x:c>
      <x:c r="Z429" s="6" t="n">
        <x:f>ROUND(MAX(0,U429+V429-W429-Y429),2)</x:f>
        <x:v>0</x:v>
      </x:c>
      <x:c r="AA429" s="6" t="n">
        <x:f>AF428</x:f>
        <x:v>0</x:v>
      </x:c>
      <x:c r="AB429" s="6" t="n">
        <x:f>ROUND(AA429*'Debt strategy'!$D$13/12,2)</x:f>
        <x:v>0</x:v>
      </x:c>
      <x:c r="AC429" s="6" t="n">
        <x:f>MIN(AA429+AB429,'Debt strategy'!$E$13)</x:f>
        <x:v>0</x:v>
      </x:c>
      <x:c r="AD429" s="27" t="n">
        <x:f>IF(AA429+AB429-AC429&lt;=0,99,1+SUM(IF(AND(C429+D429-E429&gt;0,OR('Debt strategy'!$D$9&gt;'Debt strategy'!$D$13,AND('Debt strategy'!$D$9='Debt strategy'!$D$13,0&lt;4))),1,0),IF(AND(I429+J429-K429&gt;0,OR('Debt strategy'!$D$10&gt;'Debt strategy'!$D$13,AND('Debt strategy'!$D$10='Debt strategy'!$D$13,1&lt;4))),1,0),IF(AND(O429+P429-Q429&gt;0,OR('Debt strategy'!$D$11&gt;'Debt strategy'!$D$13,AND('Debt strategy'!$D$11='Debt strategy'!$D$13,2&lt;4))),1,0),IF(AND(U429+V429-W429&gt;0,OR('Debt strategy'!$D$12&gt;'Debt strategy'!$D$13,AND('Debt strategy'!$D$12='Debt strategy'!$D$13,3&lt;4))),1,0)))</x:f>
        <x:v>99</x:v>
      </x:c>
      <x:c r="AE429" s="6" t="n">
        <x:f>IF('Debt strategy'!$C$16&gt;0,0,MIN(AA429+AB429-AC429,MAX(0,'Debt strategy'!$C$5-SUM(E429,K429,Q429,W429,AC429)-SUM(IF(F429&lt;AD429,C429+D429-E429,0),IF(L429&lt;AD429,I429+J429-K429,0),IF(R429&lt;AD429,O429+P429-Q429,0),IF(X429&lt;AD429,U429+V429-W429,0)))))</x:f>
        <x:v>0</x:v>
      </x:c>
      <x:c r="AF429" s="6" t="n">
        <x:f>ROUND(MAX(0,AA429+AB429-AC429-AE429),2)</x:f>
        <x:v>0</x:v>
      </x:c>
      <x:c r="AG429" s="6" t="n">
        <x:f>SUM(H429,N429,T429,Z429,AF429)</x:f>
        <x:v>0</x:v>
      </x:c>
      <x:c r="AH429" s="6" t="n">
        <x:f>SUM(D429,J429,P429,V429,AB429)+AH428</x:f>
        <x:v>1220.8400000000001</x:v>
      </x:c>
      <x:c r="AI429" s="2"/>
    </x:row>
    <x:row r="430" ht="23" customHeight="1">
      <x:c r="B430" s="2" t="n">
        <x:f>422</x:f>
        <x:v>422</x:v>
      </x:c>
      <x:c r="C430" s="6" t="n">
        <x:f>H429</x:f>
        <x:v>0</x:v>
      </x:c>
      <x:c r="D430" s="6" t="n">
        <x:f>ROUND(C430*'Debt strategy'!$D$9/12,2)</x:f>
        <x:v>0</x:v>
      </x:c>
      <x:c r="E430" s="6" t="n">
        <x:f>MIN(C430+D430,'Debt strategy'!$E$9)</x:f>
        <x:v>0</x:v>
      </x:c>
      <x:c r="F430" s="27" t="n">
        <x:f>IF(C430+D430-E430&lt;=0,99,1+SUM(IF(AND(I430+J430-K430&gt;0,OR('Debt strategy'!$D$10&gt;'Debt strategy'!$D$9,AND('Debt strategy'!$D$10='Debt strategy'!$D$9,1&lt;0))),1,0),IF(AND(O430+P430-Q430&gt;0,OR('Debt strategy'!$D$11&gt;'Debt strategy'!$D$9,AND('Debt strategy'!$D$11='Debt strategy'!$D$9,2&lt;0))),1,0),IF(AND(U430+V430-W430&gt;0,OR('Debt strategy'!$D$12&gt;'Debt strategy'!$D$9,AND('Debt strategy'!$D$12='Debt strategy'!$D$9,3&lt;0))),1,0),IF(AND(AA430+AB430-AC430&gt;0,OR('Debt strategy'!$D$13&gt;'Debt strategy'!$D$9,AND('Debt strategy'!$D$13='Debt strategy'!$D$9,4&lt;0))),1,0)))</x:f>
        <x:v>99</x:v>
      </x:c>
      <x:c r="G430" s="6" t="n">
        <x:f>IF('Debt strategy'!$C$16&gt;0,0,MIN(C430+D430-E430,MAX(0,'Debt strategy'!$C$5-SUM(E430,K430,Q430,W430,AC430)-SUM(IF(L430&lt;F430,I430+J430-K430,0),IF(R430&lt;F430,O430+P430-Q430,0),IF(X430&lt;F430,U430+V430-W430,0),IF(AD430&lt;F430,AA430+AB430-AC430,0)))))</x:f>
        <x:v>0</x:v>
      </x:c>
      <x:c r="H430" s="6" t="n">
        <x:f>ROUND(MAX(0,C430+D430-E430-G430),2)</x:f>
        <x:v>0</x:v>
      </x:c>
      <x:c r="I430" s="6" t="n">
        <x:f>N429</x:f>
        <x:v>0</x:v>
      </x:c>
      <x:c r="J430" s="6" t="n">
        <x:f>ROUND(I430*'Debt strategy'!$D$10/12,2)</x:f>
        <x:v>0</x:v>
      </x:c>
      <x:c r="K430" s="6" t="n">
        <x:f>MIN(I430+J430,'Debt strategy'!$E$10)</x:f>
        <x:v>0</x:v>
      </x:c>
      <x:c r="L430" s="27" t="n">
        <x:f>IF(I430+J430-K430&lt;=0,99,1+SUM(IF(AND(C430+D430-E430&gt;0,OR('Debt strategy'!$D$9&gt;'Debt strategy'!$D$10,AND('Debt strategy'!$D$9='Debt strategy'!$D$10,0&lt;1))),1,0),IF(AND(O430+P430-Q430&gt;0,OR('Debt strategy'!$D$11&gt;'Debt strategy'!$D$10,AND('Debt strategy'!$D$11='Debt strategy'!$D$10,2&lt;1))),1,0),IF(AND(U430+V430-W430&gt;0,OR('Debt strategy'!$D$12&gt;'Debt strategy'!$D$10,AND('Debt strategy'!$D$12='Debt strategy'!$D$10,3&lt;1))),1,0),IF(AND(AA430+AB430-AC430&gt;0,OR('Debt strategy'!$D$13&gt;'Debt strategy'!$D$10,AND('Debt strategy'!$D$13='Debt strategy'!$D$10,4&lt;1))),1,0)))</x:f>
        <x:v>99</x:v>
      </x:c>
      <x:c r="M430" s="6" t="n">
        <x:f>IF('Debt strategy'!$C$16&gt;0,0,MIN(I430+J430-K430,MAX(0,'Debt strategy'!$C$5-SUM(E430,K430,Q430,W430,AC430)-SUM(IF(F430&lt;L430,C430+D430-E430,0),IF(R430&lt;L430,O430+P430-Q430,0),IF(X430&lt;L430,U430+V430-W430,0),IF(AD430&lt;L430,AA430+AB430-AC430,0)))))</x:f>
        <x:v>0</x:v>
      </x:c>
      <x:c r="N430" s="6" t="n">
        <x:f>ROUND(MAX(0,I430+J430-K430-M430),2)</x:f>
        <x:v>0</x:v>
      </x:c>
      <x:c r="O430" s="6" t="n">
        <x:f>T429</x:f>
        <x:v>0</x:v>
      </x:c>
      <x:c r="P430" s="6" t="n">
        <x:f>ROUND(O430*'Debt strategy'!$D$11/12,2)</x:f>
        <x:v>0</x:v>
      </x:c>
      <x:c r="Q430" s="6" t="n">
        <x:f>MIN(O430+P430,'Debt strategy'!$E$11)</x:f>
        <x:v>0</x:v>
      </x:c>
      <x:c r="R430" s="27" t="n">
        <x:f>IF(O430+P430-Q430&lt;=0,99,1+SUM(IF(AND(C430+D430-E430&gt;0,OR('Debt strategy'!$D$9&gt;'Debt strategy'!$D$11,AND('Debt strategy'!$D$9='Debt strategy'!$D$11,0&lt;2))),1,0),IF(AND(I430+J430-K430&gt;0,OR('Debt strategy'!$D$10&gt;'Debt strategy'!$D$11,AND('Debt strategy'!$D$10='Debt strategy'!$D$11,1&lt;2))),1,0),IF(AND(U430+V430-W430&gt;0,OR('Debt strategy'!$D$12&gt;'Debt strategy'!$D$11,AND('Debt strategy'!$D$12='Debt strategy'!$D$11,3&lt;2))),1,0),IF(AND(AA430+AB430-AC430&gt;0,OR('Debt strategy'!$D$13&gt;'Debt strategy'!$D$11,AND('Debt strategy'!$D$13='Debt strategy'!$D$11,4&lt;2))),1,0)))</x:f>
        <x:v>99</x:v>
      </x:c>
      <x:c r="S430" s="6" t="n">
        <x:f>IF('Debt strategy'!$C$16&gt;0,0,MIN(O430+P430-Q430,MAX(0,'Debt strategy'!$C$5-SUM(E430,K430,Q430,W430,AC430)-SUM(IF(F430&lt;R430,C430+D430-E430,0),IF(L430&lt;R430,I430+J430-K430,0),IF(X430&lt;R430,U430+V430-W430,0),IF(AD430&lt;R430,AA430+AB430-AC430,0)))))</x:f>
        <x:v>0</x:v>
      </x:c>
      <x:c r="T430" s="6" t="n">
        <x:f>ROUND(MAX(0,O430+P430-Q430-S430),2)</x:f>
        <x:v>0</x:v>
      </x:c>
      <x:c r="U430" s="6" t="n">
        <x:f>Z429</x:f>
        <x:v>0</x:v>
      </x:c>
      <x:c r="V430" s="6" t="n">
        <x:f>ROUND(U430*'Debt strategy'!$D$12/12,2)</x:f>
        <x:v>0</x:v>
      </x:c>
      <x:c r="W430" s="6" t="n">
        <x:f>MIN(U430+V430,'Debt strategy'!$E$12)</x:f>
        <x:v>0</x:v>
      </x:c>
      <x:c r="X430" s="27" t="n">
        <x:f>IF(U430+V430-W430&lt;=0,99,1+SUM(IF(AND(C430+D430-E430&gt;0,OR('Debt strategy'!$D$9&gt;'Debt strategy'!$D$12,AND('Debt strategy'!$D$9='Debt strategy'!$D$12,0&lt;3))),1,0),IF(AND(I430+J430-K430&gt;0,OR('Debt strategy'!$D$10&gt;'Debt strategy'!$D$12,AND('Debt strategy'!$D$10='Debt strategy'!$D$12,1&lt;3))),1,0),IF(AND(O430+P430-Q430&gt;0,OR('Debt strategy'!$D$11&gt;'Debt strategy'!$D$12,AND('Debt strategy'!$D$11='Debt strategy'!$D$12,2&lt;3))),1,0),IF(AND(AA430+AB430-AC430&gt;0,OR('Debt strategy'!$D$13&gt;'Debt strategy'!$D$12,AND('Debt strategy'!$D$13='Debt strategy'!$D$12,4&lt;3))),1,0)))</x:f>
        <x:v>99</x:v>
      </x:c>
      <x:c r="Y430" s="6" t="n">
        <x:f>IF('Debt strategy'!$C$16&gt;0,0,MIN(U430+V430-W430,MAX(0,'Debt strategy'!$C$5-SUM(E430,K430,Q430,W430,AC430)-SUM(IF(F430&lt;X430,C430+D430-E430,0),IF(L430&lt;X430,I430+J430-K430,0),IF(R430&lt;X430,O430+P430-Q430,0),IF(AD430&lt;X430,AA430+AB430-AC430,0)))))</x:f>
        <x:v>0</x:v>
      </x:c>
      <x:c r="Z430" s="6" t="n">
        <x:f>ROUND(MAX(0,U430+V430-W430-Y430),2)</x:f>
        <x:v>0</x:v>
      </x:c>
      <x:c r="AA430" s="6" t="n">
        <x:f>AF429</x:f>
        <x:v>0</x:v>
      </x:c>
      <x:c r="AB430" s="6" t="n">
        <x:f>ROUND(AA430*'Debt strategy'!$D$13/12,2)</x:f>
        <x:v>0</x:v>
      </x:c>
      <x:c r="AC430" s="6" t="n">
        <x:f>MIN(AA430+AB430,'Debt strategy'!$E$13)</x:f>
        <x:v>0</x:v>
      </x:c>
      <x:c r="AD430" s="27" t="n">
        <x:f>IF(AA430+AB430-AC430&lt;=0,99,1+SUM(IF(AND(C430+D430-E430&gt;0,OR('Debt strategy'!$D$9&gt;'Debt strategy'!$D$13,AND('Debt strategy'!$D$9='Debt strategy'!$D$13,0&lt;4))),1,0),IF(AND(I430+J430-K430&gt;0,OR('Debt strategy'!$D$10&gt;'Debt strategy'!$D$13,AND('Debt strategy'!$D$10='Debt strategy'!$D$13,1&lt;4))),1,0),IF(AND(O430+P430-Q430&gt;0,OR('Debt strategy'!$D$11&gt;'Debt strategy'!$D$13,AND('Debt strategy'!$D$11='Debt strategy'!$D$13,2&lt;4))),1,0),IF(AND(U430+V430-W430&gt;0,OR('Debt strategy'!$D$12&gt;'Debt strategy'!$D$13,AND('Debt strategy'!$D$12='Debt strategy'!$D$13,3&lt;4))),1,0)))</x:f>
        <x:v>99</x:v>
      </x:c>
      <x:c r="AE430" s="6" t="n">
        <x:f>IF('Debt strategy'!$C$16&gt;0,0,MIN(AA430+AB430-AC430,MAX(0,'Debt strategy'!$C$5-SUM(E430,K430,Q430,W430,AC430)-SUM(IF(F430&lt;AD430,C430+D430-E430,0),IF(L430&lt;AD430,I430+J430-K430,0),IF(R430&lt;AD430,O430+P430-Q430,0),IF(X430&lt;AD430,U430+V430-W430,0)))))</x:f>
        <x:v>0</x:v>
      </x:c>
      <x:c r="AF430" s="6" t="n">
        <x:f>ROUND(MAX(0,AA430+AB430-AC430-AE430),2)</x:f>
        <x:v>0</x:v>
      </x:c>
      <x:c r="AG430" s="6" t="n">
        <x:f>SUM(H430,N430,T430,Z430,AF430)</x:f>
        <x:v>0</x:v>
      </x:c>
      <x:c r="AH430" s="6" t="n">
        <x:f>SUM(D430,J430,P430,V430,AB430)+AH429</x:f>
        <x:v>1220.8400000000001</x:v>
      </x:c>
      <x:c r="AI430" s="2"/>
    </x:row>
    <x:row r="431" ht="23" customHeight="1">
      <x:c r="B431" s="2" t="n">
        <x:f>423</x:f>
        <x:v>423</x:v>
      </x:c>
      <x:c r="C431" s="6" t="n">
        <x:f>H430</x:f>
        <x:v>0</x:v>
      </x:c>
      <x:c r="D431" s="6" t="n">
        <x:f>ROUND(C431*'Debt strategy'!$D$9/12,2)</x:f>
        <x:v>0</x:v>
      </x:c>
      <x:c r="E431" s="6" t="n">
        <x:f>MIN(C431+D431,'Debt strategy'!$E$9)</x:f>
        <x:v>0</x:v>
      </x:c>
      <x:c r="F431" s="27" t="n">
        <x:f>IF(C431+D431-E431&lt;=0,99,1+SUM(IF(AND(I431+J431-K431&gt;0,OR('Debt strategy'!$D$10&gt;'Debt strategy'!$D$9,AND('Debt strategy'!$D$10='Debt strategy'!$D$9,1&lt;0))),1,0),IF(AND(O431+P431-Q431&gt;0,OR('Debt strategy'!$D$11&gt;'Debt strategy'!$D$9,AND('Debt strategy'!$D$11='Debt strategy'!$D$9,2&lt;0))),1,0),IF(AND(U431+V431-W431&gt;0,OR('Debt strategy'!$D$12&gt;'Debt strategy'!$D$9,AND('Debt strategy'!$D$12='Debt strategy'!$D$9,3&lt;0))),1,0),IF(AND(AA431+AB431-AC431&gt;0,OR('Debt strategy'!$D$13&gt;'Debt strategy'!$D$9,AND('Debt strategy'!$D$13='Debt strategy'!$D$9,4&lt;0))),1,0)))</x:f>
        <x:v>99</x:v>
      </x:c>
      <x:c r="G431" s="6" t="n">
        <x:f>IF('Debt strategy'!$C$16&gt;0,0,MIN(C431+D431-E431,MAX(0,'Debt strategy'!$C$5-SUM(E431,K431,Q431,W431,AC431)-SUM(IF(L431&lt;F431,I431+J431-K431,0),IF(R431&lt;F431,O431+P431-Q431,0),IF(X431&lt;F431,U431+V431-W431,0),IF(AD431&lt;F431,AA431+AB431-AC431,0)))))</x:f>
        <x:v>0</x:v>
      </x:c>
      <x:c r="H431" s="6" t="n">
        <x:f>ROUND(MAX(0,C431+D431-E431-G431),2)</x:f>
        <x:v>0</x:v>
      </x:c>
      <x:c r="I431" s="6" t="n">
        <x:f>N430</x:f>
        <x:v>0</x:v>
      </x:c>
      <x:c r="J431" s="6" t="n">
        <x:f>ROUND(I431*'Debt strategy'!$D$10/12,2)</x:f>
        <x:v>0</x:v>
      </x:c>
      <x:c r="K431" s="6" t="n">
        <x:f>MIN(I431+J431,'Debt strategy'!$E$10)</x:f>
        <x:v>0</x:v>
      </x:c>
      <x:c r="L431" s="27" t="n">
        <x:f>IF(I431+J431-K431&lt;=0,99,1+SUM(IF(AND(C431+D431-E431&gt;0,OR('Debt strategy'!$D$9&gt;'Debt strategy'!$D$10,AND('Debt strategy'!$D$9='Debt strategy'!$D$10,0&lt;1))),1,0),IF(AND(O431+P431-Q431&gt;0,OR('Debt strategy'!$D$11&gt;'Debt strategy'!$D$10,AND('Debt strategy'!$D$11='Debt strategy'!$D$10,2&lt;1))),1,0),IF(AND(U431+V431-W431&gt;0,OR('Debt strategy'!$D$12&gt;'Debt strategy'!$D$10,AND('Debt strategy'!$D$12='Debt strategy'!$D$10,3&lt;1))),1,0),IF(AND(AA431+AB431-AC431&gt;0,OR('Debt strategy'!$D$13&gt;'Debt strategy'!$D$10,AND('Debt strategy'!$D$13='Debt strategy'!$D$10,4&lt;1))),1,0)))</x:f>
        <x:v>99</x:v>
      </x:c>
      <x:c r="M431" s="6" t="n">
        <x:f>IF('Debt strategy'!$C$16&gt;0,0,MIN(I431+J431-K431,MAX(0,'Debt strategy'!$C$5-SUM(E431,K431,Q431,W431,AC431)-SUM(IF(F431&lt;L431,C431+D431-E431,0),IF(R431&lt;L431,O431+P431-Q431,0),IF(X431&lt;L431,U431+V431-W431,0),IF(AD431&lt;L431,AA431+AB431-AC431,0)))))</x:f>
        <x:v>0</x:v>
      </x:c>
      <x:c r="N431" s="6" t="n">
        <x:f>ROUND(MAX(0,I431+J431-K431-M431),2)</x:f>
        <x:v>0</x:v>
      </x:c>
      <x:c r="O431" s="6" t="n">
        <x:f>T430</x:f>
        <x:v>0</x:v>
      </x:c>
      <x:c r="P431" s="6" t="n">
        <x:f>ROUND(O431*'Debt strategy'!$D$11/12,2)</x:f>
        <x:v>0</x:v>
      </x:c>
      <x:c r="Q431" s="6" t="n">
        <x:f>MIN(O431+P431,'Debt strategy'!$E$11)</x:f>
        <x:v>0</x:v>
      </x:c>
      <x:c r="R431" s="27" t="n">
        <x:f>IF(O431+P431-Q431&lt;=0,99,1+SUM(IF(AND(C431+D431-E431&gt;0,OR('Debt strategy'!$D$9&gt;'Debt strategy'!$D$11,AND('Debt strategy'!$D$9='Debt strategy'!$D$11,0&lt;2))),1,0),IF(AND(I431+J431-K431&gt;0,OR('Debt strategy'!$D$10&gt;'Debt strategy'!$D$11,AND('Debt strategy'!$D$10='Debt strategy'!$D$11,1&lt;2))),1,0),IF(AND(U431+V431-W431&gt;0,OR('Debt strategy'!$D$12&gt;'Debt strategy'!$D$11,AND('Debt strategy'!$D$12='Debt strategy'!$D$11,3&lt;2))),1,0),IF(AND(AA431+AB431-AC431&gt;0,OR('Debt strategy'!$D$13&gt;'Debt strategy'!$D$11,AND('Debt strategy'!$D$13='Debt strategy'!$D$11,4&lt;2))),1,0)))</x:f>
        <x:v>99</x:v>
      </x:c>
      <x:c r="S431" s="6" t="n">
        <x:f>IF('Debt strategy'!$C$16&gt;0,0,MIN(O431+P431-Q431,MAX(0,'Debt strategy'!$C$5-SUM(E431,K431,Q431,W431,AC431)-SUM(IF(F431&lt;R431,C431+D431-E431,0),IF(L431&lt;R431,I431+J431-K431,0),IF(X431&lt;R431,U431+V431-W431,0),IF(AD431&lt;R431,AA431+AB431-AC431,0)))))</x:f>
        <x:v>0</x:v>
      </x:c>
      <x:c r="T431" s="6" t="n">
        <x:f>ROUND(MAX(0,O431+P431-Q431-S431),2)</x:f>
        <x:v>0</x:v>
      </x:c>
      <x:c r="U431" s="6" t="n">
        <x:f>Z430</x:f>
        <x:v>0</x:v>
      </x:c>
      <x:c r="V431" s="6" t="n">
        <x:f>ROUND(U431*'Debt strategy'!$D$12/12,2)</x:f>
        <x:v>0</x:v>
      </x:c>
      <x:c r="W431" s="6" t="n">
        <x:f>MIN(U431+V431,'Debt strategy'!$E$12)</x:f>
        <x:v>0</x:v>
      </x:c>
      <x:c r="X431" s="27" t="n">
        <x:f>IF(U431+V431-W431&lt;=0,99,1+SUM(IF(AND(C431+D431-E431&gt;0,OR('Debt strategy'!$D$9&gt;'Debt strategy'!$D$12,AND('Debt strategy'!$D$9='Debt strategy'!$D$12,0&lt;3))),1,0),IF(AND(I431+J431-K431&gt;0,OR('Debt strategy'!$D$10&gt;'Debt strategy'!$D$12,AND('Debt strategy'!$D$10='Debt strategy'!$D$12,1&lt;3))),1,0),IF(AND(O431+P431-Q431&gt;0,OR('Debt strategy'!$D$11&gt;'Debt strategy'!$D$12,AND('Debt strategy'!$D$11='Debt strategy'!$D$12,2&lt;3))),1,0),IF(AND(AA431+AB431-AC431&gt;0,OR('Debt strategy'!$D$13&gt;'Debt strategy'!$D$12,AND('Debt strategy'!$D$13='Debt strategy'!$D$12,4&lt;3))),1,0)))</x:f>
        <x:v>99</x:v>
      </x:c>
      <x:c r="Y431" s="6" t="n">
        <x:f>IF('Debt strategy'!$C$16&gt;0,0,MIN(U431+V431-W431,MAX(0,'Debt strategy'!$C$5-SUM(E431,K431,Q431,W431,AC431)-SUM(IF(F431&lt;X431,C431+D431-E431,0),IF(L431&lt;X431,I431+J431-K431,0),IF(R431&lt;X431,O431+P431-Q431,0),IF(AD431&lt;X431,AA431+AB431-AC431,0)))))</x:f>
        <x:v>0</x:v>
      </x:c>
      <x:c r="Z431" s="6" t="n">
        <x:f>ROUND(MAX(0,U431+V431-W431-Y431),2)</x:f>
        <x:v>0</x:v>
      </x:c>
      <x:c r="AA431" s="6" t="n">
        <x:f>AF430</x:f>
        <x:v>0</x:v>
      </x:c>
      <x:c r="AB431" s="6" t="n">
        <x:f>ROUND(AA431*'Debt strategy'!$D$13/12,2)</x:f>
        <x:v>0</x:v>
      </x:c>
      <x:c r="AC431" s="6" t="n">
        <x:f>MIN(AA431+AB431,'Debt strategy'!$E$13)</x:f>
        <x:v>0</x:v>
      </x:c>
      <x:c r="AD431" s="27" t="n">
        <x:f>IF(AA431+AB431-AC431&lt;=0,99,1+SUM(IF(AND(C431+D431-E431&gt;0,OR('Debt strategy'!$D$9&gt;'Debt strategy'!$D$13,AND('Debt strategy'!$D$9='Debt strategy'!$D$13,0&lt;4))),1,0),IF(AND(I431+J431-K431&gt;0,OR('Debt strategy'!$D$10&gt;'Debt strategy'!$D$13,AND('Debt strategy'!$D$10='Debt strategy'!$D$13,1&lt;4))),1,0),IF(AND(O431+P431-Q431&gt;0,OR('Debt strategy'!$D$11&gt;'Debt strategy'!$D$13,AND('Debt strategy'!$D$11='Debt strategy'!$D$13,2&lt;4))),1,0),IF(AND(U431+V431-W431&gt;0,OR('Debt strategy'!$D$12&gt;'Debt strategy'!$D$13,AND('Debt strategy'!$D$12='Debt strategy'!$D$13,3&lt;4))),1,0)))</x:f>
        <x:v>99</x:v>
      </x:c>
      <x:c r="AE431" s="6" t="n">
        <x:f>IF('Debt strategy'!$C$16&gt;0,0,MIN(AA431+AB431-AC431,MAX(0,'Debt strategy'!$C$5-SUM(E431,K431,Q431,W431,AC431)-SUM(IF(F431&lt;AD431,C431+D431-E431,0),IF(L431&lt;AD431,I431+J431-K431,0),IF(R431&lt;AD431,O431+P431-Q431,0),IF(X431&lt;AD431,U431+V431-W431,0)))))</x:f>
        <x:v>0</x:v>
      </x:c>
      <x:c r="AF431" s="6" t="n">
        <x:f>ROUND(MAX(0,AA431+AB431-AC431-AE431),2)</x:f>
        <x:v>0</x:v>
      </x:c>
      <x:c r="AG431" s="6" t="n">
        <x:f>SUM(H431,N431,T431,Z431,AF431)</x:f>
        <x:v>0</x:v>
      </x:c>
      <x:c r="AH431" s="6" t="n">
        <x:f>SUM(D431,J431,P431,V431,AB431)+AH430</x:f>
        <x:v>1220.8400000000001</x:v>
      </x:c>
      <x:c r="AI431" s="2"/>
    </x:row>
    <x:row r="432" ht="23" customHeight="1">
      <x:c r="B432" s="2" t="n">
        <x:f>424</x:f>
        <x:v>424</x:v>
      </x:c>
      <x:c r="C432" s="6" t="n">
        <x:f>H431</x:f>
        <x:v>0</x:v>
      </x:c>
      <x:c r="D432" s="6" t="n">
        <x:f>ROUND(C432*'Debt strategy'!$D$9/12,2)</x:f>
        <x:v>0</x:v>
      </x:c>
      <x:c r="E432" s="6" t="n">
        <x:f>MIN(C432+D432,'Debt strategy'!$E$9)</x:f>
        <x:v>0</x:v>
      </x:c>
      <x:c r="F432" s="27" t="n">
        <x:f>IF(C432+D432-E432&lt;=0,99,1+SUM(IF(AND(I432+J432-K432&gt;0,OR('Debt strategy'!$D$10&gt;'Debt strategy'!$D$9,AND('Debt strategy'!$D$10='Debt strategy'!$D$9,1&lt;0))),1,0),IF(AND(O432+P432-Q432&gt;0,OR('Debt strategy'!$D$11&gt;'Debt strategy'!$D$9,AND('Debt strategy'!$D$11='Debt strategy'!$D$9,2&lt;0))),1,0),IF(AND(U432+V432-W432&gt;0,OR('Debt strategy'!$D$12&gt;'Debt strategy'!$D$9,AND('Debt strategy'!$D$12='Debt strategy'!$D$9,3&lt;0))),1,0),IF(AND(AA432+AB432-AC432&gt;0,OR('Debt strategy'!$D$13&gt;'Debt strategy'!$D$9,AND('Debt strategy'!$D$13='Debt strategy'!$D$9,4&lt;0))),1,0)))</x:f>
        <x:v>99</x:v>
      </x:c>
      <x:c r="G432" s="6" t="n">
        <x:f>IF('Debt strategy'!$C$16&gt;0,0,MIN(C432+D432-E432,MAX(0,'Debt strategy'!$C$5-SUM(E432,K432,Q432,W432,AC432)-SUM(IF(L432&lt;F432,I432+J432-K432,0),IF(R432&lt;F432,O432+P432-Q432,0),IF(X432&lt;F432,U432+V432-W432,0),IF(AD432&lt;F432,AA432+AB432-AC432,0)))))</x:f>
        <x:v>0</x:v>
      </x:c>
      <x:c r="H432" s="6" t="n">
        <x:f>ROUND(MAX(0,C432+D432-E432-G432),2)</x:f>
        <x:v>0</x:v>
      </x:c>
      <x:c r="I432" s="6" t="n">
        <x:f>N431</x:f>
        <x:v>0</x:v>
      </x:c>
      <x:c r="J432" s="6" t="n">
        <x:f>ROUND(I432*'Debt strategy'!$D$10/12,2)</x:f>
        <x:v>0</x:v>
      </x:c>
      <x:c r="K432" s="6" t="n">
        <x:f>MIN(I432+J432,'Debt strategy'!$E$10)</x:f>
        <x:v>0</x:v>
      </x:c>
      <x:c r="L432" s="27" t="n">
        <x:f>IF(I432+J432-K432&lt;=0,99,1+SUM(IF(AND(C432+D432-E432&gt;0,OR('Debt strategy'!$D$9&gt;'Debt strategy'!$D$10,AND('Debt strategy'!$D$9='Debt strategy'!$D$10,0&lt;1))),1,0),IF(AND(O432+P432-Q432&gt;0,OR('Debt strategy'!$D$11&gt;'Debt strategy'!$D$10,AND('Debt strategy'!$D$11='Debt strategy'!$D$10,2&lt;1))),1,0),IF(AND(U432+V432-W432&gt;0,OR('Debt strategy'!$D$12&gt;'Debt strategy'!$D$10,AND('Debt strategy'!$D$12='Debt strategy'!$D$10,3&lt;1))),1,0),IF(AND(AA432+AB432-AC432&gt;0,OR('Debt strategy'!$D$13&gt;'Debt strategy'!$D$10,AND('Debt strategy'!$D$13='Debt strategy'!$D$10,4&lt;1))),1,0)))</x:f>
        <x:v>99</x:v>
      </x:c>
      <x:c r="M432" s="6" t="n">
        <x:f>IF('Debt strategy'!$C$16&gt;0,0,MIN(I432+J432-K432,MAX(0,'Debt strategy'!$C$5-SUM(E432,K432,Q432,W432,AC432)-SUM(IF(F432&lt;L432,C432+D432-E432,0),IF(R432&lt;L432,O432+P432-Q432,0),IF(X432&lt;L432,U432+V432-W432,0),IF(AD432&lt;L432,AA432+AB432-AC432,0)))))</x:f>
        <x:v>0</x:v>
      </x:c>
      <x:c r="N432" s="6" t="n">
        <x:f>ROUND(MAX(0,I432+J432-K432-M432),2)</x:f>
        <x:v>0</x:v>
      </x:c>
      <x:c r="O432" s="6" t="n">
        <x:f>T431</x:f>
        <x:v>0</x:v>
      </x:c>
      <x:c r="P432" s="6" t="n">
        <x:f>ROUND(O432*'Debt strategy'!$D$11/12,2)</x:f>
        <x:v>0</x:v>
      </x:c>
      <x:c r="Q432" s="6" t="n">
        <x:f>MIN(O432+P432,'Debt strategy'!$E$11)</x:f>
        <x:v>0</x:v>
      </x:c>
      <x:c r="R432" s="27" t="n">
        <x:f>IF(O432+P432-Q432&lt;=0,99,1+SUM(IF(AND(C432+D432-E432&gt;0,OR('Debt strategy'!$D$9&gt;'Debt strategy'!$D$11,AND('Debt strategy'!$D$9='Debt strategy'!$D$11,0&lt;2))),1,0),IF(AND(I432+J432-K432&gt;0,OR('Debt strategy'!$D$10&gt;'Debt strategy'!$D$11,AND('Debt strategy'!$D$10='Debt strategy'!$D$11,1&lt;2))),1,0),IF(AND(U432+V432-W432&gt;0,OR('Debt strategy'!$D$12&gt;'Debt strategy'!$D$11,AND('Debt strategy'!$D$12='Debt strategy'!$D$11,3&lt;2))),1,0),IF(AND(AA432+AB432-AC432&gt;0,OR('Debt strategy'!$D$13&gt;'Debt strategy'!$D$11,AND('Debt strategy'!$D$13='Debt strategy'!$D$11,4&lt;2))),1,0)))</x:f>
        <x:v>99</x:v>
      </x:c>
      <x:c r="S432" s="6" t="n">
        <x:f>IF('Debt strategy'!$C$16&gt;0,0,MIN(O432+P432-Q432,MAX(0,'Debt strategy'!$C$5-SUM(E432,K432,Q432,W432,AC432)-SUM(IF(F432&lt;R432,C432+D432-E432,0),IF(L432&lt;R432,I432+J432-K432,0),IF(X432&lt;R432,U432+V432-W432,0),IF(AD432&lt;R432,AA432+AB432-AC432,0)))))</x:f>
        <x:v>0</x:v>
      </x:c>
      <x:c r="T432" s="6" t="n">
        <x:f>ROUND(MAX(0,O432+P432-Q432-S432),2)</x:f>
        <x:v>0</x:v>
      </x:c>
      <x:c r="U432" s="6" t="n">
        <x:f>Z431</x:f>
        <x:v>0</x:v>
      </x:c>
      <x:c r="V432" s="6" t="n">
        <x:f>ROUND(U432*'Debt strategy'!$D$12/12,2)</x:f>
        <x:v>0</x:v>
      </x:c>
      <x:c r="W432" s="6" t="n">
        <x:f>MIN(U432+V432,'Debt strategy'!$E$12)</x:f>
        <x:v>0</x:v>
      </x:c>
      <x:c r="X432" s="27" t="n">
        <x:f>IF(U432+V432-W432&lt;=0,99,1+SUM(IF(AND(C432+D432-E432&gt;0,OR('Debt strategy'!$D$9&gt;'Debt strategy'!$D$12,AND('Debt strategy'!$D$9='Debt strategy'!$D$12,0&lt;3))),1,0),IF(AND(I432+J432-K432&gt;0,OR('Debt strategy'!$D$10&gt;'Debt strategy'!$D$12,AND('Debt strategy'!$D$10='Debt strategy'!$D$12,1&lt;3))),1,0),IF(AND(O432+P432-Q432&gt;0,OR('Debt strategy'!$D$11&gt;'Debt strategy'!$D$12,AND('Debt strategy'!$D$11='Debt strategy'!$D$12,2&lt;3))),1,0),IF(AND(AA432+AB432-AC432&gt;0,OR('Debt strategy'!$D$13&gt;'Debt strategy'!$D$12,AND('Debt strategy'!$D$13='Debt strategy'!$D$12,4&lt;3))),1,0)))</x:f>
        <x:v>99</x:v>
      </x:c>
      <x:c r="Y432" s="6" t="n">
        <x:f>IF('Debt strategy'!$C$16&gt;0,0,MIN(U432+V432-W432,MAX(0,'Debt strategy'!$C$5-SUM(E432,K432,Q432,W432,AC432)-SUM(IF(F432&lt;X432,C432+D432-E432,0),IF(L432&lt;X432,I432+J432-K432,0),IF(R432&lt;X432,O432+P432-Q432,0),IF(AD432&lt;X432,AA432+AB432-AC432,0)))))</x:f>
        <x:v>0</x:v>
      </x:c>
      <x:c r="Z432" s="6" t="n">
        <x:f>ROUND(MAX(0,U432+V432-W432-Y432),2)</x:f>
        <x:v>0</x:v>
      </x:c>
      <x:c r="AA432" s="6" t="n">
        <x:f>AF431</x:f>
        <x:v>0</x:v>
      </x:c>
      <x:c r="AB432" s="6" t="n">
        <x:f>ROUND(AA432*'Debt strategy'!$D$13/12,2)</x:f>
        <x:v>0</x:v>
      </x:c>
      <x:c r="AC432" s="6" t="n">
        <x:f>MIN(AA432+AB432,'Debt strategy'!$E$13)</x:f>
        <x:v>0</x:v>
      </x:c>
      <x:c r="AD432" s="27" t="n">
        <x:f>IF(AA432+AB432-AC432&lt;=0,99,1+SUM(IF(AND(C432+D432-E432&gt;0,OR('Debt strategy'!$D$9&gt;'Debt strategy'!$D$13,AND('Debt strategy'!$D$9='Debt strategy'!$D$13,0&lt;4))),1,0),IF(AND(I432+J432-K432&gt;0,OR('Debt strategy'!$D$10&gt;'Debt strategy'!$D$13,AND('Debt strategy'!$D$10='Debt strategy'!$D$13,1&lt;4))),1,0),IF(AND(O432+P432-Q432&gt;0,OR('Debt strategy'!$D$11&gt;'Debt strategy'!$D$13,AND('Debt strategy'!$D$11='Debt strategy'!$D$13,2&lt;4))),1,0),IF(AND(U432+V432-W432&gt;0,OR('Debt strategy'!$D$12&gt;'Debt strategy'!$D$13,AND('Debt strategy'!$D$12='Debt strategy'!$D$13,3&lt;4))),1,0)))</x:f>
        <x:v>99</x:v>
      </x:c>
      <x:c r="AE432" s="6" t="n">
        <x:f>IF('Debt strategy'!$C$16&gt;0,0,MIN(AA432+AB432-AC432,MAX(0,'Debt strategy'!$C$5-SUM(E432,K432,Q432,W432,AC432)-SUM(IF(F432&lt;AD432,C432+D432-E432,0),IF(L432&lt;AD432,I432+J432-K432,0),IF(R432&lt;AD432,O432+P432-Q432,0),IF(X432&lt;AD432,U432+V432-W432,0)))))</x:f>
        <x:v>0</x:v>
      </x:c>
      <x:c r="AF432" s="6" t="n">
        <x:f>ROUND(MAX(0,AA432+AB432-AC432-AE432),2)</x:f>
        <x:v>0</x:v>
      </x:c>
      <x:c r="AG432" s="6" t="n">
        <x:f>SUM(H432,N432,T432,Z432,AF432)</x:f>
        <x:v>0</x:v>
      </x:c>
      <x:c r="AH432" s="6" t="n">
        <x:f>SUM(D432,J432,P432,V432,AB432)+AH431</x:f>
        <x:v>1220.8400000000001</x:v>
      </x:c>
      <x:c r="AI432" s="2"/>
    </x:row>
    <x:row r="433" ht="23" customHeight="1">
      <x:c r="B433" s="2" t="n">
        <x:f>425</x:f>
        <x:v>425</x:v>
      </x:c>
      <x:c r="C433" s="6" t="n">
        <x:f>H432</x:f>
        <x:v>0</x:v>
      </x:c>
      <x:c r="D433" s="6" t="n">
        <x:f>ROUND(C433*'Debt strategy'!$D$9/12,2)</x:f>
        <x:v>0</x:v>
      </x:c>
      <x:c r="E433" s="6" t="n">
        <x:f>MIN(C433+D433,'Debt strategy'!$E$9)</x:f>
        <x:v>0</x:v>
      </x:c>
      <x:c r="F433" s="27" t="n">
        <x:f>IF(C433+D433-E433&lt;=0,99,1+SUM(IF(AND(I433+J433-K433&gt;0,OR('Debt strategy'!$D$10&gt;'Debt strategy'!$D$9,AND('Debt strategy'!$D$10='Debt strategy'!$D$9,1&lt;0))),1,0),IF(AND(O433+P433-Q433&gt;0,OR('Debt strategy'!$D$11&gt;'Debt strategy'!$D$9,AND('Debt strategy'!$D$11='Debt strategy'!$D$9,2&lt;0))),1,0),IF(AND(U433+V433-W433&gt;0,OR('Debt strategy'!$D$12&gt;'Debt strategy'!$D$9,AND('Debt strategy'!$D$12='Debt strategy'!$D$9,3&lt;0))),1,0),IF(AND(AA433+AB433-AC433&gt;0,OR('Debt strategy'!$D$13&gt;'Debt strategy'!$D$9,AND('Debt strategy'!$D$13='Debt strategy'!$D$9,4&lt;0))),1,0)))</x:f>
        <x:v>99</x:v>
      </x:c>
      <x:c r="G433" s="6" t="n">
        <x:f>IF('Debt strategy'!$C$16&gt;0,0,MIN(C433+D433-E433,MAX(0,'Debt strategy'!$C$5-SUM(E433,K433,Q433,W433,AC433)-SUM(IF(L433&lt;F433,I433+J433-K433,0),IF(R433&lt;F433,O433+P433-Q433,0),IF(X433&lt;F433,U433+V433-W433,0),IF(AD433&lt;F433,AA433+AB433-AC433,0)))))</x:f>
        <x:v>0</x:v>
      </x:c>
      <x:c r="H433" s="6" t="n">
        <x:f>ROUND(MAX(0,C433+D433-E433-G433),2)</x:f>
        <x:v>0</x:v>
      </x:c>
      <x:c r="I433" s="6" t="n">
        <x:f>N432</x:f>
        <x:v>0</x:v>
      </x:c>
      <x:c r="J433" s="6" t="n">
        <x:f>ROUND(I433*'Debt strategy'!$D$10/12,2)</x:f>
        <x:v>0</x:v>
      </x:c>
      <x:c r="K433" s="6" t="n">
        <x:f>MIN(I433+J433,'Debt strategy'!$E$10)</x:f>
        <x:v>0</x:v>
      </x:c>
      <x:c r="L433" s="27" t="n">
        <x:f>IF(I433+J433-K433&lt;=0,99,1+SUM(IF(AND(C433+D433-E433&gt;0,OR('Debt strategy'!$D$9&gt;'Debt strategy'!$D$10,AND('Debt strategy'!$D$9='Debt strategy'!$D$10,0&lt;1))),1,0),IF(AND(O433+P433-Q433&gt;0,OR('Debt strategy'!$D$11&gt;'Debt strategy'!$D$10,AND('Debt strategy'!$D$11='Debt strategy'!$D$10,2&lt;1))),1,0),IF(AND(U433+V433-W433&gt;0,OR('Debt strategy'!$D$12&gt;'Debt strategy'!$D$10,AND('Debt strategy'!$D$12='Debt strategy'!$D$10,3&lt;1))),1,0),IF(AND(AA433+AB433-AC433&gt;0,OR('Debt strategy'!$D$13&gt;'Debt strategy'!$D$10,AND('Debt strategy'!$D$13='Debt strategy'!$D$10,4&lt;1))),1,0)))</x:f>
        <x:v>99</x:v>
      </x:c>
      <x:c r="M433" s="6" t="n">
        <x:f>IF('Debt strategy'!$C$16&gt;0,0,MIN(I433+J433-K433,MAX(0,'Debt strategy'!$C$5-SUM(E433,K433,Q433,W433,AC433)-SUM(IF(F433&lt;L433,C433+D433-E433,0),IF(R433&lt;L433,O433+P433-Q433,0),IF(X433&lt;L433,U433+V433-W433,0),IF(AD433&lt;L433,AA433+AB433-AC433,0)))))</x:f>
        <x:v>0</x:v>
      </x:c>
      <x:c r="N433" s="6" t="n">
        <x:f>ROUND(MAX(0,I433+J433-K433-M433),2)</x:f>
        <x:v>0</x:v>
      </x:c>
      <x:c r="O433" s="6" t="n">
        <x:f>T432</x:f>
        <x:v>0</x:v>
      </x:c>
      <x:c r="P433" s="6" t="n">
        <x:f>ROUND(O433*'Debt strategy'!$D$11/12,2)</x:f>
        <x:v>0</x:v>
      </x:c>
      <x:c r="Q433" s="6" t="n">
        <x:f>MIN(O433+P433,'Debt strategy'!$E$11)</x:f>
        <x:v>0</x:v>
      </x:c>
      <x:c r="R433" s="27" t="n">
        <x:f>IF(O433+P433-Q433&lt;=0,99,1+SUM(IF(AND(C433+D433-E433&gt;0,OR('Debt strategy'!$D$9&gt;'Debt strategy'!$D$11,AND('Debt strategy'!$D$9='Debt strategy'!$D$11,0&lt;2))),1,0),IF(AND(I433+J433-K433&gt;0,OR('Debt strategy'!$D$10&gt;'Debt strategy'!$D$11,AND('Debt strategy'!$D$10='Debt strategy'!$D$11,1&lt;2))),1,0),IF(AND(U433+V433-W433&gt;0,OR('Debt strategy'!$D$12&gt;'Debt strategy'!$D$11,AND('Debt strategy'!$D$12='Debt strategy'!$D$11,3&lt;2))),1,0),IF(AND(AA433+AB433-AC433&gt;0,OR('Debt strategy'!$D$13&gt;'Debt strategy'!$D$11,AND('Debt strategy'!$D$13='Debt strategy'!$D$11,4&lt;2))),1,0)))</x:f>
        <x:v>99</x:v>
      </x:c>
      <x:c r="S433" s="6" t="n">
        <x:f>IF('Debt strategy'!$C$16&gt;0,0,MIN(O433+P433-Q433,MAX(0,'Debt strategy'!$C$5-SUM(E433,K433,Q433,W433,AC433)-SUM(IF(F433&lt;R433,C433+D433-E433,0),IF(L433&lt;R433,I433+J433-K433,0),IF(X433&lt;R433,U433+V433-W433,0),IF(AD433&lt;R433,AA433+AB433-AC433,0)))))</x:f>
        <x:v>0</x:v>
      </x:c>
      <x:c r="T433" s="6" t="n">
        <x:f>ROUND(MAX(0,O433+P433-Q433-S433),2)</x:f>
        <x:v>0</x:v>
      </x:c>
      <x:c r="U433" s="6" t="n">
        <x:f>Z432</x:f>
        <x:v>0</x:v>
      </x:c>
      <x:c r="V433" s="6" t="n">
        <x:f>ROUND(U433*'Debt strategy'!$D$12/12,2)</x:f>
        <x:v>0</x:v>
      </x:c>
      <x:c r="W433" s="6" t="n">
        <x:f>MIN(U433+V433,'Debt strategy'!$E$12)</x:f>
        <x:v>0</x:v>
      </x:c>
      <x:c r="X433" s="27" t="n">
        <x:f>IF(U433+V433-W433&lt;=0,99,1+SUM(IF(AND(C433+D433-E433&gt;0,OR('Debt strategy'!$D$9&gt;'Debt strategy'!$D$12,AND('Debt strategy'!$D$9='Debt strategy'!$D$12,0&lt;3))),1,0),IF(AND(I433+J433-K433&gt;0,OR('Debt strategy'!$D$10&gt;'Debt strategy'!$D$12,AND('Debt strategy'!$D$10='Debt strategy'!$D$12,1&lt;3))),1,0),IF(AND(O433+P433-Q433&gt;0,OR('Debt strategy'!$D$11&gt;'Debt strategy'!$D$12,AND('Debt strategy'!$D$11='Debt strategy'!$D$12,2&lt;3))),1,0),IF(AND(AA433+AB433-AC433&gt;0,OR('Debt strategy'!$D$13&gt;'Debt strategy'!$D$12,AND('Debt strategy'!$D$13='Debt strategy'!$D$12,4&lt;3))),1,0)))</x:f>
        <x:v>99</x:v>
      </x:c>
      <x:c r="Y433" s="6" t="n">
        <x:f>IF('Debt strategy'!$C$16&gt;0,0,MIN(U433+V433-W433,MAX(0,'Debt strategy'!$C$5-SUM(E433,K433,Q433,W433,AC433)-SUM(IF(F433&lt;X433,C433+D433-E433,0),IF(L433&lt;X433,I433+J433-K433,0),IF(R433&lt;X433,O433+P433-Q433,0),IF(AD433&lt;X433,AA433+AB433-AC433,0)))))</x:f>
        <x:v>0</x:v>
      </x:c>
      <x:c r="Z433" s="6" t="n">
        <x:f>ROUND(MAX(0,U433+V433-W433-Y433),2)</x:f>
        <x:v>0</x:v>
      </x:c>
      <x:c r="AA433" s="6" t="n">
        <x:f>AF432</x:f>
        <x:v>0</x:v>
      </x:c>
      <x:c r="AB433" s="6" t="n">
        <x:f>ROUND(AA433*'Debt strategy'!$D$13/12,2)</x:f>
        <x:v>0</x:v>
      </x:c>
      <x:c r="AC433" s="6" t="n">
        <x:f>MIN(AA433+AB433,'Debt strategy'!$E$13)</x:f>
        <x:v>0</x:v>
      </x:c>
      <x:c r="AD433" s="27" t="n">
        <x:f>IF(AA433+AB433-AC433&lt;=0,99,1+SUM(IF(AND(C433+D433-E433&gt;0,OR('Debt strategy'!$D$9&gt;'Debt strategy'!$D$13,AND('Debt strategy'!$D$9='Debt strategy'!$D$13,0&lt;4))),1,0),IF(AND(I433+J433-K433&gt;0,OR('Debt strategy'!$D$10&gt;'Debt strategy'!$D$13,AND('Debt strategy'!$D$10='Debt strategy'!$D$13,1&lt;4))),1,0),IF(AND(O433+P433-Q433&gt;0,OR('Debt strategy'!$D$11&gt;'Debt strategy'!$D$13,AND('Debt strategy'!$D$11='Debt strategy'!$D$13,2&lt;4))),1,0),IF(AND(U433+V433-W433&gt;0,OR('Debt strategy'!$D$12&gt;'Debt strategy'!$D$13,AND('Debt strategy'!$D$12='Debt strategy'!$D$13,3&lt;4))),1,0)))</x:f>
        <x:v>99</x:v>
      </x:c>
      <x:c r="AE433" s="6" t="n">
        <x:f>IF('Debt strategy'!$C$16&gt;0,0,MIN(AA433+AB433-AC433,MAX(0,'Debt strategy'!$C$5-SUM(E433,K433,Q433,W433,AC433)-SUM(IF(F433&lt;AD433,C433+D433-E433,0),IF(L433&lt;AD433,I433+J433-K433,0),IF(R433&lt;AD433,O433+P433-Q433,0),IF(X433&lt;AD433,U433+V433-W433,0)))))</x:f>
        <x:v>0</x:v>
      </x:c>
      <x:c r="AF433" s="6" t="n">
        <x:f>ROUND(MAX(0,AA433+AB433-AC433-AE433),2)</x:f>
        <x:v>0</x:v>
      </x:c>
      <x:c r="AG433" s="6" t="n">
        <x:f>SUM(H433,N433,T433,Z433,AF433)</x:f>
        <x:v>0</x:v>
      </x:c>
      <x:c r="AH433" s="6" t="n">
        <x:f>SUM(D433,J433,P433,V433,AB433)+AH432</x:f>
        <x:v>1220.8400000000001</x:v>
      </x:c>
      <x:c r="AI433" s="2"/>
    </x:row>
    <x:row r="434" ht="23" customHeight="1">
      <x:c r="B434" s="2" t="n">
        <x:f>426</x:f>
        <x:v>426</x:v>
      </x:c>
      <x:c r="C434" s="6" t="n">
        <x:f>H433</x:f>
        <x:v>0</x:v>
      </x:c>
      <x:c r="D434" s="6" t="n">
        <x:f>ROUND(C434*'Debt strategy'!$D$9/12,2)</x:f>
        <x:v>0</x:v>
      </x:c>
      <x:c r="E434" s="6" t="n">
        <x:f>MIN(C434+D434,'Debt strategy'!$E$9)</x:f>
        <x:v>0</x:v>
      </x:c>
      <x:c r="F434" s="27" t="n">
        <x:f>IF(C434+D434-E434&lt;=0,99,1+SUM(IF(AND(I434+J434-K434&gt;0,OR('Debt strategy'!$D$10&gt;'Debt strategy'!$D$9,AND('Debt strategy'!$D$10='Debt strategy'!$D$9,1&lt;0))),1,0),IF(AND(O434+P434-Q434&gt;0,OR('Debt strategy'!$D$11&gt;'Debt strategy'!$D$9,AND('Debt strategy'!$D$11='Debt strategy'!$D$9,2&lt;0))),1,0),IF(AND(U434+V434-W434&gt;0,OR('Debt strategy'!$D$12&gt;'Debt strategy'!$D$9,AND('Debt strategy'!$D$12='Debt strategy'!$D$9,3&lt;0))),1,0),IF(AND(AA434+AB434-AC434&gt;0,OR('Debt strategy'!$D$13&gt;'Debt strategy'!$D$9,AND('Debt strategy'!$D$13='Debt strategy'!$D$9,4&lt;0))),1,0)))</x:f>
        <x:v>99</x:v>
      </x:c>
      <x:c r="G434" s="6" t="n">
        <x:f>IF('Debt strategy'!$C$16&gt;0,0,MIN(C434+D434-E434,MAX(0,'Debt strategy'!$C$5-SUM(E434,K434,Q434,W434,AC434)-SUM(IF(L434&lt;F434,I434+J434-K434,0),IF(R434&lt;F434,O434+P434-Q434,0),IF(X434&lt;F434,U434+V434-W434,0),IF(AD434&lt;F434,AA434+AB434-AC434,0)))))</x:f>
        <x:v>0</x:v>
      </x:c>
      <x:c r="H434" s="6" t="n">
        <x:f>ROUND(MAX(0,C434+D434-E434-G434),2)</x:f>
        <x:v>0</x:v>
      </x:c>
      <x:c r="I434" s="6" t="n">
        <x:f>N433</x:f>
        <x:v>0</x:v>
      </x:c>
      <x:c r="J434" s="6" t="n">
        <x:f>ROUND(I434*'Debt strategy'!$D$10/12,2)</x:f>
        <x:v>0</x:v>
      </x:c>
      <x:c r="K434" s="6" t="n">
        <x:f>MIN(I434+J434,'Debt strategy'!$E$10)</x:f>
        <x:v>0</x:v>
      </x:c>
      <x:c r="L434" s="27" t="n">
        <x:f>IF(I434+J434-K434&lt;=0,99,1+SUM(IF(AND(C434+D434-E434&gt;0,OR('Debt strategy'!$D$9&gt;'Debt strategy'!$D$10,AND('Debt strategy'!$D$9='Debt strategy'!$D$10,0&lt;1))),1,0),IF(AND(O434+P434-Q434&gt;0,OR('Debt strategy'!$D$11&gt;'Debt strategy'!$D$10,AND('Debt strategy'!$D$11='Debt strategy'!$D$10,2&lt;1))),1,0),IF(AND(U434+V434-W434&gt;0,OR('Debt strategy'!$D$12&gt;'Debt strategy'!$D$10,AND('Debt strategy'!$D$12='Debt strategy'!$D$10,3&lt;1))),1,0),IF(AND(AA434+AB434-AC434&gt;0,OR('Debt strategy'!$D$13&gt;'Debt strategy'!$D$10,AND('Debt strategy'!$D$13='Debt strategy'!$D$10,4&lt;1))),1,0)))</x:f>
        <x:v>99</x:v>
      </x:c>
      <x:c r="M434" s="6" t="n">
        <x:f>IF('Debt strategy'!$C$16&gt;0,0,MIN(I434+J434-K434,MAX(0,'Debt strategy'!$C$5-SUM(E434,K434,Q434,W434,AC434)-SUM(IF(F434&lt;L434,C434+D434-E434,0),IF(R434&lt;L434,O434+P434-Q434,0),IF(X434&lt;L434,U434+V434-W434,0),IF(AD434&lt;L434,AA434+AB434-AC434,0)))))</x:f>
        <x:v>0</x:v>
      </x:c>
      <x:c r="N434" s="6" t="n">
        <x:f>ROUND(MAX(0,I434+J434-K434-M434),2)</x:f>
        <x:v>0</x:v>
      </x:c>
      <x:c r="O434" s="6" t="n">
        <x:f>T433</x:f>
        <x:v>0</x:v>
      </x:c>
      <x:c r="P434" s="6" t="n">
        <x:f>ROUND(O434*'Debt strategy'!$D$11/12,2)</x:f>
        <x:v>0</x:v>
      </x:c>
      <x:c r="Q434" s="6" t="n">
        <x:f>MIN(O434+P434,'Debt strategy'!$E$11)</x:f>
        <x:v>0</x:v>
      </x:c>
      <x:c r="R434" s="27" t="n">
        <x:f>IF(O434+P434-Q434&lt;=0,99,1+SUM(IF(AND(C434+D434-E434&gt;0,OR('Debt strategy'!$D$9&gt;'Debt strategy'!$D$11,AND('Debt strategy'!$D$9='Debt strategy'!$D$11,0&lt;2))),1,0),IF(AND(I434+J434-K434&gt;0,OR('Debt strategy'!$D$10&gt;'Debt strategy'!$D$11,AND('Debt strategy'!$D$10='Debt strategy'!$D$11,1&lt;2))),1,0),IF(AND(U434+V434-W434&gt;0,OR('Debt strategy'!$D$12&gt;'Debt strategy'!$D$11,AND('Debt strategy'!$D$12='Debt strategy'!$D$11,3&lt;2))),1,0),IF(AND(AA434+AB434-AC434&gt;0,OR('Debt strategy'!$D$13&gt;'Debt strategy'!$D$11,AND('Debt strategy'!$D$13='Debt strategy'!$D$11,4&lt;2))),1,0)))</x:f>
        <x:v>99</x:v>
      </x:c>
      <x:c r="S434" s="6" t="n">
        <x:f>IF('Debt strategy'!$C$16&gt;0,0,MIN(O434+P434-Q434,MAX(0,'Debt strategy'!$C$5-SUM(E434,K434,Q434,W434,AC434)-SUM(IF(F434&lt;R434,C434+D434-E434,0),IF(L434&lt;R434,I434+J434-K434,0),IF(X434&lt;R434,U434+V434-W434,0),IF(AD434&lt;R434,AA434+AB434-AC434,0)))))</x:f>
        <x:v>0</x:v>
      </x:c>
      <x:c r="T434" s="6" t="n">
        <x:f>ROUND(MAX(0,O434+P434-Q434-S434),2)</x:f>
        <x:v>0</x:v>
      </x:c>
      <x:c r="U434" s="6" t="n">
        <x:f>Z433</x:f>
        <x:v>0</x:v>
      </x:c>
      <x:c r="V434" s="6" t="n">
        <x:f>ROUND(U434*'Debt strategy'!$D$12/12,2)</x:f>
        <x:v>0</x:v>
      </x:c>
      <x:c r="W434" s="6" t="n">
        <x:f>MIN(U434+V434,'Debt strategy'!$E$12)</x:f>
        <x:v>0</x:v>
      </x:c>
      <x:c r="X434" s="27" t="n">
        <x:f>IF(U434+V434-W434&lt;=0,99,1+SUM(IF(AND(C434+D434-E434&gt;0,OR('Debt strategy'!$D$9&gt;'Debt strategy'!$D$12,AND('Debt strategy'!$D$9='Debt strategy'!$D$12,0&lt;3))),1,0),IF(AND(I434+J434-K434&gt;0,OR('Debt strategy'!$D$10&gt;'Debt strategy'!$D$12,AND('Debt strategy'!$D$10='Debt strategy'!$D$12,1&lt;3))),1,0),IF(AND(O434+P434-Q434&gt;0,OR('Debt strategy'!$D$11&gt;'Debt strategy'!$D$12,AND('Debt strategy'!$D$11='Debt strategy'!$D$12,2&lt;3))),1,0),IF(AND(AA434+AB434-AC434&gt;0,OR('Debt strategy'!$D$13&gt;'Debt strategy'!$D$12,AND('Debt strategy'!$D$13='Debt strategy'!$D$12,4&lt;3))),1,0)))</x:f>
        <x:v>99</x:v>
      </x:c>
      <x:c r="Y434" s="6" t="n">
        <x:f>IF('Debt strategy'!$C$16&gt;0,0,MIN(U434+V434-W434,MAX(0,'Debt strategy'!$C$5-SUM(E434,K434,Q434,W434,AC434)-SUM(IF(F434&lt;X434,C434+D434-E434,0),IF(L434&lt;X434,I434+J434-K434,0),IF(R434&lt;X434,O434+P434-Q434,0),IF(AD434&lt;X434,AA434+AB434-AC434,0)))))</x:f>
        <x:v>0</x:v>
      </x:c>
      <x:c r="Z434" s="6" t="n">
        <x:f>ROUND(MAX(0,U434+V434-W434-Y434),2)</x:f>
        <x:v>0</x:v>
      </x:c>
      <x:c r="AA434" s="6" t="n">
        <x:f>AF433</x:f>
        <x:v>0</x:v>
      </x:c>
      <x:c r="AB434" s="6" t="n">
        <x:f>ROUND(AA434*'Debt strategy'!$D$13/12,2)</x:f>
        <x:v>0</x:v>
      </x:c>
      <x:c r="AC434" s="6" t="n">
        <x:f>MIN(AA434+AB434,'Debt strategy'!$E$13)</x:f>
        <x:v>0</x:v>
      </x:c>
      <x:c r="AD434" s="27" t="n">
        <x:f>IF(AA434+AB434-AC434&lt;=0,99,1+SUM(IF(AND(C434+D434-E434&gt;0,OR('Debt strategy'!$D$9&gt;'Debt strategy'!$D$13,AND('Debt strategy'!$D$9='Debt strategy'!$D$13,0&lt;4))),1,0),IF(AND(I434+J434-K434&gt;0,OR('Debt strategy'!$D$10&gt;'Debt strategy'!$D$13,AND('Debt strategy'!$D$10='Debt strategy'!$D$13,1&lt;4))),1,0),IF(AND(O434+P434-Q434&gt;0,OR('Debt strategy'!$D$11&gt;'Debt strategy'!$D$13,AND('Debt strategy'!$D$11='Debt strategy'!$D$13,2&lt;4))),1,0),IF(AND(U434+V434-W434&gt;0,OR('Debt strategy'!$D$12&gt;'Debt strategy'!$D$13,AND('Debt strategy'!$D$12='Debt strategy'!$D$13,3&lt;4))),1,0)))</x:f>
        <x:v>99</x:v>
      </x:c>
      <x:c r="AE434" s="6" t="n">
        <x:f>IF('Debt strategy'!$C$16&gt;0,0,MIN(AA434+AB434-AC434,MAX(0,'Debt strategy'!$C$5-SUM(E434,K434,Q434,W434,AC434)-SUM(IF(F434&lt;AD434,C434+D434-E434,0),IF(L434&lt;AD434,I434+J434-K434,0),IF(R434&lt;AD434,O434+P434-Q434,0),IF(X434&lt;AD434,U434+V434-W434,0)))))</x:f>
        <x:v>0</x:v>
      </x:c>
      <x:c r="AF434" s="6" t="n">
        <x:f>ROUND(MAX(0,AA434+AB434-AC434-AE434),2)</x:f>
        <x:v>0</x:v>
      </x:c>
      <x:c r="AG434" s="6" t="n">
        <x:f>SUM(H434,N434,T434,Z434,AF434)</x:f>
        <x:v>0</x:v>
      </x:c>
      <x:c r="AH434" s="6" t="n">
        <x:f>SUM(D434,J434,P434,V434,AB434)+AH433</x:f>
        <x:v>1220.8400000000001</x:v>
      </x:c>
      <x:c r="AI434" s="2"/>
    </x:row>
    <x:row r="435" ht="23" customHeight="1">
      <x:c r="B435" s="2" t="n">
        <x:f>427</x:f>
        <x:v>427</x:v>
      </x:c>
      <x:c r="C435" s="6" t="n">
        <x:f>H434</x:f>
        <x:v>0</x:v>
      </x:c>
      <x:c r="D435" s="6" t="n">
        <x:f>ROUND(C435*'Debt strategy'!$D$9/12,2)</x:f>
        <x:v>0</x:v>
      </x:c>
      <x:c r="E435" s="6" t="n">
        <x:f>MIN(C435+D435,'Debt strategy'!$E$9)</x:f>
        <x:v>0</x:v>
      </x:c>
      <x:c r="F435" s="27" t="n">
        <x:f>IF(C435+D435-E435&lt;=0,99,1+SUM(IF(AND(I435+J435-K435&gt;0,OR('Debt strategy'!$D$10&gt;'Debt strategy'!$D$9,AND('Debt strategy'!$D$10='Debt strategy'!$D$9,1&lt;0))),1,0),IF(AND(O435+P435-Q435&gt;0,OR('Debt strategy'!$D$11&gt;'Debt strategy'!$D$9,AND('Debt strategy'!$D$11='Debt strategy'!$D$9,2&lt;0))),1,0),IF(AND(U435+V435-W435&gt;0,OR('Debt strategy'!$D$12&gt;'Debt strategy'!$D$9,AND('Debt strategy'!$D$12='Debt strategy'!$D$9,3&lt;0))),1,0),IF(AND(AA435+AB435-AC435&gt;0,OR('Debt strategy'!$D$13&gt;'Debt strategy'!$D$9,AND('Debt strategy'!$D$13='Debt strategy'!$D$9,4&lt;0))),1,0)))</x:f>
        <x:v>99</x:v>
      </x:c>
      <x:c r="G435" s="6" t="n">
        <x:f>IF('Debt strategy'!$C$16&gt;0,0,MIN(C435+D435-E435,MAX(0,'Debt strategy'!$C$5-SUM(E435,K435,Q435,W435,AC435)-SUM(IF(L435&lt;F435,I435+J435-K435,0),IF(R435&lt;F435,O435+P435-Q435,0),IF(X435&lt;F435,U435+V435-W435,0),IF(AD435&lt;F435,AA435+AB435-AC435,0)))))</x:f>
        <x:v>0</x:v>
      </x:c>
      <x:c r="H435" s="6" t="n">
        <x:f>ROUND(MAX(0,C435+D435-E435-G435),2)</x:f>
        <x:v>0</x:v>
      </x:c>
      <x:c r="I435" s="6" t="n">
        <x:f>N434</x:f>
        <x:v>0</x:v>
      </x:c>
      <x:c r="J435" s="6" t="n">
        <x:f>ROUND(I435*'Debt strategy'!$D$10/12,2)</x:f>
        <x:v>0</x:v>
      </x:c>
      <x:c r="K435" s="6" t="n">
        <x:f>MIN(I435+J435,'Debt strategy'!$E$10)</x:f>
        <x:v>0</x:v>
      </x:c>
      <x:c r="L435" s="27" t="n">
        <x:f>IF(I435+J435-K435&lt;=0,99,1+SUM(IF(AND(C435+D435-E435&gt;0,OR('Debt strategy'!$D$9&gt;'Debt strategy'!$D$10,AND('Debt strategy'!$D$9='Debt strategy'!$D$10,0&lt;1))),1,0),IF(AND(O435+P435-Q435&gt;0,OR('Debt strategy'!$D$11&gt;'Debt strategy'!$D$10,AND('Debt strategy'!$D$11='Debt strategy'!$D$10,2&lt;1))),1,0),IF(AND(U435+V435-W435&gt;0,OR('Debt strategy'!$D$12&gt;'Debt strategy'!$D$10,AND('Debt strategy'!$D$12='Debt strategy'!$D$10,3&lt;1))),1,0),IF(AND(AA435+AB435-AC435&gt;0,OR('Debt strategy'!$D$13&gt;'Debt strategy'!$D$10,AND('Debt strategy'!$D$13='Debt strategy'!$D$10,4&lt;1))),1,0)))</x:f>
        <x:v>99</x:v>
      </x:c>
      <x:c r="M435" s="6" t="n">
        <x:f>IF('Debt strategy'!$C$16&gt;0,0,MIN(I435+J435-K435,MAX(0,'Debt strategy'!$C$5-SUM(E435,K435,Q435,W435,AC435)-SUM(IF(F435&lt;L435,C435+D435-E435,0),IF(R435&lt;L435,O435+P435-Q435,0),IF(X435&lt;L435,U435+V435-W435,0),IF(AD435&lt;L435,AA435+AB435-AC435,0)))))</x:f>
        <x:v>0</x:v>
      </x:c>
      <x:c r="N435" s="6" t="n">
        <x:f>ROUND(MAX(0,I435+J435-K435-M435),2)</x:f>
        <x:v>0</x:v>
      </x:c>
      <x:c r="O435" s="6" t="n">
        <x:f>T434</x:f>
        <x:v>0</x:v>
      </x:c>
      <x:c r="P435" s="6" t="n">
        <x:f>ROUND(O435*'Debt strategy'!$D$11/12,2)</x:f>
        <x:v>0</x:v>
      </x:c>
      <x:c r="Q435" s="6" t="n">
        <x:f>MIN(O435+P435,'Debt strategy'!$E$11)</x:f>
        <x:v>0</x:v>
      </x:c>
      <x:c r="R435" s="27" t="n">
        <x:f>IF(O435+P435-Q435&lt;=0,99,1+SUM(IF(AND(C435+D435-E435&gt;0,OR('Debt strategy'!$D$9&gt;'Debt strategy'!$D$11,AND('Debt strategy'!$D$9='Debt strategy'!$D$11,0&lt;2))),1,0),IF(AND(I435+J435-K435&gt;0,OR('Debt strategy'!$D$10&gt;'Debt strategy'!$D$11,AND('Debt strategy'!$D$10='Debt strategy'!$D$11,1&lt;2))),1,0),IF(AND(U435+V435-W435&gt;0,OR('Debt strategy'!$D$12&gt;'Debt strategy'!$D$11,AND('Debt strategy'!$D$12='Debt strategy'!$D$11,3&lt;2))),1,0),IF(AND(AA435+AB435-AC435&gt;0,OR('Debt strategy'!$D$13&gt;'Debt strategy'!$D$11,AND('Debt strategy'!$D$13='Debt strategy'!$D$11,4&lt;2))),1,0)))</x:f>
        <x:v>99</x:v>
      </x:c>
      <x:c r="S435" s="6" t="n">
        <x:f>IF('Debt strategy'!$C$16&gt;0,0,MIN(O435+P435-Q435,MAX(0,'Debt strategy'!$C$5-SUM(E435,K435,Q435,W435,AC435)-SUM(IF(F435&lt;R435,C435+D435-E435,0),IF(L435&lt;R435,I435+J435-K435,0),IF(X435&lt;R435,U435+V435-W435,0),IF(AD435&lt;R435,AA435+AB435-AC435,0)))))</x:f>
        <x:v>0</x:v>
      </x:c>
      <x:c r="T435" s="6" t="n">
        <x:f>ROUND(MAX(0,O435+P435-Q435-S435),2)</x:f>
        <x:v>0</x:v>
      </x:c>
      <x:c r="U435" s="6" t="n">
        <x:f>Z434</x:f>
        <x:v>0</x:v>
      </x:c>
      <x:c r="V435" s="6" t="n">
        <x:f>ROUND(U435*'Debt strategy'!$D$12/12,2)</x:f>
        <x:v>0</x:v>
      </x:c>
      <x:c r="W435" s="6" t="n">
        <x:f>MIN(U435+V435,'Debt strategy'!$E$12)</x:f>
        <x:v>0</x:v>
      </x:c>
      <x:c r="X435" s="27" t="n">
        <x:f>IF(U435+V435-W435&lt;=0,99,1+SUM(IF(AND(C435+D435-E435&gt;0,OR('Debt strategy'!$D$9&gt;'Debt strategy'!$D$12,AND('Debt strategy'!$D$9='Debt strategy'!$D$12,0&lt;3))),1,0),IF(AND(I435+J435-K435&gt;0,OR('Debt strategy'!$D$10&gt;'Debt strategy'!$D$12,AND('Debt strategy'!$D$10='Debt strategy'!$D$12,1&lt;3))),1,0),IF(AND(O435+P435-Q435&gt;0,OR('Debt strategy'!$D$11&gt;'Debt strategy'!$D$12,AND('Debt strategy'!$D$11='Debt strategy'!$D$12,2&lt;3))),1,0),IF(AND(AA435+AB435-AC435&gt;0,OR('Debt strategy'!$D$13&gt;'Debt strategy'!$D$12,AND('Debt strategy'!$D$13='Debt strategy'!$D$12,4&lt;3))),1,0)))</x:f>
        <x:v>99</x:v>
      </x:c>
      <x:c r="Y435" s="6" t="n">
        <x:f>IF('Debt strategy'!$C$16&gt;0,0,MIN(U435+V435-W435,MAX(0,'Debt strategy'!$C$5-SUM(E435,K435,Q435,W435,AC435)-SUM(IF(F435&lt;X435,C435+D435-E435,0),IF(L435&lt;X435,I435+J435-K435,0),IF(R435&lt;X435,O435+P435-Q435,0),IF(AD435&lt;X435,AA435+AB435-AC435,0)))))</x:f>
        <x:v>0</x:v>
      </x:c>
      <x:c r="Z435" s="6" t="n">
        <x:f>ROUND(MAX(0,U435+V435-W435-Y435),2)</x:f>
        <x:v>0</x:v>
      </x:c>
      <x:c r="AA435" s="6" t="n">
        <x:f>AF434</x:f>
        <x:v>0</x:v>
      </x:c>
      <x:c r="AB435" s="6" t="n">
        <x:f>ROUND(AA435*'Debt strategy'!$D$13/12,2)</x:f>
        <x:v>0</x:v>
      </x:c>
      <x:c r="AC435" s="6" t="n">
        <x:f>MIN(AA435+AB435,'Debt strategy'!$E$13)</x:f>
        <x:v>0</x:v>
      </x:c>
      <x:c r="AD435" s="27" t="n">
        <x:f>IF(AA435+AB435-AC435&lt;=0,99,1+SUM(IF(AND(C435+D435-E435&gt;0,OR('Debt strategy'!$D$9&gt;'Debt strategy'!$D$13,AND('Debt strategy'!$D$9='Debt strategy'!$D$13,0&lt;4))),1,0),IF(AND(I435+J435-K435&gt;0,OR('Debt strategy'!$D$10&gt;'Debt strategy'!$D$13,AND('Debt strategy'!$D$10='Debt strategy'!$D$13,1&lt;4))),1,0),IF(AND(O435+P435-Q435&gt;0,OR('Debt strategy'!$D$11&gt;'Debt strategy'!$D$13,AND('Debt strategy'!$D$11='Debt strategy'!$D$13,2&lt;4))),1,0),IF(AND(U435+V435-W435&gt;0,OR('Debt strategy'!$D$12&gt;'Debt strategy'!$D$13,AND('Debt strategy'!$D$12='Debt strategy'!$D$13,3&lt;4))),1,0)))</x:f>
        <x:v>99</x:v>
      </x:c>
      <x:c r="AE435" s="6" t="n">
        <x:f>IF('Debt strategy'!$C$16&gt;0,0,MIN(AA435+AB435-AC435,MAX(0,'Debt strategy'!$C$5-SUM(E435,K435,Q435,W435,AC435)-SUM(IF(F435&lt;AD435,C435+D435-E435,0),IF(L435&lt;AD435,I435+J435-K435,0),IF(R435&lt;AD435,O435+P435-Q435,0),IF(X435&lt;AD435,U435+V435-W435,0)))))</x:f>
        <x:v>0</x:v>
      </x:c>
      <x:c r="AF435" s="6" t="n">
        <x:f>ROUND(MAX(0,AA435+AB435-AC435-AE435),2)</x:f>
        <x:v>0</x:v>
      </x:c>
      <x:c r="AG435" s="6" t="n">
        <x:f>SUM(H435,N435,T435,Z435,AF435)</x:f>
        <x:v>0</x:v>
      </x:c>
      <x:c r="AH435" s="6" t="n">
        <x:f>SUM(D435,J435,P435,V435,AB435)+AH434</x:f>
        <x:v>1220.8400000000001</x:v>
      </x:c>
      <x:c r="AI435" s="2"/>
    </x:row>
    <x:row r="436" ht="23" customHeight="1">
      <x:c r="B436" s="2" t="n">
        <x:f>428</x:f>
        <x:v>428</x:v>
      </x:c>
      <x:c r="C436" s="6" t="n">
        <x:f>H435</x:f>
        <x:v>0</x:v>
      </x:c>
      <x:c r="D436" s="6" t="n">
        <x:f>ROUND(C436*'Debt strategy'!$D$9/12,2)</x:f>
        <x:v>0</x:v>
      </x:c>
      <x:c r="E436" s="6" t="n">
        <x:f>MIN(C436+D436,'Debt strategy'!$E$9)</x:f>
        <x:v>0</x:v>
      </x:c>
      <x:c r="F436" s="27" t="n">
        <x:f>IF(C436+D436-E436&lt;=0,99,1+SUM(IF(AND(I436+J436-K436&gt;0,OR('Debt strategy'!$D$10&gt;'Debt strategy'!$D$9,AND('Debt strategy'!$D$10='Debt strategy'!$D$9,1&lt;0))),1,0),IF(AND(O436+P436-Q436&gt;0,OR('Debt strategy'!$D$11&gt;'Debt strategy'!$D$9,AND('Debt strategy'!$D$11='Debt strategy'!$D$9,2&lt;0))),1,0),IF(AND(U436+V436-W436&gt;0,OR('Debt strategy'!$D$12&gt;'Debt strategy'!$D$9,AND('Debt strategy'!$D$12='Debt strategy'!$D$9,3&lt;0))),1,0),IF(AND(AA436+AB436-AC436&gt;0,OR('Debt strategy'!$D$13&gt;'Debt strategy'!$D$9,AND('Debt strategy'!$D$13='Debt strategy'!$D$9,4&lt;0))),1,0)))</x:f>
        <x:v>99</x:v>
      </x:c>
      <x:c r="G436" s="6" t="n">
        <x:f>IF('Debt strategy'!$C$16&gt;0,0,MIN(C436+D436-E436,MAX(0,'Debt strategy'!$C$5-SUM(E436,K436,Q436,W436,AC436)-SUM(IF(L436&lt;F436,I436+J436-K436,0),IF(R436&lt;F436,O436+P436-Q436,0),IF(X436&lt;F436,U436+V436-W436,0),IF(AD436&lt;F436,AA436+AB436-AC436,0)))))</x:f>
        <x:v>0</x:v>
      </x:c>
      <x:c r="H436" s="6" t="n">
        <x:f>ROUND(MAX(0,C436+D436-E436-G436),2)</x:f>
        <x:v>0</x:v>
      </x:c>
      <x:c r="I436" s="6" t="n">
        <x:f>N435</x:f>
        <x:v>0</x:v>
      </x:c>
      <x:c r="J436" s="6" t="n">
        <x:f>ROUND(I436*'Debt strategy'!$D$10/12,2)</x:f>
        <x:v>0</x:v>
      </x:c>
      <x:c r="K436" s="6" t="n">
        <x:f>MIN(I436+J436,'Debt strategy'!$E$10)</x:f>
        <x:v>0</x:v>
      </x:c>
      <x:c r="L436" s="27" t="n">
        <x:f>IF(I436+J436-K436&lt;=0,99,1+SUM(IF(AND(C436+D436-E436&gt;0,OR('Debt strategy'!$D$9&gt;'Debt strategy'!$D$10,AND('Debt strategy'!$D$9='Debt strategy'!$D$10,0&lt;1))),1,0),IF(AND(O436+P436-Q436&gt;0,OR('Debt strategy'!$D$11&gt;'Debt strategy'!$D$10,AND('Debt strategy'!$D$11='Debt strategy'!$D$10,2&lt;1))),1,0),IF(AND(U436+V436-W436&gt;0,OR('Debt strategy'!$D$12&gt;'Debt strategy'!$D$10,AND('Debt strategy'!$D$12='Debt strategy'!$D$10,3&lt;1))),1,0),IF(AND(AA436+AB436-AC436&gt;0,OR('Debt strategy'!$D$13&gt;'Debt strategy'!$D$10,AND('Debt strategy'!$D$13='Debt strategy'!$D$10,4&lt;1))),1,0)))</x:f>
        <x:v>99</x:v>
      </x:c>
      <x:c r="M436" s="6" t="n">
        <x:f>IF('Debt strategy'!$C$16&gt;0,0,MIN(I436+J436-K436,MAX(0,'Debt strategy'!$C$5-SUM(E436,K436,Q436,W436,AC436)-SUM(IF(F436&lt;L436,C436+D436-E436,0),IF(R436&lt;L436,O436+P436-Q436,0),IF(X436&lt;L436,U436+V436-W436,0),IF(AD436&lt;L436,AA436+AB436-AC436,0)))))</x:f>
        <x:v>0</x:v>
      </x:c>
      <x:c r="N436" s="6" t="n">
        <x:f>ROUND(MAX(0,I436+J436-K436-M436),2)</x:f>
        <x:v>0</x:v>
      </x:c>
      <x:c r="O436" s="6" t="n">
        <x:f>T435</x:f>
        <x:v>0</x:v>
      </x:c>
      <x:c r="P436" s="6" t="n">
        <x:f>ROUND(O436*'Debt strategy'!$D$11/12,2)</x:f>
        <x:v>0</x:v>
      </x:c>
      <x:c r="Q436" s="6" t="n">
        <x:f>MIN(O436+P436,'Debt strategy'!$E$11)</x:f>
        <x:v>0</x:v>
      </x:c>
      <x:c r="R436" s="27" t="n">
        <x:f>IF(O436+P436-Q436&lt;=0,99,1+SUM(IF(AND(C436+D436-E436&gt;0,OR('Debt strategy'!$D$9&gt;'Debt strategy'!$D$11,AND('Debt strategy'!$D$9='Debt strategy'!$D$11,0&lt;2))),1,0),IF(AND(I436+J436-K436&gt;0,OR('Debt strategy'!$D$10&gt;'Debt strategy'!$D$11,AND('Debt strategy'!$D$10='Debt strategy'!$D$11,1&lt;2))),1,0),IF(AND(U436+V436-W436&gt;0,OR('Debt strategy'!$D$12&gt;'Debt strategy'!$D$11,AND('Debt strategy'!$D$12='Debt strategy'!$D$11,3&lt;2))),1,0),IF(AND(AA436+AB436-AC436&gt;0,OR('Debt strategy'!$D$13&gt;'Debt strategy'!$D$11,AND('Debt strategy'!$D$13='Debt strategy'!$D$11,4&lt;2))),1,0)))</x:f>
        <x:v>99</x:v>
      </x:c>
      <x:c r="S436" s="6" t="n">
        <x:f>IF('Debt strategy'!$C$16&gt;0,0,MIN(O436+P436-Q436,MAX(0,'Debt strategy'!$C$5-SUM(E436,K436,Q436,W436,AC436)-SUM(IF(F436&lt;R436,C436+D436-E436,0),IF(L436&lt;R436,I436+J436-K436,0),IF(X436&lt;R436,U436+V436-W436,0),IF(AD436&lt;R436,AA436+AB436-AC436,0)))))</x:f>
        <x:v>0</x:v>
      </x:c>
      <x:c r="T436" s="6" t="n">
        <x:f>ROUND(MAX(0,O436+P436-Q436-S436),2)</x:f>
        <x:v>0</x:v>
      </x:c>
      <x:c r="U436" s="6" t="n">
        <x:f>Z435</x:f>
        <x:v>0</x:v>
      </x:c>
      <x:c r="V436" s="6" t="n">
        <x:f>ROUND(U436*'Debt strategy'!$D$12/12,2)</x:f>
        <x:v>0</x:v>
      </x:c>
      <x:c r="W436" s="6" t="n">
        <x:f>MIN(U436+V436,'Debt strategy'!$E$12)</x:f>
        <x:v>0</x:v>
      </x:c>
      <x:c r="X436" s="27" t="n">
        <x:f>IF(U436+V436-W436&lt;=0,99,1+SUM(IF(AND(C436+D436-E436&gt;0,OR('Debt strategy'!$D$9&gt;'Debt strategy'!$D$12,AND('Debt strategy'!$D$9='Debt strategy'!$D$12,0&lt;3))),1,0),IF(AND(I436+J436-K436&gt;0,OR('Debt strategy'!$D$10&gt;'Debt strategy'!$D$12,AND('Debt strategy'!$D$10='Debt strategy'!$D$12,1&lt;3))),1,0),IF(AND(O436+P436-Q436&gt;0,OR('Debt strategy'!$D$11&gt;'Debt strategy'!$D$12,AND('Debt strategy'!$D$11='Debt strategy'!$D$12,2&lt;3))),1,0),IF(AND(AA436+AB436-AC436&gt;0,OR('Debt strategy'!$D$13&gt;'Debt strategy'!$D$12,AND('Debt strategy'!$D$13='Debt strategy'!$D$12,4&lt;3))),1,0)))</x:f>
        <x:v>99</x:v>
      </x:c>
      <x:c r="Y436" s="6" t="n">
        <x:f>IF('Debt strategy'!$C$16&gt;0,0,MIN(U436+V436-W436,MAX(0,'Debt strategy'!$C$5-SUM(E436,K436,Q436,W436,AC436)-SUM(IF(F436&lt;X436,C436+D436-E436,0),IF(L436&lt;X436,I436+J436-K436,0),IF(R436&lt;X436,O436+P436-Q436,0),IF(AD436&lt;X436,AA436+AB436-AC436,0)))))</x:f>
        <x:v>0</x:v>
      </x:c>
      <x:c r="Z436" s="6" t="n">
        <x:f>ROUND(MAX(0,U436+V436-W436-Y436),2)</x:f>
        <x:v>0</x:v>
      </x:c>
      <x:c r="AA436" s="6" t="n">
        <x:f>AF435</x:f>
        <x:v>0</x:v>
      </x:c>
      <x:c r="AB436" s="6" t="n">
        <x:f>ROUND(AA436*'Debt strategy'!$D$13/12,2)</x:f>
        <x:v>0</x:v>
      </x:c>
      <x:c r="AC436" s="6" t="n">
        <x:f>MIN(AA436+AB436,'Debt strategy'!$E$13)</x:f>
        <x:v>0</x:v>
      </x:c>
      <x:c r="AD436" s="27" t="n">
        <x:f>IF(AA436+AB436-AC436&lt;=0,99,1+SUM(IF(AND(C436+D436-E436&gt;0,OR('Debt strategy'!$D$9&gt;'Debt strategy'!$D$13,AND('Debt strategy'!$D$9='Debt strategy'!$D$13,0&lt;4))),1,0),IF(AND(I436+J436-K436&gt;0,OR('Debt strategy'!$D$10&gt;'Debt strategy'!$D$13,AND('Debt strategy'!$D$10='Debt strategy'!$D$13,1&lt;4))),1,0),IF(AND(O436+P436-Q436&gt;0,OR('Debt strategy'!$D$11&gt;'Debt strategy'!$D$13,AND('Debt strategy'!$D$11='Debt strategy'!$D$13,2&lt;4))),1,0),IF(AND(U436+V436-W436&gt;0,OR('Debt strategy'!$D$12&gt;'Debt strategy'!$D$13,AND('Debt strategy'!$D$12='Debt strategy'!$D$13,3&lt;4))),1,0)))</x:f>
        <x:v>99</x:v>
      </x:c>
      <x:c r="AE436" s="6" t="n">
        <x:f>IF('Debt strategy'!$C$16&gt;0,0,MIN(AA436+AB436-AC436,MAX(0,'Debt strategy'!$C$5-SUM(E436,K436,Q436,W436,AC436)-SUM(IF(F436&lt;AD436,C436+D436-E436,0),IF(L436&lt;AD436,I436+J436-K436,0),IF(R436&lt;AD436,O436+P436-Q436,0),IF(X436&lt;AD436,U436+V436-W436,0)))))</x:f>
        <x:v>0</x:v>
      </x:c>
      <x:c r="AF436" s="6" t="n">
        <x:f>ROUND(MAX(0,AA436+AB436-AC436-AE436),2)</x:f>
        <x:v>0</x:v>
      </x:c>
      <x:c r="AG436" s="6" t="n">
        <x:f>SUM(H436,N436,T436,Z436,AF436)</x:f>
        <x:v>0</x:v>
      </x:c>
      <x:c r="AH436" s="6" t="n">
        <x:f>SUM(D436,J436,P436,V436,AB436)+AH435</x:f>
        <x:v>1220.8400000000001</x:v>
      </x:c>
      <x:c r="AI436" s="2"/>
    </x:row>
    <x:row r="437" ht="23" customHeight="1">
      <x:c r="B437" s="2" t="n">
        <x:f>429</x:f>
        <x:v>429</x:v>
      </x:c>
      <x:c r="C437" s="6" t="n">
        <x:f>H436</x:f>
        <x:v>0</x:v>
      </x:c>
      <x:c r="D437" s="6" t="n">
        <x:f>ROUND(C437*'Debt strategy'!$D$9/12,2)</x:f>
        <x:v>0</x:v>
      </x:c>
      <x:c r="E437" s="6" t="n">
        <x:f>MIN(C437+D437,'Debt strategy'!$E$9)</x:f>
        <x:v>0</x:v>
      </x:c>
      <x:c r="F437" s="27" t="n">
        <x:f>IF(C437+D437-E437&lt;=0,99,1+SUM(IF(AND(I437+J437-K437&gt;0,OR('Debt strategy'!$D$10&gt;'Debt strategy'!$D$9,AND('Debt strategy'!$D$10='Debt strategy'!$D$9,1&lt;0))),1,0),IF(AND(O437+P437-Q437&gt;0,OR('Debt strategy'!$D$11&gt;'Debt strategy'!$D$9,AND('Debt strategy'!$D$11='Debt strategy'!$D$9,2&lt;0))),1,0),IF(AND(U437+V437-W437&gt;0,OR('Debt strategy'!$D$12&gt;'Debt strategy'!$D$9,AND('Debt strategy'!$D$12='Debt strategy'!$D$9,3&lt;0))),1,0),IF(AND(AA437+AB437-AC437&gt;0,OR('Debt strategy'!$D$13&gt;'Debt strategy'!$D$9,AND('Debt strategy'!$D$13='Debt strategy'!$D$9,4&lt;0))),1,0)))</x:f>
        <x:v>99</x:v>
      </x:c>
      <x:c r="G437" s="6" t="n">
        <x:f>IF('Debt strategy'!$C$16&gt;0,0,MIN(C437+D437-E437,MAX(0,'Debt strategy'!$C$5-SUM(E437,K437,Q437,W437,AC437)-SUM(IF(L437&lt;F437,I437+J437-K437,0),IF(R437&lt;F437,O437+P437-Q437,0),IF(X437&lt;F437,U437+V437-W437,0),IF(AD437&lt;F437,AA437+AB437-AC437,0)))))</x:f>
        <x:v>0</x:v>
      </x:c>
      <x:c r="H437" s="6" t="n">
        <x:f>ROUND(MAX(0,C437+D437-E437-G437),2)</x:f>
        <x:v>0</x:v>
      </x:c>
      <x:c r="I437" s="6" t="n">
        <x:f>N436</x:f>
        <x:v>0</x:v>
      </x:c>
      <x:c r="J437" s="6" t="n">
        <x:f>ROUND(I437*'Debt strategy'!$D$10/12,2)</x:f>
        <x:v>0</x:v>
      </x:c>
      <x:c r="K437" s="6" t="n">
        <x:f>MIN(I437+J437,'Debt strategy'!$E$10)</x:f>
        <x:v>0</x:v>
      </x:c>
      <x:c r="L437" s="27" t="n">
        <x:f>IF(I437+J437-K437&lt;=0,99,1+SUM(IF(AND(C437+D437-E437&gt;0,OR('Debt strategy'!$D$9&gt;'Debt strategy'!$D$10,AND('Debt strategy'!$D$9='Debt strategy'!$D$10,0&lt;1))),1,0),IF(AND(O437+P437-Q437&gt;0,OR('Debt strategy'!$D$11&gt;'Debt strategy'!$D$10,AND('Debt strategy'!$D$11='Debt strategy'!$D$10,2&lt;1))),1,0),IF(AND(U437+V437-W437&gt;0,OR('Debt strategy'!$D$12&gt;'Debt strategy'!$D$10,AND('Debt strategy'!$D$12='Debt strategy'!$D$10,3&lt;1))),1,0),IF(AND(AA437+AB437-AC437&gt;0,OR('Debt strategy'!$D$13&gt;'Debt strategy'!$D$10,AND('Debt strategy'!$D$13='Debt strategy'!$D$10,4&lt;1))),1,0)))</x:f>
        <x:v>99</x:v>
      </x:c>
      <x:c r="M437" s="6" t="n">
        <x:f>IF('Debt strategy'!$C$16&gt;0,0,MIN(I437+J437-K437,MAX(0,'Debt strategy'!$C$5-SUM(E437,K437,Q437,W437,AC437)-SUM(IF(F437&lt;L437,C437+D437-E437,0),IF(R437&lt;L437,O437+P437-Q437,0),IF(X437&lt;L437,U437+V437-W437,0),IF(AD437&lt;L437,AA437+AB437-AC437,0)))))</x:f>
        <x:v>0</x:v>
      </x:c>
      <x:c r="N437" s="6" t="n">
        <x:f>ROUND(MAX(0,I437+J437-K437-M437),2)</x:f>
        <x:v>0</x:v>
      </x:c>
      <x:c r="O437" s="6" t="n">
        <x:f>T436</x:f>
        <x:v>0</x:v>
      </x:c>
      <x:c r="P437" s="6" t="n">
        <x:f>ROUND(O437*'Debt strategy'!$D$11/12,2)</x:f>
        <x:v>0</x:v>
      </x:c>
      <x:c r="Q437" s="6" t="n">
        <x:f>MIN(O437+P437,'Debt strategy'!$E$11)</x:f>
        <x:v>0</x:v>
      </x:c>
      <x:c r="R437" s="27" t="n">
        <x:f>IF(O437+P437-Q437&lt;=0,99,1+SUM(IF(AND(C437+D437-E437&gt;0,OR('Debt strategy'!$D$9&gt;'Debt strategy'!$D$11,AND('Debt strategy'!$D$9='Debt strategy'!$D$11,0&lt;2))),1,0),IF(AND(I437+J437-K437&gt;0,OR('Debt strategy'!$D$10&gt;'Debt strategy'!$D$11,AND('Debt strategy'!$D$10='Debt strategy'!$D$11,1&lt;2))),1,0),IF(AND(U437+V437-W437&gt;0,OR('Debt strategy'!$D$12&gt;'Debt strategy'!$D$11,AND('Debt strategy'!$D$12='Debt strategy'!$D$11,3&lt;2))),1,0),IF(AND(AA437+AB437-AC437&gt;0,OR('Debt strategy'!$D$13&gt;'Debt strategy'!$D$11,AND('Debt strategy'!$D$13='Debt strategy'!$D$11,4&lt;2))),1,0)))</x:f>
        <x:v>99</x:v>
      </x:c>
      <x:c r="S437" s="6" t="n">
        <x:f>IF('Debt strategy'!$C$16&gt;0,0,MIN(O437+P437-Q437,MAX(0,'Debt strategy'!$C$5-SUM(E437,K437,Q437,W437,AC437)-SUM(IF(F437&lt;R437,C437+D437-E437,0),IF(L437&lt;R437,I437+J437-K437,0),IF(X437&lt;R437,U437+V437-W437,0),IF(AD437&lt;R437,AA437+AB437-AC437,0)))))</x:f>
        <x:v>0</x:v>
      </x:c>
      <x:c r="T437" s="6" t="n">
        <x:f>ROUND(MAX(0,O437+P437-Q437-S437),2)</x:f>
        <x:v>0</x:v>
      </x:c>
      <x:c r="U437" s="6" t="n">
        <x:f>Z436</x:f>
        <x:v>0</x:v>
      </x:c>
      <x:c r="V437" s="6" t="n">
        <x:f>ROUND(U437*'Debt strategy'!$D$12/12,2)</x:f>
        <x:v>0</x:v>
      </x:c>
      <x:c r="W437" s="6" t="n">
        <x:f>MIN(U437+V437,'Debt strategy'!$E$12)</x:f>
        <x:v>0</x:v>
      </x:c>
      <x:c r="X437" s="27" t="n">
        <x:f>IF(U437+V437-W437&lt;=0,99,1+SUM(IF(AND(C437+D437-E437&gt;0,OR('Debt strategy'!$D$9&gt;'Debt strategy'!$D$12,AND('Debt strategy'!$D$9='Debt strategy'!$D$12,0&lt;3))),1,0),IF(AND(I437+J437-K437&gt;0,OR('Debt strategy'!$D$10&gt;'Debt strategy'!$D$12,AND('Debt strategy'!$D$10='Debt strategy'!$D$12,1&lt;3))),1,0),IF(AND(O437+P437-Q437&gt;0,OR('Debt strategy'!$D$11&gt;'Debt strategy'!$D$12,AND('Debt strategy'!$D$11='Debt strategy'!$D$12,2&lt;3))),1,0),IF(AND(AA437+AB437-AC437&gt;0,OR('Debt strategy'!$D$13&gt;'Debt strategy'!$D$12,AND('Debt strategy'!$D$13='Debt strategy'!$D$12,4&lt;3))),1,0)))</x:f>
        <x:v>99</x:v>
      </x:c>
      <x:c r="Y437" s="6" t="n">
        <x:f>IF('Debt strategy'!$C$16&gt;0,0,MIN(U437+V437-W437,MAX(0,'Debt strategy'!$C$5-SUM(E437,K437,Q437,W437,AC437)-SUM(IF(F437&lt;X437,C437+D437-E437,0),IF(L437&lt;X437,I437+J437-K437,0),IF(R437&lt;X437,O437+P437-Q437,0),IF(AD437&lt;X437,AA437+AB437-AC437,0)))))</x:f>
        <x:v>0</x:v>
      </x:c>
      <x:c r="Z437" s="6" t="n">
        <x:f>ROUND(MAX(0,U437+V437-W437-Y437),2)</x:f>
        <x:v>0</x:v>
      </x:c>
      <x:c r="AA437" s="6" t="n">
        <x:f>AF436</x:f>
        <x:v>0</x:v>
      </x:c>
      <x:c r="AB437" s="6" t="n">
        <x:f>ROUND(AA437*'Debt strategy'!$D$13/12,2)</x:f>
        <x:v>0</x:v>
      </x:c>
      <x:c r="AC437" s="6" t="n">
        <x:f>MIN(AA437+AB437,'Debt strategy'!$E$13)</x:f>
        <x:v>0</x:v>
      </x:c>
      <x:c r="AD437" s="27" t="n">
        <x:f>IF(AA437+AB437-AC437&lt;=0,99,1+SUM(IF(AND(C437+D437-E437&gt;0,OR('Debt strategy'!$D$9&gt;'Debt strategy'!$D$13,AND('Debt strategy'!$D$9='Debt strategy'!$D$13,0&lt;4))),1,0),IF(AND(I437+J437-K437&gt;0,OR('Debt strategy'!$D$10&gt;'Debt strategy'!$D$13,AND('Debt strategy'!$D$10='Debt strategy'!$D$13,1&lt;4))),1,0),IF(AND(O437+P437-Q437&gt;0,OR('Debt strategy'!$D$11&gt;'Debt strategy'!$D$13,AND('Debt strategy'!$D$11='Debt strategy'!$D$13,2&lt;4))),1,0),IF(AND(U437+V437-W437&gt;0,OR('Debt strategy'!$D$12&gt;'Debt strategy'!$D$13,AND('Debt strategy'!$D$12='Debt strategy'!$D$13,3&lt;4))),1,0)))</x:f>
        <x:v>99</x:v>
      </x:c>
      <x:c r="AE437" s="6" t="n">
        <x:f>IF('Debt strategy'!$C$16&gt;0,0,MIN(AA437+AB437-AC437,MAX(0,'Debt strategy'!$C$5-SUM(E437,K437,Q437,W437,AC437)-SUM(IF(F437&lt;AD437,C437+D437-E437,0),IF(L437&lt;AD437,I437+J437-K437,0),IF(R437&lt;AD437,O437+P437-Q437,0),IF(X437&lt;AD437,U437+V437-W437,0)))))</x:f>
        <x:v>0</x:v>
      </x:c>
      <x:c r="AF437" s="6" t="n">
        <x:f>ROUND(MAX(0,AA437+AB437-AC437-AE437),2)</x:f>
        <x:v>0</x:v>
      </x:c>
      <x:c r="AG437" s="6" t="n">
        <x:f>SUM(H437,N437,T437,Z437,AF437)</x:f>
        <x:v>0</x:v>
      </x:c>
      <x:c r="AH437" s="6" t="n">
        <x:f>SUM(D437,J437,P437,V437,AB437)+AH436</x:f>
        <x:v>1220.8400000000001</x:v>
      </x:c>
      <x:c r="AI437" s="2"/>
    </x:row>
    <x:row r="438" ht="23" customHeight="1">
      <x:c r="B438" s="2" t="n">
        <x:f>430</x:f>
        <x:v>430</x:v>
      </x:c>
      <x:c r="C438" s="6" t="n">
        <x:f>H437</x:f>
        <x:v>0</x:v>
      </x:c>
      <x:c r="D438" s="6" t="n">
        <x:f>ROUND(C438*'Debt strategy'!$D$9/12,2)</x:f>
        <x:v>0</x:v>
      </x:c>
      <x:c r="E438" s="6" t="n">
        <x:f>MIN(C438+D438,'Debt strategy'!$E$9)</x:f>
        <x:v>0</x:v>
      </x:c>
      <x:c r="F438" s="27" t="n">
        <x:f>IF(C438+D438-E438&lt;=0,99,1+SUM(IF(AND(I438+J438-K438&gt;0,OR('Debt strategy'!$D$10&gt;'Debt strategy'!$D$9,AND('Debt strategy'!$D$10='Debt strategy'!$D$9,1&lt;0))),1,0),IF(AND(O438+P438-Q438&gt;0,OR('Debt strategy'!$D$11&gt;'Debt strategy'!$D$9,AND('Debt strategy'!$D$11='Debt strategy'!$D$9,2&lt;0))),1,0),IF(AND(U438+V438-W438&gt;0,OR('Debt strategy'!$D$12&gt;'Debt strategy'!$D$9,AND('Debt strategy'!$D$12='Debt strategy'!$D$9,3&lt;0))),1,0),IF(AND(AA438+AB438-AC438&gt;0,OR('Debt strategy'!$D$13&gt;'Debt strategy'!$D$9,AND('Debt strategy'!$D$13='Debt strategy'!$D$9,4&lt;0))),1,0)))</x:f>
        <x:v>99</x:v>
      </x:c>
      <x:c r="G438" s="6" t="n">
        <x:f>IF('Debt strategy'!$C$16&gt;0,0,MIN(C438+D438-E438,MAX(0,'Debt strategy'!$C$5-SUM(E438,K438,Q438,W438,AC438)-SUM(IF(L438&lt;F438,I438+J438-K438,0),IF(R438&lt;F438,O438+P438-Q438,0),IF(X438&lt;F438,U438+V438-W438,0),IF(AD438&lt;F438,AA438+AB438-AC438,0)))))</x:f>
        <x:v>0</x:v>
      </x:c>
      <x:c r="H438" s="6" t="n">
        <x:f>ROUND(MAX(0,C438+D438-E438-G438),2)</x:f>
        <x:v>0</x:v>
      </x:c>
      <x:c r="I438" s="6" t="n">
        <x:f>N437</x:f>
        <x:v>0</x:v>
      </x:c>
      <x:c r="J438" s="6" t="n">
        <x:f>ROUND(I438*'Debt strategy'!$D$10/12,2)</x:f>
        <x:v>0</x:v>
      </x:c>
      <x:c r="K438" s="6" t="n">
        <x:f>MIN(I438+J438,'Debt strategy'!$E$10)</x:f>
        <x:v>0</x:v>
      </x:c>
      <x:c r="L438" s="27" t="n">
        <x:f>IF(I438+J438-K438&lt;=0,99,1+SUM(IF(AND(C438+D438-E438&gt;0,OR('Debt strategy'!$D$9&gt;'Debt strategy'!$D$10,AND('Debt strategy'!$D$9='Debt strategy'!$D$10,0&lt;1))),1,0),IF(AND(O438+P438-Q438&gt;0,OR('Debt strategy'!$D$11&gt;'Debt strategy'!$D$10,AND('Debt strategy'!$D$11='Debt strategy'!$D$10,2&lt;1))),1,0),IF(AND(U438+V438-W438&gt;0,OR('Debt strategy'!$D$12&gt;'Debt strategy'!$D$10,AND('Debt strategy'!$D$12='Debt strategy'!$D$10,3&lt;1))),1,0),IF(AND(AA438+AB438-AC438&gt;0,OR('Debt strategy'!$D$13&gt;'Debt strategy'!$D$10,AND('Debt strategy'!$D$13='Debt strategy'!$D$10,4&lt;1))),1,0)))</x:f>
        <x:v>99</x:v>
      </x:c>
      <x:c r="M438" s="6" t="n">
        <x:f>IF('Debt strategy'!$C$16&gt;0,0,MIN(I438+J438-K438,MAX(0,'Debt strategy'!$C$5-SUM(E438,K438,Q438,W438,AC438)-SUM(IF(F438&lt;L438,C438+D438-E438,0),IF(R438&lt;L438,O438+P438-Q438,0),IF(X438&lt;L438,U438+V438-W438,0),IF(AD438&lt;L438,AA438+AB438-AC438,0)))))</x:f>
        <x:v>0</x:v>
      </x:c>
      <x:c r="N438" s="6" t="n">
        <x:f>ROUND(MAX(0,I438+J438-K438-M438),2)</x:f>
        <x:v>0</x:v>
      </x:c>
      <x:c r="O438" s="6" t="n">
        <x:f>T437</x:f>
        <x:v>0</x:v>
      </x:c>
      <x:c r="P438" s="6" t="n">
        <x:f>ROUND(O438*'Debt strategy'!$D$11/12,2)</x:f>
        <x:v>0</x:v>
      </x:c>
      <x:c r="Q438" s="6" t="n">
        <x:f>MIN(O438+P438,'Debt strategy'!$E$11)</x:f>
        <x:v>0</x:v>
      </x:c>
      <x:c r="R438" s="27" t="n">
        <x:f>IF(O438+P438-Q438&lt;=0,99,1+SUM(IF(AND(C438+D438-E438&gt;0,OR('Debt strategy'!$D$9&gt;'Debt strategy'!$D$11,AND('Debt strategy'!$D$9='Debt strategy'!$D$11,0&lt;2))),1,0),IF(AND(I438+J438-K438&gt;0,OR('Debt strategy'!$D$10&gt;'Debt strategy'!$D$11,AND('Debt strategy'!$D$10='Debt strategy'!$D$11,1&lt;2))),1,0),IF(AND(U438+V438-W438&gt;0,OR('Debt strategy'!$D$12&gt;'Debt strategy'!$D$11,AND('Debt strategy'!$D$12='Debt strategy'!$D$11,3&lt;2))),1,0),IF(AND(AA438+AB438-AC438&gt;0,OR('Debt strategy'!$D$13&gt;'Debt strategy'!$D$11,AND('Debt strategy'!$D$13='Debt strategy'!$D$11,4&lt;2))),1,0)))</x:f>
        <x:v>99</x:v>
      </x:c>
      <x:c r="S438" s="6" t="n">
        <x:f>IF('Debt strategy'!$C$16&gt;0,0,MIN(O438+P438-Q438,MAX(0,'Debt strategy'!$C$5-SUM(E438,K438,Q438,W438,AC438)-SUM(IF(F438&lt;R438,C438+D438-E438,0),IF(L438&lt;R438,I438+J438-K438,0),IF(X438&lt;R438,U438+V438-W438,0),IF(AD438&lt;R438,AA438+AB438-AC438,0)))))</x:f>
        <x:v>0</x:v>
      </x:c>
      <x:c r="T438" s="6" t="n">
        <x:f>ROUND(MAX(0,O438+P438-Q438-S438),2)</x:f>
        <x:v>0</x:v>
      </x:c>
      <x:c r="U438" s="6" t="n">
        <x:f>Z437</x:f>
        <x:v>0</x:v>
      </x:c>
      <x:c r="V438" s="6" t="n">
        <x:f>ROUND(U438*'Debt strategy'!$D$12/12,2)</x:f>
        <x:v>0</x:v>
      </x:c>
      <x:c r="W438" s="6" t="n">
        <x:f>MIN(U438+V438,'Debt strategy'!$E$12)</x:f>
        <x:v>0</x:v>
      </x:c>
      <x:c r="X438" s="27" t="n">
        <x:f>IF(U438+V438-W438&lt;=0,99,1+SUM(IF(AND(C438+D438-E438&gt;0,OR('Debt strategy'!$D$9&gt;'Debt strategy'!$D$12,AND('Debt strategy'!$D$9='Debt strategy'!$D$12,0&lt;3))),1,0),IF(AND(I438+J438-K438&gt;0,OR('Debt strategy'!$D$10&gt;'Debt strategy'!$D$12,AND('Debt strategy'!$D$10='Debt strategy'!$D$12,1&lt;3))),1,0),IF(AND(O438+P438-Q438&gt;0,OR('Debt strategy'!$D$11&gt;'Debt strategy'!$D$12,AND('Debt strategy'!$D$11='Debt strategy'!$D$12,2&lt;3))),1,0),IF(AND(AA438+AB438-AC438&gt;0,OR('Debt strategy'!$D$13&gt;'Debt strategy'!$D$12,AND('Debt strategy'!$D$13='Debt strategy'!$D$12,4&lt;3))),1,0)))</x:f>
        <x:v>99</x:v>
      </x:c>
      <x:c r="Y438" s="6" t="n">
        <x:f>IF('Debt strategy'!$C$16&gt;0,0,MIN(U438+V438-W438,MAX(0,'Debt strategy'!$C$5-SUM(E438,K438,Q438,W438,AC438)-SUM(IF(F438&lt;X438,C438+D438-E438,0),IF(L438&lt;X438,I438+J438-K438,0),IF(R438&lt;X438,O438+P438-Q438,0),IF(AD438&lt;X438,AA438+AB438-AC438,0)))))</x:f>
        <x:v>0</x:v>
      </x:c>
      <x:c r="Z438" s="6" t="n">
        <x:f>ROUND(MAX(0,U438+V438-W438-Y438),2)</x:f>
        <x:v>0</x:v>
      </x:c>
      <x:c r="AA438" s="6" t="n">
        <x:f>AF437</x:f>
        <x:v>0</x:v>
      </x:c>
      <x:c r="AB438" s="6" t="n">
        <x:f>ROUND(AA438*'Debt strategy'!$D$13/12,2)</x:f>
        <x:v>0</x:v>
      </x:c>
      <x:c r="AC438" s="6" t="n">
        <x:f>MIN(AA438+AB438,'Debt strategy'!$E$13)</x:f>
        <x:v>0</x:v>
      </x:c>
      <x:c r="AD438" s="27" t="n">
        <x:f>IF(AA438+AB438-AC438&lt;=0,99,1+SUM(IF(AND(C438+D438-E438&gt;0,OR('Debt strategy'!$D$9&gt;'Debt strategy'!$D$13,AND('Debt strategy'!$D$9='Debt strategy'!$D$13,0&lt;4))),1,0),IF(AND(I438+J438-K438&gt;0,OR('Debt strategy'!$D$10&gt;'Debt strategy'!$D$13,AND('Debt strategy'!$D$10='Debt strategy'!$D$13,1&lt;4))),1,0),IF(AND(O438+P438-Q438&gt;0,OR('Debt strategy'!$D$11&gt;'Debt strategy'!$D$13,AND('Debt strategy'!$D$11='Debt strategy'!$D$13,2&lt;4))),1,0),IF(AND(U438+V438-W438&gt;0,OR('Debt strategy'!$D$12&gt;'Debt strategy'!$D$13,AND('Debt strategy'!$D$12='Debt strategy'!$D$13,3&lt;4))),1,0)))</x:f>
        <x:v>99</x:v>
      </x:c>
      <x:c r="AE438" s="6" t="n">
        <x:f>IF('Debt strategy'!$C$16&gt;0,0,MIN(AA438+AB438-AC438,MAX(0,'Debt strategy'!$C$5-SUM(E438,K438,Q438,W438,AC438)-SUM(IF(F438&lt;AD438,C438+D438-E438,0),IF(L438&lt;AD438,I438+J438-K438,0),IF(R438&lt;AD438,O438+P438-Q438,0),IF(X438&lt;AD438,U438+V438-W438,0)))))</x:f>
        <x:v>0</x:v>
      </x:c>
      <x:c r="AF438" s="6" t="n">
        <x:f>ROUND(MAX(0,AA438+AB438-AC438-AE438),2)</x:f>
        <x:v>0</x:v>
      </x:c>
      <x:c r="AG438" s="6" t="n">
        <x:f>SUM(H438,N438,T438,Z438,AF438)</x:f>
        <x:v>0</x:v>
      </x:c>
      <x:c r="AH438" s="6" t="n">
        <x:f>SUM(D438,J438,P438,V438,AB438)+AH437</x:f>
        <x:v>1220.8400000000001</x:v>
      </x:c>
      <x:c r="AI438" s="2"/>
    </x:row>
    <x:row r="439" ht="23" customHeight="1">
      <x:c r="B439" s="2" t="n">
        <x:f>431</x:f>
        <x:v>431</x:v>
      </x:c>
      <x:c r="C439" s="6" t="n">
        <x:f>H438</x:f>
        <x:v>0</x:v>
      </x:c>
      <x:c r="D439" s="6" t="n">
        <x:f>ROUND(C439*'Debt strategy'!$D$9/12,2)</x:f>
        <x:v>0</x:v>
      </x:c>
      <x:c r="E439" s="6" t="n">
        <x:f>MIN(C439+D439,'Debt strategy'!$E$9)</x:f>
        <x:v>0</x:v>
      </x:c>
      <x:c r="F439" s="27" t="n">
        <x:f>IF(C439+D439-E439&lt;=0,99,1+SUM(IF(AND(I439+J439-K439&gt;0,OR('Debt strategy'!$D$10&gt;'Debt strategy'!$D$9,AND('Debt strategy'!$D$10='Debt strategy'!$D$9,1&lt;0))),1,0),IF(AND(O439+P439-Q439&gt;0,OR('Debt strategy'!$D$11&gt;'Debt strategy'!$D$9,AND('Debt strategy'!$D$11='Debt strategy'!$D$9,2&lt;0))),1,0),IF(AND(U439+V439-W439&gt;0,OR('Debt strategy'!$D$12&gt;'Debt strategy'!$D$9,AND('Debt strategy'!$D$12='Debt strategy'!$D$9,3&lt;0))),1,0),IF(AND(AA439+AB439-AC439&gt;0,OR('Debt strategy'!$D$13&gt;'Debt strategy'!$D$9,AND('Debt strategy'!$D$13='Debt strategy'!$D$9,4&lt;0))),1,0)))</x:f>
        <x:v>99</x:v>
      </x:c>
      <x:c r="G439" s="6" t="n">
        <x:f>IF('Debt strategy'!$C$16&gt;0,0,MIN(C439+D439-E439,MAX(0,'Debt strategy'!$C$5-SUM(E439,K439,Q439,W439,AC439)-SUM(IF(L439&lt;F439,I439+J439-K439,0),IF(R439&lt;F439,O439+P439-Q439,0),IF(X439&lt;F439,U439+V439-W439,0),IF(AD439&lt;F439,AA439+AB439-AC439,0)))))</x:f>
        <x:v>0</x:v>
      </x:c>
      <x:c r="H439" s="6" t="n">
        <x:f>ROUND(MAX(0,C439+D439-E439-G439),2)</x:f>
        <x:v>0</x:v>
      </x:c>
      <x:c r="I439" s="6" t="n">
        <x:f>N438</x:f>
        <x:v>0</x:v>
      </x:c>
      <x:c r="J439" s="6" t="n">
        <x:f>ROUND(I439*'Debt strategy'!$D$10/12,2)</x:f>
        <x:v>0</x:v>
      </x:c>
      <x:c r="K439" s="6" t="n">
        <x:f>MIN(I439+J439,'Debt strategy'!$E$10)</x:f>
        <x:v>0</x:v>
      </x:c>
      <x:c r="L439" s="27" t="n">
        <x:f>IF(I439+J439-K439&lt;=0,99,1+SUM(IF(AND(C439+D439-E439&gt;0,OR('Debt strategy'!$D$9&gt;'Debt strategy'!$D$10,AND('Debt strategy'!$D$9='Debt strategy'!$D$10,0&lt;1))),1,0),IF(AND(O439+P439-Q439&gt;0,OR('Debt strategy'!$D$11&gt;'Debt strategy'!$D$10,AND('Debt strategy'!$D$11='Debt strategy'!$D$10,2&lt;1))),1,0),IF(AND(U439+V439-W439&gt;0,OR('Debt strategy'!$D$12&gt;'Debt strategy'!$D$10,AND('Debt strategy'!$D$12='Debt strategy'!$D$10,3&lt;1))),1,0),IF(AND(AA439+AB439-AC439&gt;0,OR('Debt strategy'!$D$13&gt;'Debt strategy'!$D$10,AND('Debt strategy'!$D$13='Debt strategy'!$D$10,4&lt;1))),1,0)))</x:f>
        <x:v>99</x:v>
      </x:c>
      <x:c r="M439" s="6" t="n">
        <x:f>IF('Debt strategy'!$C$16&gt;0,0,MIN(I439+J439-K439,MAX(0,'Debt strategy'!$C$5-SUM(E439,K439,Q439,W439,AC439)-SUM(IF(F439&lt;L439,C439+D439-E439,0),IF(R439&lt;L439,O439+P439-Q439,0),IF(X439&lt;L439,U439+V439-W439,0),IF(AD439&lt;L439,AA439+AB439-AC439,0)))))</x:f>
        <x:v>0</x:v>
      </x:c>
      <x:c r="N439" s="6" t="n">
        <x:f>ROUND(MAX(0,I439+J439-K439-M439),2)</x:f>
        <x:v>0</x:v>
      </x:c>
      <x:c r="O439" s="6" t="n">
        <x:f>T438</x:f>
        <x:v>0</x:v>
      </x:c>
      <x:c r="P439" s="6" t="n">
        <x:f>ROUND(O439*'Debt strategy'!$D$11/12,2)</x:f>
        <x:v>0</x:v>
      </x:c>
      <x:c r="Q439" s="6" t="n">
        <x:f>MIN(O439+P439,'Debt strategy'!$E$11)</x:f>
        <x:v>0</x:v>
      </x:c>
      <x:c r="R439" s="27" t="n">
        <x:f>IF(O439+P439-Q439&lt;=0,99,1+SUM(IF(AND(C439+D439-E439&gt;0,OR('Debt strategy'!$D$9&gt;'Debt strategy'!$D$11,AND('Debt strategy'!$D$9='Debt strategy'!$D$11,0&lt;2))),1,0),IF(AND(I439+J439-K439&gt;0,OR('Debt strategy'!$D$10&gt;'Debt strategy'!$D$11,AND('Debt strategy'!$D$10='Debt strategy'!$D$11,1&lt;2))),1,0),IF(AND(U439+V439-W439&gt;0,OR('Debt strategy'!$D$12&gt;'Debt strategy'!$D$11,AND('Debt strategy'!$D$12='Debt strategy'!$D$11,3&lt;2))),1,0),IF(AND(AA439+AB439-AC439&gt;0,OR('Debt strategy'!$D$13&gt;'Debt strategy'!$D$11,AND('Debt strategy'!$D$13='Debt strategy'!$D$11,4&lt;2))),1,0)))</x:f>
        <x:v>99</x:v>
      </x:c>
      <x:c r="S439" s="6" t="n">
        <x:f>IF('Debt strategy'!$C$16&gt;0,0,MIN(O439+P439-Q439,MAX(0,'Debt strategy'!$C$5-SUM(E439,K439,Q439,W439,AC439)-SUM(IF(F439&lt;R439,C439+D439-E439,0),IF(L439&lt;R439,I439+J439-K439,0),IF(X439&lt;R439,U439+V439-W439,0),IF(AD439&lt;R439,AA439+AB439-AC439,0)))))</x:f>
        <x:v>0</x:v>
      </x:c>
      <x:c r="T439" s="6" t="n">
        <x:f>ROUND(MAX(0,O439+P439-Q439-S439),2)</x:f>
        <x:v>0</x:v>
      </x:c>
      <x:c r="U439" s="6" t="n">
        <x:f>Z438</x:f>
        <x:v>0</x:v>
      </x:c>
      <x:c r="V439" s="6" t="n">
        <x:f>ROUND(U439*'Debt strategy'!$D$12/12,2)</x:f>
        <x:v>0</x:v>
      </x:c>
      <x:c r="W439" s="6" t="n">
        <x:f>MIN(U439+V439,'Debt strategy'!$E$12)</x:f>
        <x:v>0</x:v>
      </x:c>
      <x:c r="X439" s="27" t="n">
        <x:f>IF(U439+V439-W439&lt;=0,99,1+SUM(IF(AND(C439+D439-E439&gt;0,OR('Debt strategy'!$D$9&gt;'Debt strategy'!$D$12,AND('Debt strategy'!$D$9='Debt strategy'!$D$12,0&lt;3))),1,0),IF(AND(I439+J439-K439&gt;0,OR('Debt strategy'!$D$10&gt;'Debt strategy'!$D$12,AND('Debt strategy'!$D$10='Debt strategy'!$D$12,1&lt;3))),1,0),IF(AND(O439+P439-Q439&gt;0,OR('Debt strategy'!$D$11&gt;'Debt strategy'!$D$12,AND('Debt strategy'!$D$11='Debt strategy'!$D$12,2&lt;3))),1,0),IF(AND(AA439+AB439-AC439&gt;0,OR('Debt strategy'!$D$13&gt;'Debt strategy'!$D$12,AND('Debt strategy'!$D$13='Debt strategy'!$D$12,4&lt;3))),1,0)))</x:f>
        <x:v>99</x:v>
      </x:c>
      <x:c r="Y439" s="6" t="n">
        <x:f>IF('Debt strategy'!$C$16&gt;0,0,MIN(U439+V439-W439,MAX(0,'Debt strategy'!$C$5-SUM(E439,K439,Q439,W439,AC439)-SUM(IF(F439&lt;X439,C439+D439-E439,0),IF(L439&lt;X439,I439+J439-K439,0),IF(R439&lt;X439,O439+P439-Q439,0),IF(AD439&lt;X439,AA439+AB439-AC439,0)))))</x:f>
        <x:v>0</x:v>
      </x:c>
      <x:c r="Z439" s="6" t="n">
        <x:f>ROUND(MAX(0,U439+V439-W439-Y439),2)</x:f>
        <x:v>0</x:v>
      </x:c>
      <x:c r="AA439" s="6" t="n">
        <x:f>AF438</x:f>
        <x:v>0</x:v>
      </x:c>
      <x:c r="AB439" s="6" t="n">
        <x:f>ROUND(AA439*'Debt strategy'!$D$13/12,2)</x:f>
        <x:v>0</x:v>
      </x:c>
      <x:c r="AC439" s="6" t="n">
        <x:f>MIN(AA439+AB439,'Debt strategy'!$E$13)</x:f>
        <x:v>0</x:v>
      </x:c>
      <x:c r="AD439" s="27" t="n">
        <x:f>IF(AA439+AB439-AC439&lt;=0,99,1+SUM(IF(AND(C439+D439-E439&gt;0,OR('Debt strategy'!$D$9&gt;'Debt strategy'!$D$13,AND('Debt strategy'!$D$9='Debt strategy'!$D$13,0&lt;4))),1,0),IF(AND(I439+J439-K439&gt;0,OR('Debt strategy'!$D$10&gt;'Debt strategy'!$D$13,AND('Debt strategy'!$D$10='Debt strategy'!$D$13,1&lt;4))),1,0),IF(AND(O439+P439-Q439&gt;0,OR('Debt strategy'!$D$11&gt;'Debt strategy'!$D$13,AND('Debt strategy'!$D$11='Debt strategy'!$D$13,2&lt;4))),1,0),IF(AND(U439+V439-W439&gt;0,OR('Debt strategy'!$D$12&gt;'Debt strategy'!$D$13,AND('Debt strategy'!$D$12='Debt strategy'!$D$13,3&lt;4))),1,0)))</x:f>
        <x:v>99</x:v>
      </x:c>
      <x:c r="AE439" s="6" t="n">
        <x:f>IF('Debt strategy'!$C$16&gt;0,0,MIN(AA439+AB439-AC439,MAX(0,'Debt strategy'!$C$5-SUM(E439,K439,Q439,W439,AC439)-SUM(IF(F439&lt;AD439,C439+D439-E439,0),IF(L439&lt;AD439,I439+J439-K439,0),IF(R439&lt;AD439,O439+P439-Q439,0),IF(X439&lt;AD439,U439+V439-W439,0)))))</x:f>
        <x:v>0</x:v>
      </x:c>
      <x:c r="AF439" s="6" t="n">
        <x:f>ROUND(MAX(0,AA439+AB439-AC439-AE439),2)</x:f>
        <x:v>0</x:v>
      </x:c>
      <x:c r="AG439" s="6" t="n">
        <x:f>SUM(H439,N439,T439,Z439,AF439)</x:f>
        <x:v>0</x:v>
      </x:c>
      <x:c r="AH439" s="6" t="n">
        <x:f>SUM(D439,J439,P439,V439,AB439)+AH438</x:f>
        <x:v>1220.8400000000001</x:v>
      </x:c>
      <x:c r="AI439" s="2"/>
    </x:row>
    <x:row r="440" ht="23" customHeight="1">
      <x:c r="B440" s="2" t="n">
        <x:f>432</x:f>
        <x:v>432</x:v>
      </x:c>
      <x:c r="C440" s="6" t="n">
        <x:f>H439</x:f>
        <x:v>0</x:v>
      </x:c>
      <x:c r="D440" s="6" t="n">
        <x:f>ROUND(C440*'Debt strategy'!$D$9/12,2)</x:f>
        <x:v>0</x:v>
      </x:c>
      <x:c r="E440" s="6" t="n">
        <x:f>MIN(C440+D440,'Debt strategy'!$E$9)</x:f>
        <x:v>0</x:v>
      </x:c>
      <x:c r="F440" s="27" t="n">
        <x:f>IF(C440+D440-E440&lt;=0,99,1+SUM(IF(AND(I440+J440-K440&gt;0,OR('Debt strategy'!$D$10&gt;'Debt strategy'!$D$9,AND('Debt strategy'!$D$10='Debt strategy'!$D$9,1&lt;0))),1,0),IF(AND(O440+P440-Q440&gt;0,OR('Debt strategy'!$D$11&gt;'Debt strategy'!$D$9,AND('Debt strategy'!$D$11='Debt strategy'!$D$9,2&lt;0))),1,0),IF(AND(U440+V440-W440&gt;0,OR('Debt strategy'!$D$12&gt;'Debt strategy'!$D$9,AND('Debt strategy'!$D$12='Debt strategy'!$D$9,3&lt;0))),1,0),IF(AND(AA440+AB440-AC440&gt;0,OR('Debt strategy'!$D$13&gt;'Debt strategy'!$D$9,AND('Debt strategy'!$D$13='Debt strategy'!$D$9,4&lt;0))),1,0)))</x:f>
        <x:v>99</x:v>
      </x:c>
      <x:c r="G440" s="6" t="n">
        <x:f>IF('Debt strategy'!$C$16&gt;0,0,MIN(C440+D440-E440,MAX(0,'Debt strategy'!$C$5-SUM(E440,K440,Q440,W440,AC440)-SUM(IF(L440&lt;F440,I440+J440-K440,0),IF(R440&lt;F440,O440+P440-Q440,0),IF(X440&lt;F440,U440+V440-W440,0),IF(AD440&lt;F440,AA440+AB440-AC440,0)))))</x:f>
        <x:v>0</x:v>
      </x:c>
      <x:c r="H440" s="6" t="n">
        <x:f>ROUND(MAX(0,C440+D440-E440-G440),2)</x:f>
        <x:v>0</x:v>
      </x:c>
      <x:c r="I440" s="6" t="n">
        <x:f>N439</x:f>
        <x:v>0</x:v>
      </x:c>
      <x:c r="J440" s="6" t="n">
        <x:f>ROUND(I440*'Debt strategy'!$D$10/12,2)</x:f>
        <x:v>0</x:v>
      </x:c>
      <x:c r="K440" s="6" t="n">
        <x:f>MIN(I440+J440,'Debt strategy'!$E$10)</x:f>
        <x:v>0</x:v>
      </x:c>
      <x:c r="L440" s="27" t="n">
        <x:f>IF(I440+J440-K440&lt;=0,99,1+SUM(IF(AND(C440+D440-E440&gt;0,OR('Debt strategy'!$D$9&gt;'Debt strategy'!$D$10,AND('Debt strategy'!$D$9='Debt strategy'!$D$10,0&lt;1))),1,0),IF(AND(O440+P440-Q440&gt;0,OR('Debt strategy'!$D$11&gt;'Debt strategy'!$D$10,AND('Debt strategy'!$D$11='Debt strategy'!$D$10,2&lt;1))),1,0),IF(AND(U440+V440-W440&gt;0,OR('Debt strategy'!$D$12&gt;'Debt strategy'!$D$10,AND('Debt strategy'!$D$12='Debt strategy'!$D$10,3&lt;1))),1,0),IF(AND(AA440+AB440-AC440&gt;0,OR('Debt strategy'!$D$13&gt;'Debt strategy'!$D$10,AND('Debt strategy'!$D$13='Debt strategy'!$D$10,4&lt;1))),1,0)))</x:f>
        <x:v>99</x:v>
      </x:c>
      <x:c r="M440" s="6" t="n">
        <x:f>IF('Debt strategy'!$C$16&gt;0,0,MIN(I440+J440-K440,MAX(0,'Debt strategy'!$C$5-SUM(E440,K440,Q440,W440,AC440)-SUM(IF(F440&lt;L440,C440+D440-E440,0),IF(R440&lt;L440,O440+P440-Q440,0),IF(X440&lt;L440,U440+V440-W440,0),IF(AD440&lt;L440,AA440+AB440-AC440,0)))))</x:f>
        <x:v>0</x:v>
      </x:c>
      <x:c r="N440" s="6" t="n">
        <x:f>ROUND(MAX(0,I440+J440-K440-M440),2)</x:f>
        <x:v>0</x:v>
      </x:c>
      <x:c r="O440" s="6" t="n">
        <x:f>T439</x:f>
        <x:v>0</x:v>
      </x:c>
      <x:c r="P440" s="6" t="n">
        <x:f>ROUND(O440*'Debt strategy'!$D$11/12,2)</x:f>
        <x:v>0</x:v>
      </x:c>
      <x:c r="Q440" s="6" t="n">
        <x:f>MIN(O440+P440,'Debt strategy'!$E$11)</x:f>
        <x:v>0</x:v>
      </x:c>
      <x:c r="R440" s="27" t="n">
        <x:f>IF(O440+P440-Q440&lt;=0,99,1+SUM(IF(AND(C440+D440-E440&gt;0,OR('Debt strategy'!$D$9&gt;'Debt strategy'!$D$11,AND('Debt strategy'!$D$9='Debt strategy'!$D$11,0&lt;2))),1,0),IF(AND(I440+J440-K440&gt;0,OR('Debt strategy'!$D$10&gt;'Debt strategy'!$D$11,AND('Debt strategy'!$D$10='Debt strategy'!$D$11,1&lt;2))),1,0),IF(AND(U440+V440-W440&gt;0,OR('Debt strategy'!$D$12&gt;'Debt strategy'!$D$11,AND('Debt strategy'!$D$12='Debt strategy'!$D$11,3&lt;2))),1,0),IF(AND(AA440+AB440-AC440&gt;0,OR('Debt strategy'!$D$13&gt;'Debt strategy'!$D$11,AND('Debt strategy'!$D$13='Debt strategy'!$D$11,4&lt;2))),1,0)))</x:f>
        <x:v>99</x:v>
      </x:c>
      <x:c r="S440" s="6" t="n">
        <x:f>IF('Debt strategy'!$C$16&gt;0,0,MIN(O440+P440-Q440,MAX(0,'Debt strategy'!$C$5-SUM(E440,K440,Q440,W440,AC440)-SUM(IF(F440&lt;R440,C440+D440-E440,0),IF(L440&lt;R440,I440+J440-K440,0),IF(X440&lt;R440,U440+V440-W440,0),IF(AD440&lt;R440,AA440+AB440-AC440,0)))))</x:f>
        <x:v>0</x:v>
      </x:c>
      <x:c r="T440" s="6" t="n">
        <x:f>ROUND(MAX(0,O440+P440-Q440-S440),2)</x:f>
        <x:v>0</x:v>
      </x:c>
      <x:c r="U440" s="6" t="n">
        <x:f>Z439</x:f>
        <x:v>0</x:v>
      </x:c>
      <x:c r="V440" s="6" t="n">
        <x:f>ROUND(U440*'Debt strategy'!$D$12/12,2)</x:f>
        <x:v>0</x:v>
      </x:c>
      <x:c r="W440" s="6" t="n">
        <x:f>MIN(U440+V440,'Debt strategy'!$E$12)</x:f>
        <x:v>0</x:v>
      </x:c>
      <x:c r="X440" s="27" t="n">
        <x:f>IF(U440+V440-W440&lt;=0,99,1+SUM(IF(AND(C440+D440-E440&gt;0,OR('Debt strategy'!$D$9&gt;'Debt strategy'!$D$12,AND('Debt strategy'!$D$9='Debt strategy'!$D$12,0&lt;3))),1,0),IF(AND(I440+J440-K440&gt;0,OR('Debt strategy'!$D$10&gt;'Debt strategy'!$D$12,AND('Debt strategy'!$D$10='Debt strategy'!$D$12,1&lt;3))),1,0),IF(AND(O440+P440-Q440&gt;0,OR('Debt strategy'!$D$11&gt;'Debt strategy'!$D$12,AND('Debt strategy'!$D$11='Debt strategy'!$D$12,2&lt;3))),1,0),IF(AND(AA440+AB440-AC440&gt;0,OR('Debt strategy'!$D$13&gt;'Debt strategy'!$D$12,AND('Debt strategy'!$D$13='Debt strategy'!$D$12,4&lt;3))),1,0)))</x:f>
        <x:v>99</x:v>
      </x:c>
      <x:c r="Y440" s="6" t="n">
        <x:f>IF('Debt strategy'!$C$16&gt;0,0,MIN(U440+V440-W440,MAX(0,'Debt strategy'!$C$5-SUM(E440,K440,Q440,W440,AC440)-SUM(IF(F440&lt;X440,C440+D440-E440,0),IF(L440&lt;X440,I440+J440-K440,0),IF(R440&lt;X440,O440+P440-Q440,0),IF(AD440&lt;X440,AA440+AB440-AC440,0)))))</x:f>
        <x:v>0</x:v>
      </x:c>
      <x:c r="Z440" s="6" t="n">
        <x:f>ROUND(MAX(0,U440+V440-W440-Y440),2)</x:f>
        <x:v>0</x:v>
      </x:c>
      <x:c r="AA440" s="6" t="n">
        <x:f>AF439</x:f>
        <x:v>0</x:v>
      </x:c>
      <x:c r="AB440" s="6" t="n">
        <x:f>ROUND(AA440*'Debt strategy'!$D$13/12,2)</x:f>
        <x:v>0</x:v>
      </x:c>
      <x:c r="AC440" s="6" t="n">
        <x:f>MIN(AA440+AB440,'Debt strategy'!$E$13)</x:f>
        <x:v>0</x:v>
      </x:c>
      <x:c r="AD440" s="27" t="n">
        <x:f>IF(AA440+AB440-AC440&lt;=0,99,1+SUM(IF(AND(C440+D440-E440&gt;0,OR('Debt strategy'!$D$9&gt;'Debt strategy'!$D$13,AND('Debt strategy'!$D$9='Debt strategy'!$D$13,0&lt;4))),1,0),IF(AND(I440+J440-K440&gt;0,OR('Debt strategy'!$D$10&gt;'Debt strategy'!$D$13,AND('Debt strategy'!$D$10='Debt strategy'!$D$13,1&lt;4))),1,0),IF(AND(O440+P440-Q440&gt;0,OR('Debt strategy'!$D$11&gt;'Debt strategy'!$D$13,AND('Debt strategy'!$D$11='Debt strategy'!$D$13,2&lt;4))),1,0),IF(AND(U440+V440-W440&gt;0,OR('Debt strategy'!$D$12&gt;'Debt strategy'!$D$13,AND('Debt strategy'!$D$12='Debt strategy'!$D$13,3&lt;4))),1,0)))</x:f>
        <x:v>99</x:v>
      </x:c>
      <x:c r="AE440" s="6" t="n">
        <x:f>IF('Debt strategy'!$C$16&gt;0,0,MIN(AA440+AB440-AC440,MAX(0,'Debt strategy'!$C$5-SUM(E440,K440,Q440,W440,AC440)-SUM(IF(F440&lt;AD440,C440+D440-E440,0),IF(L440&lt;AD440,I440+J440-K440,0),IF(R440&lt;AD440,O440+P440-Q440,0),IF(X440&lt;AD440,U440+V440-W440,0)))))</x:f>
        <x:v>0</x:v>
      </x:c>
      <x:c r="AF440" s="6" t="n">
        <x:f>ROUND(MAX(0,AA440+AB440-AC440-AE440),2)</x:f>
        <x:v>0</x:v>
      </x:c>
      <x:c r="AG440" s="6" t="n">
        <x:f>SUM(H440,N440,T440,Z440,AF440)</x:f>
        <x:v>0</x:v>
      </x:c>
      <x:c r="AH440" s="6" t="n">
        <x:f>SUM(D440,J440,P440,V440,AB440)+AH439</x:f>
        <x:v>1220.8400000000001</x:v>
      </x:c>
      <x:c r="AI440" s="2"/>
    </x:row>
    <x:row r="441" ht="23" customHeight="1">
      <x:c r="B441" s="2" t="n">
        <x:f>433</x:f>
        <x:v>433</x:v>
      </x:c>
      <x:c r="C441" s="6" t="n">
        <x:f>H440</x:f>
        <x:v>0</x:v>
      </x:c>
      <x:c r="D441" s="6" t="n">
        <x:f>ROUND(C441*'Debt strategy'!$D$9/12,2)</x:f>
        <x:v>0</x:v>
      </x:c>
      <x:c r="E441" s="6" t="n">
        <x:f>MIN(C441+D441,'Debt strategy'!$E$9)</x:f>
        <x:v>0</x:v>
      </x:c>
      <x:c r="F441" s="27" t="n">
        <x:f>IF(C441+D441-E441&lt;=0,99,1+SUM(IF(AND(I441+J441-K441&gt;0,OR('Debt strategy'!$D$10&gt;'Debt strategy'!$D$9,AND('Debt strategy'!$D$10='Debt strategy'!$D$9,1&lt;0))),1,0),IF(AND(O441+P441-Q441&gt;0,OR('Debt strategy'!$D$11&gt;'Debt strategy'!$D$9,AND('Debt strategy'!$D$11='Debt strategy'!$D$9,2&lt;0))),1,0),IF(AND(U441+V441-W441&gt;0,OR('Debt strategy'!$D$12&gt;'Debt strategy'!$D$9,AND('Debt strategy'!$D$12='Debt strategy'!$D$9,3&lt;0))),1,0),IF(AND(AA441+AB441-AC441&gt;0,OR('Debt strategy'!$D$13&gt;'Debt strategy'!$D$9,AND('Debt strategy'!$D$13='Debt strategy'!$D$9,4&lt;0))),1,0)))</x:f>
        <x:v>99</x:v>
      </x:c>
      <x:c r="G441" s="6" t="n">
        <x:f>IF('Debt strategy'!$C$16&gt;0,0,MIN(C441+D441-E441,MAX(0,'Debt strategy'!$C$5-SUM(E441,K441,Q441,W441,AC441)-SUM(IF(L441&lt;F441,I441+J441-K441,0),IF(R441&lt;F441,O441+P441-Q441,0),IF(X441&lt;F441,U441+V441-W441,0),IF(AD441&lt;F441,AA441+AB441-AC441,0)))))</x:f>
        <x:v>0</x:v>
      </x:c>
      <x:c r="H441" s="6" t="n">
        <x:f>ROUND(MAX(0,C441+D441-E441-G441),2)</x:f>
        <x:v>0</x:v>
      </x:c>
      <x:c r="I441" s="6" t="n">
        <x:f>N440</x:f>
        <x:v>0</x:v>
      </x:c>
      <x:c r="J441" s="6" t="n">
        <x:f>ROUND(I441*'Debt strategy'!$D$10/12,2)</x:f>
        <x:v>0</x:v>
      </x:c>
      <x:c r="K441" s="6" t="n">
        <x:f>MIN(I441+J441,'Debt strategy'!$E$10)</x:f>
        <x:v>0</x:v>
      </x:c>
      <x:c r="L441" s="27" t="n">
        <x:f>IF(I441+J441-K441&lt;=0,99,1+SUM(IF(AND(C441+D441-E441&gt;0,OR('Debt strategy'!$D$9&gt;'Debt strategy'!$D$10,AND('Debt strategy'!$D$9='Debt strategy'!$D$10,0&lt;1))),1,0),IF(AND(O441+P441-Q441&gt;0,OR('Debt strategy'!$D$11&gt;'Debt strategy'!$D$10,AND('Debt strategy'!$D$11='Debt strategy'!$D$10,2&lt;1))),1,0),IF(AND(U441+V441-W441&gt;0,OR('Debt strategy'!$D$12&gt;'Debt strategy'!$D$10,AND('Debt strategy'!$D$12='Debt strategy'!$D$10,3&lt;1))),1,0),IF(AND(AA441+AB441-AC441&gt;0,OR('Debt strategy'!$D$13&gt;'Debt strategy'!$D$10,AND('Debt strategy'!$D$13='Debt strategy'!$D$10,4&lt;1))),1,0)))</x:f>
        <x:v>99</x:v>
      </x:c>
      <x:c r="M441" s="6" t="n">
        <x:f>IF('Debt strategy'!$C$16&gt;0,0,MIN(I441+J441-K441,MAX(0,'Debt strategy'!$C$5-SUM(E441,K441,Q441,W441,AC441)-SUM(IF(F441&lt;L441,C441+D441-E441,0),IF(R441&lt;L441,O441+P441-Q441,0),IF(X441&lt;L441,U441+V441-W441,0),IF(AD441&lt;L441,AA441+AB441-AC441,0)))))</x:f>
        <x:v>0</x:v>
      </x:c>
      <x:c r="N441" s="6" t="n">
        <x:f>ROUND(MAX(0,I441+J441-K441-M441),2)</x:f>
        <x:v>0</x:v>
      </x:c>
      <x:c r="O441" s="6" t="n">
        <x:f>T440</x:f>
        <x:v>0</x:v>
      </x:c>
      <x:c r="P441" s="6" t="n">
        <x:f>ROUND(O441*'Debt strategy'!$D$11/12,2)</x:f>
        <x:v>0</x:v>
      </x:c>
      <x:c r="Q441" s="6" t="n">
        <x:f>MIN(O441+P441,'Debt strategy'!$E$11)</x:f>
        <x:v>0</x:v>
      </x:c>
      <x:c r="R441" s="27" t="n">
        <x:f>IF(O441+P441-Q441&lt;=0,99,1+SUM(IF(AND(C441+D441-E441&gt;0,OR('Debt strategy'!$D$9&gt;'Debt strategy'!$D$11,AND('Debt strategy'!$D$9='Debt strategy'!$D$11,0&lt;2))),1,0),IF(AND(I441+J441-K441&gt;0,OR('Debt strategy'!$D$10&gt;'Debt strategy'!$D$11,AND('Debt strategy'!$D$10='Debt strategy'!$D$11,1&lt;2))),1,0),IF(AND(U441+V441-W441&gt;0,OR('Debt strategy'!$D$12&gt;'Debt strategy'!$D$11,AND('Debt strategy'!$D$12='Debt strategy'!$D$11,3&lt;2))),1,0),IF(AND(AA441+AB441-AC441&gt;0,OR('Debt strategy'!$D$13&gt;'Debt strategy'!$D$11,AND('Debt strategy'!$D$13='Debt strategy'!$D$11,4&lt;2))),1,0)))</x:f>
        <x:v>99</x:v>
      </x:c>
      <x:c r="S441" s="6" t="n">
        <x:f>IF('Debt strategy'!$C$16&gt;0,0,MIN(O441+P441-Q441,MAX(0,'Debt strategy'!$C$5-SUM(E441,K441,Q441,W441,AC441)-SUM(IF(F441&lt;R441,C441+D441-E441,0),IF(L441&lt;R441,I441+J441-K441,0),IF(X441&lt;R441,U441+V441-W441,0),IF(AD441&lt;R441,AA441+AB441-AC441,0)))))</x:f>
        <x:v>0</x:v>
      </x:c>
      <x:c r="T441" s="6" t="n">
        <x:f>ROUND(MAX(0,O441+P441-Q441-S441),2)</x:f>
        <x:v>0</x:v>
      </x:c>
      <x:c r="U441" s="6" t="n">
        <x:f>Z440</x:f>
        <x:v>0</x:v>
      </x:c>
      <x:c r="V441" s="6" t="n">
        <x:f>ROUND(U441*'Debt strategy'!$D$12/12,2)</x:f>
        <x:v>0</x:v>
      </x:c>
      <x:c r="W441" s="6" t="n">
        <x:f>MIN(U441+V441,'Debt strategy'!$E$12)</x:f>
        <x:v>0</x:v>
      </x:c>
      <x:c r="X441" s="27" t="n">
        <x:f>IF(U441+V441-W441&lt;=0,99,1+SUM(IF(AND(C441+D441-E441&gt;0,OR('Debt strategy'!$D$9&gt;'Debt strategy'!$D$12,AND('Debt strategy'!$D$9='Debt strategy'!$D$12,0&lt;3))),1,0),IF(AND(I441+J441-K441&gt;0,OR('Debt strategy'!$D$10&gt;'Debt strategy'!$D$12,AND('Debt strategy'!$D$10='Debt strategy'!$D$12,1&lt;3))),1,0),IF(AND(O441+P441-Q441&gt;0,OR('Debt strategy'!$D$11&gt;'Debt strategy'!$D$12,AND('Debt strategy'!$D$11='Debt strategy'!$D$12,2&lt;3))),1,0),IF(AND(AA441+AB441-AC441&gt;0,OR('Debt strategy'!$D$13&gt;'Debt strategy'!$D$12,AND('Debt strategy'!$D$13='Debt strategy'!$D$12,4&lt;3))),1,0)))</x:f>
        <x:v>99</x:v>
      </x:c>
      <x:c r="Y441" s="6" t="n">
        <x:f>IF('Debt strategy'!$C$16&gt;0,0,MIN(U441+V441-W441,MAX(0,'Debt strategy'!$C$5-SUM(E441,K441,Q441,W441,AC441)-SUM(IF(F441&lt;X441,C441+D441-E441,0),IF(L441&lt;X441,I441+J441-K441,0),IF(R441&lt;X441,O441+P441-Q441,0),IF(AD441&lt;X441,AA441+AB441-AC441,0)))))</x:f>
        <x:v>0</x:v>
      </x:c>
      <x:c r="Z441" s="6" t="n">
        <x:f>ROUND(MAX(0,U441+V441-W441-Y441),2)</x:f>
        <x:v>0</x:v>
      </x:c>
      <x:c r="AA441" s="6" t="n">
        <x:f>AF440</x:f>
        <x:v>0</x:v>
      </x:c>
      <x:c r="AB441" s="6" t="n">
        <x:f>ROUND(AA441*'Debt strategy'!$D$13/12,2)</x:f>
        <x:v>0</x:v>
      </x:c>
      <x:c r="AC441" s="6" t="n">
        <x:f>MIN(AA441+AB441,'Debt strategy'!$E$13)</x:f>
        <x:v>0</x:v>
      </x:c>
      <x:c r="AD441" s="27" t="n">
        <x:f>IF(AA441+AB441-AC441&lt;=0,99,1+SUM(IF(AND(C441+D441-E441&gt;0,OR('Debt strategy'!$D$9&gt;'Debt strategy'!$D$13,AND('Debt strategy'!$D$9='Debt strategy'!$D$13,0&lt;4))),1,0),IF(AND(I441+J441-K441&gt;0,OR('Debt strategy'!$D$10&gt;'Debt strategy'!$D$13,AND('Debt strategy'!$D$10='Debt strategy'!$D$13,1&lt;4))),1,0),IF(AND(O441+P441-Q441&gt;0,OR('Debt strategy'!$D$11&gt;'Debt strategy'!$D$13,AND('Debt strategy'!$D$11='Debt strategy'!$D$13,2&lt;4))),1,0),IF(AND(U441+V441-W441&gt;0,OR('Debt strategy'!$D$12&gt;'Debt strategy'!$D$13,AND('Debt strategy'!$D$12='Debt strategy'!$D$13,3&lt;4))),1,0)))</x:f>
        <x:v>99</x:v>
      </x:c>
      <x:c r="AE441" s="6" t="n">
        <x:f>IF('Debt strategy'!$C$16&gt;0,0,MIN(AA441+AB441-AC441,MAX(0,'Debt strategy'!$C$5-SUM(E441,K441,Q441,W441,AC441)-SUM(IF(F441&lt;AD441,C441+D441-E441,0),IF(L441&lt;AD441,I441+J441-K441,0),IF(R441&lt;AD441,O441+P441-Q441,0),IF(X441&lt;AD441,U441+V441-W441,0)))))</x:f>
        <x:v>0</x:v>
      </x:c>
      <x:c r="AF441" s="6" t="n">
        <x:f>ROUND(MAX(0,AA441+AB441-AC441-AE441),2)</x:f>
        <x:v>0</x:v>
      </x:c>
      <x:c r="AG441" s="6" t="n">
        <x:f>SUM(H441,N441,T441,Z441,AF441)</x:f>
        <x:v>0</x:v>
      </x:c>
      <x:c r="AH441" s="6" t="n">
        <x:f>SUM(D441,J441,P441,V441,AB441)+AH440</x:f>
        <x:v>1220.8400000000001</x:v>
      </x:c>
      <x:c r="AI441" s="2"/>
    </x:row>
    <x:row r="442" ht="23" customHeight="1">
      <x:c r="B442" s="2" t="n">
        <x:f>434</x:f>
        <x:v>434</x:v>
      </x:c>
      <x:c r="C442" s="6" t="n">
        <x:f>H441</x:f>
        <x:v>0</x:v>
      </x:c>
      <x:c r="D442" s="6" t="n">
        <x:f>ROUND(C442*'Debt strategy'!$D$9/12,2)</x:f>
        <x:v>0</x:v>
      </x:c>
      <x:c r="E442" s="6" t="n">
        <x:f>MIN(C442+D442,'Debt strategy'!$E$9)</x:f>
        <x:v>0</x:v>
      </x:c>
      <x:c r="F442" s="27" t="n">
        <x:f>IF(C442+D442-E442&lt;=0,99,1+SUM(IF(AND(I442+J442-K442&gt;0,OR('Debt strategy'!$D$10&gt;'Debt strategy'!$D$9,AND('Debt strategy'!$D$10='Debt strategy'!$D$9,1&lt;0))),1,0),IF(AND(O442+P442-Q442&gt;0,OR('Debt strategy'!$D$11&gt;'Debt strategy'!$D$9,AND('Debt strategy'!$D$11='Debt strategy'!$D$9,2&lt;0))),1,0),IF(AND(U442+V442-W442&gt;0,OR('Debt strategy'!$D$12&gt;'Debt strategy'!$D$9,AND('Debt strategy'!$D$12='Debt strategy'!$D$9,3&lt;0))),1,0),IF(AND(AA442+AB442-AC442&gt;0,OR('Debt strategy'!$D$13&gt;'Debt strategy'!$D$9,AND('Debt strategy'!$D$13='Debt strategy'!$D$9,4&lt;0))),1,0)))</x:f>
        <x:v>99</x:v>
      </x:c>
      <x:c r="G442" s="6" t="n">
        <x:f>IF('Debt strategy'!$C$16&gt;0,0,MIN(C442+D442-E442,MAX(0,'Debt strategy'!$C$5-SUM(E442,K442,Q442,W442,AC442)-SUM(IF(L442&lt;F442,I442+J442-K442,0),IF(R442&lt;F442,O442+P442-Q442,0),IF(X442&lt;F442,U442+V442-W442,0),IF(AD442&lt;F442,AA442+AB442-AC442,0)))))</x:f>
        <x:v>0</x:v>
      </x:c>
      <x:c r="H442" s="6" t="n">
        <x:f>ROUND(MAX(0,C442+D442-E442-G442),2)</x:f>
        <x:v>0</x:v>
      </x:c>
      <x:c r="I442" s="6" t="n">
        <x:f>N441</x:f>
        <x:v>0</x:v>
      </x:c>
      <x:c r="J442" s="6" t="n">
        <x:f>ROUND(I442*'Debt strategy'!$D$10/12,2)</x:f>
        <x:v>0</x:v>
      </x:c>
      <x:c r="K442" s="6" t="n">
        <x:f>MIN(I442+J442,'Debt strategy'!$E$10)</x:f>
        <x:v>0</x:v>
      </x:c>
      <x:c r="L442" s="27" t="n">
        <x:f>IF(I442+J442-K442&lt;=0,99,1+SUM(IF(AND(C442+D442-E442&gt;0,OR('Debt strategy'!$D$9&gt;'Debt strategy'!$D$10,AND('Debt strategy'!$D$9='Debt strategy'!$D$10,0&lt;1))),1,0),IF(AND(O442+P442-Q442&gt;0,OR('Debt strategy'!$D$11&gt;'Debt strategy'!$D$10,AND('Debt strategy'!$D$11='Debt strategy'!$D$10,2&lt;1))),1,0),IF(AND(U442+V442-W442&gt;0,OR('Debt strategy'!$D$12&gt;'Debt strategy'!$D$10,AND('Debt strategy'!$D$12='Debt strategy'!$D$10,3&lt;1))),1,0),IF(AND(AA442+AB442-AC442&gt;0,OR('Debt strategy'!$D$13&gt;'Debt strategy'!$D$10,AND('Debt strategy'!$D$13='Debt strategy'!$D$10,4&lt;1))),1,0)))</x:f>
        <x:v>99</x:v>
      </x:c>
      <x:c r="M442" s="6" t="n">
        <x:f>IF('Debt strategy'!$C$16&gt;0,0,MIN(I442+J442-K442,MAX(0,'Debt strategy'!$C$5-SUM(E442,K442,Q442,W442,AC442)-SUM(IF(F442&lt;L442,C442+D442-E442,0),IF(R442&lt;L442,O442+P442-Q442,0),IF(X442&lt;L442,U442+V442-W442,0),IF(AD442&lt;L442,AA442+AB442-AC442,0)))))</x:f>
        <x:v>0</x:v>
      </x:c>
      <x:c r="N442" s="6" t="n">
        <x:f>ROUND(MAX(0,I442+J442-K442-M442),2)</x:f>
        <x:v>0</x:v>
      </x:c>
      <x:c r="O442" s="6" t="n">
        <x:f>T441</x:f>
        <x:v>0</x:v>
      </x:c>
      <x:c r="P442" s="6" t="n">
        <x:f>ROUND(O442*'Debt strategy'!$D$11/12,2)</x:f>
        <x:v>0</x:v>
      </x:c>
      <x:c r="Q442" s="6" t="n">
        <x:f>MIN(O442+P442,'Debt strategy'!$E$11)</x:f>
        <x:v>0</x:v>
      </x:c>
      <x:c r="R442" s="27" t="n">
        <x:f>IF(O442+P442-Q442&lt;=0,99,1+SUM(IF(AND(C442+D442-E442&gt;0,OR('Debt strategy'!$D$9&gt;'Debt strategy'!$D$11,AND('Debt strategy'!$D$9='Debt strategy'!$D$11,0&lt;2))),1,0),IF(AND(I442+J442-K442&gt;0,OR('Debt strategy'!$D$10&gt;'Debt strategy'!$D$11,AND('Debt strategy'!$D$10='Debt strategy'!$D$11,1&lt;2))),1,0),IF(AND(U442+V442-W442&gt;0,OR('Debt strategy'!$D$12&gt;'Debt strategy'!$D$11,AND('Debt strategy'!$D$12='Debt strategy'!$D$11,3&lt;2))),1,0),IF(AND(AA442+AB442-AC442&gt;0,OR('Debt strategy'!$D$13&gt;'Debt strategy'!$D$11,AND('Debt strategy'!$D$13='Debt strategy'!$D$11,4&lt;2))),1,0)))</x:f>
        <x:v>99</x:v>
      </x:c>
      <x:c r="S442" s="6" t="n">
        <x:f>IF('Debt strategy'!$C$16&gt;0,0,MIN(O442+P442-Q442,MAX(0,'Debt strategy'!$C$5-SUM(E442,K442,Q442,W442,AC442)-SUM(IF(F442&lt;R442,C442+D442-E442,0),IF(L442&lt;R442,I442+J442-K442,0),IF(X442&lt;R442,U442+V442-W442,0),IF(AD442&lt;R442,AA442+AB442-AC442,0)))))</x:f>
        <x:v>0</x:v>
      </x:c>
      <x:c r="T442" s="6" t="n">
        <x:f>ROUND(MAX(0,O442+P442-Q442-S442),2)</x:f>
        <x:v>0</x:v>
      </x:c>
      <x:c r="U442" s="6" t="n">
        <x:f>Z441</x:f>
        <x:v>0</x:v>
      </x:c>
      <x:c r="V442" s="6" t="n">
        <x:f>ROUND(U442*'Debt strategy'!$D$12/12,2)</x:f>
        <x:v>0</x:v>
      </x:c>
      <x:c r="W442" s="6" t="n">
        <x:f>MIN(U442+V442,'Debt strategy'!$E$12)</x:f>
        <x:v>0</x:v>
      </x:c>
      <x:c r="X442" s="27" t="n">
        <x:f>IF(U442+V442-W442&lt;=0,99,1+SUM(IF(AND(C442+D442-E442&gt;0,OR('Debt strategy'!$D$9&gt;'Debt strategy'!$D$12,AND('Debt strategy'!$D$9='Debt strategy'!$D$12,0&lt;3))),1,0),IF(AND(I442+J442-K442&gt;0,OR('Debt strategy'!$D$10&gt;'Debt strategy'!$D$12,AND('Debt strategy'!$D$10='Debt strategy'!$D$12,1&lt;3))),1,0),IF(AND(O442+P442-Q442&gt;0,OR('Debt strategy'!$D$11&gt;'Debt strategy'!$D$12,AND('Debt strategy'!$D$11='Debt strategy'!$D$12,2&lt;3))),1,0),IF(AND(AA442+AB442-AC442&gt;0,OR('Debt strategy'!$D$13&gt;'Debt strategy'!$D$12,AND('Debt strategy'!$D$13='Debt strategy'!$D$12,4&lt;3))),1,0)))</x:f>
        <x:v>99</x:v>
      </x:c>
      <x:c r="Y442" s="6" t="n">
        <x:f>IF('Debt strategy'!$C$16&gt;0,0,MIN(U442+V442-W442,MAX(0,'Debt strategy'!$C$5-SUM(E442,K442,Q442,W442,AC442)-SUM(IF(F442&lt;X442,C442+D442-E442,0),IF(L442&lt;X442,I442+J442-K442,0),IF(R442&lt;X442,O442+P442-Q442,0),IF(AD442&lt;X442,AA442+AB442-AC442,0)))))</x:f>
        <x:v>0</x:v>
      </x:c>
      <x:c r="Z442" s="6" t="n">
        <x:f>ROUND(MAX(0,U442+V442-W442-Y442),2)</x:f>
        <x:v>0</x:v>
      </x:c>
      <x:c r="AA442" s="6" t="n">
        <x:f>AF441</x:f>
        <x:v>0</x:v>
      </x:c>
      <x:c r="AB442" s="6" t="n">
        <x:f>ROUND(AA442*'Debt strategy'!$D$13/12,2)</x:f>
        <x:v>0</x:v>
      </x:c>
      <x:c r="AC442" s="6" t="n">
        <x:f>MIN(AA442+AB442,'Debt strategy'!$E$13)</x:f>
        <x:v>0</x:v>
      </x:c>
      <x:c r="AD442" s="27" t="n">
        <x:f>IF(AA442+AB442-AC442&lt;=0,99,1+SUM(IF(AND(C442+D442-E442&gt;0,OR('Debt strategy'!$D$9&gt;'Debt strategy'!$D$13,AND('Debt strategy'!$D$9='Debt strategy'!$D$13,0&lt;4))),1,0),IF(AND(I442+J442-K442&gt;0,OR('Debt strategy'!$D$10&gt;'Debt strategy'!$D$13,AND('Debt strategy'!$D$10='Debt strategy'!$D$13,1&lt;4))),1,0),IF(AND(O442+P442-Q442&gt;0,OR('Debt strategy'!$D$11&gt;'Debt strategy'!$D$13,AND('Debt strategy'!$D$11='Debt strategy'!$D$13,2&lt;4))),1,0),IF(AND(U442+V442-W442&gt;0,OR('Debt strategy'!$D$12&gt;'Debt strategy'!$D$13,AND('Debt strategy'!$D$12='Debt strategy'!$D$13,3&lt;4))),1,0)))</x:f>
        <x:v>99</x:v>
      </x:c>
      <x:c r="AE442" s="6" t="n">
        <x:f>IF('Debt strategy'!$C$16&gt;0,0,MIN(AA442+AB442-AC442,MAX(0,'Debt strategy'!$C$5-SUM(E442,K442,Q442,W442,AC442)-SUM(IF(F442&lt;AD442,C442+D442-E442,0),IF(L442&lt;AD442,I442+J442-K442,0),IF(R442&lt;AD442,O442+P442-Q442,0),IF(X442&lt;AD442,U442+V442-W442,0)))))</x:f>
        <x:v>0</x:v>
      </x:c>
      <x:c r="AF442" s="6" t="n">
        <x:f>ROUND(MAX(0,AA442+AB442-AC442-AE442),2)</x:f>
        <x:v>0</x:v>
      </x:c>
      <x:c r="AG442" s="6" t="n">
        <x:f>SUM(H442,N442,T442,Z442,AF442)</x:f>
        <x:v>0</x:v>
      </x:c>
      <x:c r="AH442" s="6" t="n">
        <x:f>SUM(D442,J442,P442,V442,AB442)+AH441</x:f>
        <x:v>1220.8400000000001</x:v>
      </x:c>
      <x:c r="AI442" s="2"/>
    </x:row>
    <x:row r="443" ht="23" customHeight="1">
      <x:c r="B443" s="2" t="n">
        <x:f>435</x:f>
        <x:v>435</x:v>
      </x:c>
      <x:c r="C443" s="6" t="n">
        <x:f>H442</x:f>
        <x:v>0</x:v>
      </x:c>
      <x:c r="D443" s="6" t="n">
        <x:f>ROUND(C443*'Debt strategy'!$D$9/12,2)</x:f>
        <x:v>0</x:v>
      </x:c>
      <x:c r="E443" s="6" t="n">
        <x:f>MIN(C443+D443,'Debt strategy'!$E$9)</x:f>
        <x:v>0</x:v>
      </x:c>
      <x:c r="F443" s="27" t="n">
        <x:f>IF(C443+D443-E443&lt;=0,99,1+SUM(IF(AND(I443+J443-K443&gt;0,OR('Debt strategy'!$D$10&gt;'Debt strategy'!$D$9,AND('Debt strategy'!$D$10='Debt strategy'!$D$9,1&lt;0))),1,0),IF(AND(O443+P443-Q443&gt;0,OR('Debt strategy'!$D$11&gt;'Debt strategy'!$D$9,AND('Debt strategy'!$D$11='Debt strategy'!$D$9,2&lt;0))),1,0),IF(AND(U443+V443-W443&gt;0,OR('Debt strategy'!$D$12&gt;'Debt strategy'!$D$9,AND('Debt strategy'!$D$12='Debt strategy'!$D$9,3&lt;0))),1,0),IF(AND(AA443+AB443-AC443&gt;0,OR('Debt strategy'!$D$13&gt;'Debt strategy'!$D$9,AND('Debt strategy'!$D$13='Debt strategy'!$D$9,4&lt;0))),1,0)))</x:f>
        <x:v>99</x:v>
      </x:c>
      <x:c r="G443" s="6" t="n">
        <x:f>IF('Debt strategy'!$C$16&gt;0,0,MIN(C443+D443-E443,MAX(0,'Debt strategy'!$C$5-SUM(E443,K443,Q443,W443,AC443)-SUM(IF(L443&lt;F443,I443+J443-K443,0),IF(R443&lt;F443,O443+P443-Q443,0),IF(X443&lt;F443,U443+V443-W443,0),IF(AD443&lt;F443,AA443+AB443-AC443,0)))))</x:f>
        <x:v>0</x:v>
      </x:c>
      <x:c r="H443" s="6" t="n">
        <x:f>ROUND(MAX(0,C443+D443-E443-G443),2)</x:f>
        <x:v>0</x:v>
      </x:c>
      <x:c r="I443" s="6" t="n">
        <x:f>N442</x:f>
        <x:v>0</x:v>
      </x:c>
      <x:c r="J443" s="6" t="n">
        <x:f>ROUND(I443*'Debt strategy'!$D$10/12,2)</x:f>
        <x:v>0</x:v>
      </x:c>
      <x:c r="K443" s="6" t="n">
        <x:f>MIN(I443+J443,'Debt strategy'!$E$10)</x:f>
        <x:v>0</x:v>
      </x:c>
      <x:c r="L443" s="27" t="n">
        <x:f>IF(I443+J443-K443&lt;=0,99,1+SUM(IF(AND(C443+D443-E443&gt;0,OR('Debt strategy'!$D$9&gt;'Debt strategy'!$D$10,AND('Debt strategy'!$D$9='Debt strategy'!$D$10,0&lt;1))),1,0),IF(AND(O443+P443-Q443&gt;0,OR('Debt strategy'!$D$11&gt;'Debt strategy'!$D$10,AND('Debt strategy'!$D$11='Debt strategy'!$D$10,2&lt;1))),1,0),IF(AND(U443+V443-W443&gt;0,OR('Debt strategy'!$D$12&gt;'Debt strategy'!$D$10,AND('Debt strategy'!$D$12='Debt strategy'!$D$10,3&lt;1))),1,0),IF(AND(AA443+AB443-AC443&gt;0,OR('Debt strategy'!$D$13&gt;'Debt strategy'!$D$10,AND('Debt strategy'!$D$13='Debt strategy'!$D$10,4&lt;1))),1,0)))</x:f>
        <x:v>99</x:v>
      </x:c>
      <x:c r="M443" s="6" t="n">
        <x:f>IF('Debt strategy'!$C$16&gt;0,0,MIN(I443+J443-K443,MAX(0,'Debt strategy'!$C$5-SUM(E443,K443,Q443,W443,AC443)-SUM(IF(F443&lt;L443,C443+D443-E443,0),IF(R443&lt;L443,O443+P443-Q443,0),IF(X443&lt;L443,U443+V443-W443,0),IF(AD443&lt;L443,AA443+AB443-AC443,0)))))</x:f>
        <x:v>0</x:v>
      </x:c>
      <x:c r="N443" s="6" t="n">
        <x:f>ROUND(MAX(0,I443+J443-K443-M443),2)</x:f>
        <x:v>0</x:v>
      </x:c>
      <x:c r="O443" s="6" t="n">
        <x:f>T442</x:f>
        <x:v>0</x:v>
      </x:c>
      <x:c r="P443" s="6" t="n">
        <x:f>ROUND(O443*'Debt strategy'!$D$11/12,2)</x:f>
        <x:v>0</x:v>
      </x:c>
      <x:c r="Q443" s="6" t="n">
        <x:f>MIN(O443+P443,'Debt strategy'!$E$11)</x:f>
        <x:v>0</x:v>
      </x:c>
      <x:c r="R443" s="27" t="n">
        <x:f>IF(O443+P443-Q443&lt;=0,99,1+SUM(IF(AND(C443+D443-E443&gt;0,OR('Debt strategy'!$D$9&gt;'Debt strategy'!$D$11,AND('Debt strategy'!$D$9='Debt strategy'!$D$11,0&lt;2))),1,0),IF(AND(I443+J443-K443&gt;0,OR('Debt strategy'!$D$10&gt;'Debt strategy'!$D$11,AND('Debt strategy'!$D$10='Debt strategy'!$D$11,1&lt;2))),1,0),IF(AND(U443+V443-W443&gt;0,OR('Debt strategy'!$D$12&gt;'Debt strategy'!$D$11,AND('Debt strategy'!$D$12='Debt strategy'!$D$11,3&lt;2))),1,0),IF(AND(AA443+AB443-AC443&gt;0,OR('Debt strategy'!$D$13&gt;'Debt strategy'!$D$11,AND('Debt strategy'!$D$13='Debt strategy'!$D$11,4&lt;2))),1,0)))</x:f>
        <x:v>99</x:v>
      </x:c>
      <x:c r="S443" s="6" t="n">
        <x:f>IF('Debt strategy'!$C$16&gt;0,0,MIN(O443+P443-Q443,MAX(0,'Debt strategy'!$C$5-SUM(E443,K443,Q443,W443,AC443)-SUM(IF(F443&lt;R443,C443+D443-E443,0),IF(L443&lt;R443,I443+J443-K443,0),IF(X443&lt;R443,U443+V443-W443,0),IF(AD443&lt;R443,AA443+AB443-AC443,0)))))</x:f>
        <x:v>0</x:v>
      </x:c>
      <x:c r="T443" s="6" t="n">
        <x:f>ROUND(MAX(0,O443+P443-Q443-S443),2)</x:f>
        <x:v>0</x:v>
      </x:c>
      <x:c r="U443" s="6" t="n">
        <x:f>Z442</x:f>
        <x:v>0</x:v>
      </x:c>
      <x:c r="V443" s="6" t="n">
        <x:f>ROUND(U443*'Debt strategy'!$D$12/12,2)</x:f>
        <x:v>0</x:v>
      </x:c>
      <x:c r="W443" s="6" t="n">
        <x:f>MIN(U443+V443,'Debt strategy'!$E$12)</x:f>
        <x:v>0</x:v>
      </x:c>
      <x:c r="X443" s="27" t="n">
        <x:f>IF(U443+V443-W443&lt;=0,99,1+SUM(IF(AND(C443+D443-E443&gt;0,OR('Debt strategy'!$D$9&gt;'Debt strategy'!$D$12,AND('Debt strategy'!$D$9='Debt strategy'!$D$12,0&lt;3))),1,0),IF(AND(I443+J443-K443&gt;0,OR('Debt strategy'!$D$10&gt;'Debt strategy'!$D$12,AND('Debt strategy'!$D$10='Debt strategy'!$D$12,1&lt;3))),1,0),IF(AND(O443+P443-Q443&gt;0,OR('Debt strategy'!$D$11&gt;'Debt strategy'!$D$12,AND('Debt strategy'!$D$11='Debt strategy'!$D$12,2&lt;3))),1,0),IF(AND(AA443+AB443-AC443&gt;0,OR('Debt strategy'!$D$13&gt;'Debt strategy'!$D$12,AND('Debt strategy'!$D$13='Debt strategy'!$D$12,4&lt;3))),1,0)))</x:f>
        <x:v>99</x:v>
      </x:c>
      <x:c r="Y443" s="6" t="n">
        <x:f>IF('Debt strategy'!$C$16&gt;0,0,MIN(U443+V443-W443,MAX(0,'Debt strategy'!$C$5-SUM(E443,K443,Q443,W443,AC443)-SUM(IF(F443&lt;X443,C443+D443-E443,0),IF(L443&lt;X443,I443+J443-K443,0),IF(R443&lt;X443,O443+P443-Q443,0),IF(AD443&lt;X443,AA443+AB443-AC443,0)))))</x:f>
        <x:v>0</x:v>
      </x:c>
      <x:c r="Z443" s="6" t="n">
        <x:f>ROUND(MAX(0,U443+V443-W443-Y443),2)</x:f>
        <x:v>0</x:v>
      </x:c>
      <x:c r="AA443" s="6" t="n">
        <x:f>AF442</x:f>
        <x:v>0</x:v>
      </x:c>
      <x:c r="AB443" s="6" t="n">
        <x:f>ROUND(AA443*'Debt strategy'!$D$13/12,2)</x:f>
        <x:v>0</x:v>
      </x:c>
      <x:c r="AC443" s="6" t="n">
        <x:f>MIN(AA443+AB443,'Debt strategy'!$E$13)</x:f>
        <x:v>0</x:v>
      </x:c>
      <x:c r="AD443" s="27" t="n">
        <x:f>IF(AA443+AB443-AC443&lt;=0,99,1+SUM(IF(AND(C443+D443-E443&gt;0,OR('Debt strategy'!$D$9&gt;'Debt strategy'!$D$13,AND('Debt strategy'!$D$9='Debt strategy'!$D$13,0&lt;4))),1,0),IF(AND(I443+J443-K443&gt;0,OR('Debt strategy'!$D$10&gt;'Debt strategy'!$D$13,AND('Debt strategy'!$D$10='Debt strategy'!$D$13,1&lt;4))),1,0),IF(AND(O443+P443-Q443&gt;0,OR('Debt strategy'!$D$11&gt;'Debt strategy'!$D$13,AND('Debt strategy'!$D$11='Debt strategy'!$D$13,2&lt;4))),1,0),IF(AND(U443+V443-W443&gt;0,OR('Debt strategy'!$D$12&gt;'Debt strategy'!$D$13,AND('Debt strategy'!$D$12='Debt strategy'!$D$13,3&lt;4))),1,0)))</x:f>
        <x:v>99</x:v>
      </x:c>
      <x:c r="AE443" s="6" t="n">
        <x:f>IF('Debt strategy'!$C$16&gt;0,0,MIN(AA443+AB443-AC443,MAX(0,'Debt strategy'!$C$5-SUM(E443,K443,Q443,W443,AC443)-SUM(IF(F443&lt;AD443,C443+D443-E443,0),IF(L443&lt;AD443,I443+J443-K443,0),IF(R443&lt;AD443,O443+P443-Q443,0),IF(X443&lt;AD443,U443+V443-W443,0)))))</x:f>
        <x:v>0</x:v>
      </x:c>
      <x:c r="AF443" s="6" t="n">
        <x:f>ROUND(MAX(0,AA443+AB443-AC443-AE443),2)</x:f>
        <x:v>0</x:v>
      </x:c>
      <x:c r="AG443" s="6" t="n">
        <x:f>SUM(H443,N443,T443,Z443,AF443)</x:f>
        <x:v>0</x:v>
      </x:c>
      <x:c r="AH443" s="6" t="n">
        <x:f>SUM(D443,J443,P443,V443,AB443)+AH442</x:f>
        <x:v>1220.8400000000001</x:v>
      </x:c>
      <x:c r="AI443" s="2"/>
    </x:row>
    <x:row r="444" ht="23" customHeight="1">
      <x:c r="B444" s="2" t="n">
        <x:f>436</x:f>
        <x:v>436</x:v>
      </x:c>
      <x:c r="C444" s="6" t="n">
        <x:f>H443</x:f>
        <x:v>0</x:v>
      </x:c>
      <x:c r="D444" s="6" t="n">
        <x:f>ROUND(C444*'Debt strategy'!$D$9/12,2)</x:f>
        <x:v>0</x:v>
      </x:c>
      <x:c r="E444" s="6" t="n">
        <x:f>MIN(C444+D444,'Debt strategy'!$E$9)</x:f>
        <x:v>0</x:v>
      </x:c>
      <x:c r="F444" s="27" t="n">
        <x:f>IF(C444+D444-E444&lt;=0,99,1+SUM(IF(AND(I444+J444-K444&gt;0,OR('Debt strategy'!$D$10&gt;'Debt strategy'!$D$9,AND('Debt strategy'!$D$10='Debt strategy'!$D$9,1&lt;0))),1,0),IF(AND(O444+P444-Q444&gt;0,OR('Debt strategy'!$D$11&gt;'Debt strategy'!$D$9,AND('Debt strategy'!$D$11='Debt strategy'!$D$9,2&lt;0))),1,0),IF(AND(U444+V444-W444&gt;0,OR('Debt strategy'!$D$12&gt;'Debt strategy'!$D$9,AND('Debt strategy'!$D$12='Debt strategy'!$D$9,3&lt;0))),1,0),IF(AND(AA444+AB444-AC444&gt;0,OR('Debt strategy'!$D$13&gt;'Debt strategy'!$D$9,AND('Debt strategy'!$D$13='Debt strategy'!$D$9,4&lt;0))),1,0)))</x:f>
        <x:v>99</x:v>
      </x:c>
      <x:c r="G444" s="6" t="n">
        <x:f>IF('Debt strategy'!$C$16&gt;0,0,MIN(C444+D444-E444,MAX(0,'Debt strategy'!$C$5-SUM(E444,K444,Q444,W444,AC444)-SUM(IF(L444&lt;F444,I444+J444-K444,0),IF(R444&lt;F444,O444+P444-Q444,0),IF(X444&lt;F444,U444+V444-W444,0),IF(AD444&lt;F444,AA444+AB444-AC444,0)))))</x:f>
        <x:v>0</x:v>
      </x:c>
      <x:c r="H444" s="6" t="n">
        <x:f>ROUND(MAX(0,C444+D444-E444-G444),2)</x:f>
        <x:v>0</x:v>
      </x:c>
      <x:c r="I444" s="6" t="n">
        <x:f>N443</x:f>
        <x:v>0</x:v>
      </x:c>
      <x:c r="J444" s="6" t="n">
        <x:f>ROUND(I444*'Debt strategy'!$D$10/12,2)</x:f>
        <x:v>0</x:v>
      </x:c>
      <x:c r="K444" s="6" t="n">
        <x:f>MIN(I444+J444,'Debt strategy'!$E$10)</x:f>
        <x:v>0</x:v>
      </x:c>
      <x:c r="L444" s="27" t="n">
        <x:f>IF(I444+J444-K444&lt;=0,99,1+SUM(IF(AND(C444+D444-E444&gt;0,OR('Debt strategy'!$D$9&gt;'Debt strategy'!$D$10,AND('Debt strategy'!$D$9='Debt strategy'!$D$10,0&lt;1))),1,0),IF(AND(O444+P444-Q444&gt;0,OR('Debt strategy'!$D$11&gt;'Debt strategy'!$D$10,AND('Debt strategy'!$D$11='Debt strategy'!$D$10,2&lt;1))),1,0),IF(AND(U444+V444-W444&gt;0,OR('Debt strategy'!$D$12&gt;'Debt strategy'!$D$10,AND('Debt strategy'!$D$12='Debt strategy'!$D$10,3&lt;1))),1,0),IF(AND(AA444+AB444-AC444&gt;0,OR('Debt strategy'!$D$13&gt;'Debt strategy'!$D$10,AND('Debt strategy'!$D$13='Debt strategy'!$D$10,4&lt;1))),1,0)))</x:f>
        <x:v>99</x:v>
      </x:c>
      <x:c r="M444" s="6" t="n">
        <x:f>IF('Debt strategy'!$C$16&gt;0,0,MIN(I444+J444-K444,MAX(0,'Debt strategy'!$C$5-SUM(E444,K444,Q444,W444,AC444)-SUM(IF(F444&lt;L444,C444+D444-E444,0),IF(R444&lt;L444,O444+P444-Q444,0),IF(X444&lt;L444,U444+V444-W444,0),IF(AD444&lt;L444,AA444+AB444-AC444,0)))))</x:f>
        <x:v>0</x:v>
      </x:c>
      <x:c r="N444" s="6" t="n">
        <x:f>ROUND(MAX(0,I444+J444-K444-M444),2)</x:f>
        <x:v>0</x:v>
      </x:c>
      <x:c r="O444" s="6" t="n">
        <x:f>T443</x:f>
        <x:v>0</x:v>
      </x:c>
      <x:c r="P444" s="6" t="n">
        <x:f>ROUND(O444*'Debt strategy'!$D$11/12,2)</x:f>
        <x:v>0</x:v>
      </x:c>
      <x:c r="Q444" s="6" t="n">
        <x:f>MIN(O444+P444,'Debt strategy'!$E$11)</x:f>
        <x:v>0</x:v>
      </x:c>
      <x:c r="R444" s="27" t="n">
        <x:f>IF(O444+P444-Q444&lt;=0,99,1+SUM(IF(AND(C444+D444-E444&gt;0,OR('Debt strategy'!$D$9&gt;'Debt strategy'!$D$11,AND('Debt strategy'!$D$9='Debt strategy'!$D$11,0&lt;2))),1,0),IF(AND(I444+J444-K444&gt;0,OR('Debt strategy'!$D$10&gt;'Debt strategy'!$D$11,AND('Debt strategy'!$D$10='Debt strategy'!$D$11,1&lt;2))),1,0),IF(AND(U444+V444-W444&gt;0,OR('Debt strategy'!$D$12&gt;'Debt strategy'!$D$11,AND('Debt strategy'!$D$12='Debt strategy'!$D$11,3&lt;2))),1,0),IF(AND(AA444+AB444-AC444&gt;0,OR('Debt strategy'!$D$13&gt;'Debt strategy'!$D$11,AND('Debt strategy'!$D$13='Debt strategy'!$D$11,4&lt;2))),1,0)))</x:f>
        <x:v>99</x:v>
      </x:c>
      <x:c r="S444" s="6" t="n">
        <x:f>IF('Debt strategy'!$C$16&gt;0,0,MIN(O444+P444-Q444,MAX(0,'Debt strategy'!$C$5-SUM(E444,K444,Q444,W444,AC444)-SUM(IF(F444&lt;R444,C444+D444-E444,0),IF(L444&lt;R444,I444+J444-K444,0),IF(X444&lt;R444,U444+V444-W444,0),IF(AD444&lt;R444,AA444+AB444-AC444,0)))))</x:f>
        <x:v>0</x:v>
      </x:c>
      <x:c r="T444" s="6" t="n">
        <x:f>ROUND(MAX(0,O444+P444-Q444-S444),2)</x:f>
        <x:v>0</x:v>
      </x:c>
      <x:c r="U444" s="6" t="n">
        <x:f>Z443</x:f>
        <x:v>0</x:v>
      </x:c>
      <x:c r="V444" s="6" t="n">
        <x:f>ROUND(U444*'Debt strategy'!$D$12/12,2)</x:f>
        <x:v>0</x:v>
      </x:c>
      <x:c r="W444" s="6" t="n">
        <x:f>MIN(U444+V444,'Debt strategy'!$E$12)</x:f>
        <x:v>0</x:v>
      </x:c>
      <x:c r="X444" s="27" t="n">
        <x:f>IF(U444+V444-W444&lt;=0,99,1+SUM(IF(AND(C444+D444-E444&gt;0,OR('Debt strategy'!$D$9&gt;'Debt strategy'!$D$12,AND('Debt strategy'!$D$9='Debt strategy'!$D$12,0&lt;3))),1,0),IF(AND(I444+J444-K444&gt;0,OR('Debt strategy'!$D$10&gt;'Debt strategy'!$D$12,AND('Debt strategy'!$D$10='Debt strategy'!$D$12,1&lt;3))),1,0),IF(AND(O444+P444-Q444&gt;0,OR('Debt strategy'!$D$11&gt;'Debt strategy'!$D$12,AND('Debt strategy'!$D$11='Debt strategy'!$D$12,2&lt;3))),1,0),IF(AND(AA444+AB444-AC444&gt;0,OR('Debt strategy'!$D$13&gt;'Debt strategy'!$D$12,AND('Debt strategy'!$D$13='Debt strategy'!$D$12,4&lt;3))),1,0)))</x:f>
        <x:v>99</x:v>
      </x:c>
      <x:c r="Y444" s="6" t="n">
        <x:f>IF('Debt strategy'!$C$16&gt;0,0,MIN(U444+V444-W444,MAX(0,'Debt strategy'!$C$5-SUM(E444,K444,Q444,W444,AC444)-SUM(IF(F444&lt;X444,C444+D444-E444,0),IF(L444&lt;X444,I444+J444-K444,0),IF(R444&lt;X444,O444+P444-Q444,0),IF(AD444&lt;X444,AA444+AB444-AC444,0)))))</x:f>
        <x:v>0</x:v>
      </x:c>
      <x:c r="Z444" s="6" t="n">
        <x:f>ROUND(MAX(0,U444+V444-W444-Y444),2)</x:f>
        <x:v>0</x:v>
      </x:c>
      <x:c r="AA444" s="6" t="n">
        <x:f>AF443</x:f>
        <x:v>0</x:v>
      </x:c>
      <x:c r="AB444" s="6" t="n">
        <x:f>ROUND(AA444*'Debt strategy'!$D$13/12,2)</x:f>
        <x:v>0</x:v>
      </x:c>
      <x:c r="AC444" s="6" t="n">
        <x:f>MIN(AA444+AB444,'Debt strategy'!$E$13)</x:f>
        <x:v>0</x:v>
      </x:c>
      <x:c r="AD444" s="27" t="n">
        <x:f>IF(AA444+AB444-AC444&lt;=0,99,1+SUM(IF(AND(C444+D444-E444&gt;0,OR('Debt strategy'!$D$9&gt;'Debt strategy'!$D$13,AND('Debt strategy'!$D$9='Debt strategy'!$D$13,0&lt;4))),1,0),IF(AND(I444+J444-K444&gt;0,OR('Debt strategy'!$D$10&gt;'Debt strategy'!$D$13,AND('Debt strategy'!$D$10='Debt strategy'!$D$13,1&lt;4))),1,0),IF(AND(O444+P444-Q444&gt;0,OR('Debt strategy'!$D$11&gt;'Debt strategy'!$D$13,AND('Debt strategy'!$D$11='Debt strategy'!$D$13,2&lt;4))),1,0),IF(AND(U444+V444-W444&gt;0,OR('Debt strategy'!$D$12&gt;'Debt strategy'!$D$13,AND('Debt strategy'!$D$12='Debt strategy'!$D$13,3&lt;4))),1,0)))</x:f>
        <x:v>99</x:v>
      </x:c>
      <x:c r="AE444" s="6" t="n">
        <x:f>IF('Debt strategy'!$C$16&gt;0,0,MIN(AA444+AB444-AC444,MAX(0,'Debt strategy'!$C$5-SUM(E444,K444,Q444,W444,AC444)-SUM(IF(F444&lt;AD444,C444+D444-E444,0),IF(L444&lt;AD444,I444+J444-K444,0),IF(R444&lt;AD444,O444+P444-Q444,0),IF(X444&lt;AD444,U444+V444-W444,0)))))</x:f>
        <x:v>0</x:v>
      </x:c>
      <x:c r="AF444" s="6" t="n">
        <x:f>ROUND(MAX(0,AA444+AB444-AC444-AE444),2)</x:f>
        <x:v>0</x:v>
      </x:c>
      <x:c r="AG444" s="6" t="n">
        <x:f>SUM(H444,N444,T444,Z444,AF444)</x:f>
        <x:v>0</x:v>
      </x:c>
      <x:c r="AH444" s="6" t="n">
        <x:f>SUM(D444,J444,P444,V444,AB444)+AH443</x:f>
        <x:v>1220.8400000000001</x:v>
      </x:c>
      <x:c r="AI444" s="2"/>
    </x:row>
    <x:row r="445" ht="23" customHeight="1">
      <x:c r="B445" s="2" t="n">
        <x:f>437</x:f>
        <x:v>437</x:v>
      </x:c>
      <x:c r="C445" s="6" t="n">
        <x:f>H444</x:f>
        <x:v>0</x:v>
      </x:c>
      <x:c r="D445" s="6" t="n">
        <x:f>ROUND(C445*'Debt strategy'!$D$9/12,2)</x:f>
        <x:v>0</x:v>
      </x:c>
      <x:c r="E445" s="6" t="n">
        <x:f>MIN(C445+D445,'Debt strategy'!$E$9)</x:f>
        <x:v>0</x:v>
      </x:c>
      <x:c r="F445" s="27" t="n">
        <x:f>IF(C445+D445-E445&lt;=0,99,1+SUM(IF(AND(I445+J445-K445&gt;0,OR('Debt strategy'!$D$10&gt;'Debt strategy'!$D$9,AND('Debt strategy'!$D$10='Debt strategy'!$D$9,1&lt;0))),1,0),IF(AND(O445+P445-Q445&gt;0,OR('Debt strategy'!$D$11&gt;'Debt strategy'!$D$9,AND('Debt strategy'!$D$11='Debt strategy'!$D$9,2&lt;0))),1,0),IF(AND(U445+V445-W445&gt;0,OR('Debt strategy'!$D$12&gt;'Debt strategy'!$D$9,AND('Debt strategy'!$D$12='Debt strategy'!$D$9,3&lt;0))),1,0),IF(AND(AA445+AB445-AC445&gt;0,OR('Debt strategy'!$D$13&gt;'Debt strategy'!$D$9,AND('Debt strategy'!$D$13='Debt strategy'!$D$9,4&lt;0))),1,0)))</x:f>
        <x:v>99</x:v>
      </x:c>
      <x:c r="G445" s="6" t="n">
        <x:f>IF('Debt strategy'!$C$16&gt;0,0,MIN(C445+D445-E445,MAX(0,'Debt strategy'!$C$5-SUM(E445,K445,Q445,W445,AC445)-SUM(IF(L445&lt;F445,I445+J445-K445,0),IF(R445&lt;F445,O445+P445-Q445,0),IF(X445&lt;F445,U445+V445-W445,0),IF(AD445&lt;F445,AA445+AB445-AC445,0)))))</x:f>
        <x:v>0</x:v>
      </x:c>
      <x:c r="H445" s="6" t="n">
        <x:f>ROUND(MAX(0,C445+D445-E445-G445),2)</x:f>
        <x:v>0</x:v>
      </x:c>
      <x:c r="I445" s="6" t="n">
        <x:f>N444</x:f>
        <x:v>0</x:v>
      </x:c>
      <x:c r="J445" s="6" t="n">
        <x:f>ROUND(I445*'Debt strategy'!$D$10/12,2)</x:f>
        <x:v>0</x:v>
      </x:c>
      <x:c r="K445" s="6" t="n">
        <x:f>MIN(I445+J445,'Debt strategy'!$E$10)</x:f>
        <x:v>0</x:v>
      </x:c>
      <x:c r="L445" s="27" t="n">
        <x:f>IF(I445+J445-K445&lt;=0,99,1+SUM(IF(AND(C445+D445-E445&gt;0,OR('Debt strategy'!$D$9&gt;'Debt strategy'!$D$10,AND('Debt strategy'!$D$9='Debt strategy'!$D$10,0&lt;1))),1,0),IF(AND(O445+P445-Q445&gt;0,OR('Debt strategy'!$D$11&gt;'Debt strategy'!$D$10,AND('Debt strategy'!$D$11='Debt strategy'!$D$10,2&lt;1))),1,0),IF(AND(U445+V445-W445&gt;0,OR('Debt strategy'!$D$12&gt;'Debt strategy'!$D$10,AND('Debt strategy'!$D$12='Debt strategy'!$D$10,3&lt;1))),1,0),IF(AND(AA445+AB445-AC445&gt;0,OR('Debt strategy'!$D$13&gt;'Debt strategy'!$D$10,AND('Debt strategy'!$D$13='Debt strategy'!$D$10,4&lt;1))),1,0)))</x:f>
        <x:v>99</x:v>
      </x:c>
      <x:c r="M445" s="6" t="n">
        <x:f>IF('Debt strategy'!$C$16&gt;0,0,MIN(I445+J445-K445,MAX(0,'Debt strategy'!$C$5-SUM(E445,K445,Q445,W445,AC445)-SUM(IF(F445&lt;L445,C445+D445-E445,0),IF(R445&lt;L445,O445+P445-Q445,0),IF(X445&lt;L445,U445+V445-W445,0),IF(AD445&lt;L445,AA445+AB445-AC445,0)))))</x:f>
        <x:v>0</x:v>
      </x:c>
      <x:c r="N445" s="6" t="n">
        <x:f>ROUND(MAX(0,I445+J445-K445-M445),2)</x:f>
        <x:v>0</x:v>
      </x:c>
      <x:c r="O445" s="6" t="n">
        <x:f>T444</x:f>
        <x:v>0</x:v>
      </x:c>
      <x:c r="P445" s="6" t="n">
        <x:f>ROUND(O445*'Debt strategy'!$D$11/12,2)</x:f>
        <x:v>0</x:v>
      </x:c>
      <x:c r="Q445" s="6" t="n">
        <x:f>MIN(O445+P445,'Debt strategy'!$E$11)</x:f>
        <x:v>0</x:v>
      </x:c>
      <x:c r="R445" s="27" t="n">
        <x:f>IF(O445+P445-Q445&lt;=0,99,1+SUM(IF(AND(C445+D445-E445&gt;0,OR('Debt strategy'!$D$9&gt;'Debt strategy'!$D$11,AND('Debt strategy'!$D$9='Debt strategy'!$D$11,0&lt;2))),1,0),IF(AND(I445+J445-K445&gt;0,OR('Debt strategy'!$D$10&gt;'Debt strategy'!$D$11,AND('Debt strategy'!$D$10='Debt strategy'!$D$11,1&lt;2))),1,0),IF(AND(U445+V445-W445&gt;0,OR('Debt strategy'!$D$12&gt;'Debt strategy'!$D$11,AND('Debt strategy'!$D$12='Debt strategy'!$D$11,3&lt;2))),1,0),IF(AND(AA445+AB445-AC445&gt;0,OR('Debt strategy'!$D$13&gt;'Debt strategy'!$D$11,AND('Debt strategy'!$D$13='Debt strategy'!$D$11,4&lt;2))),1,0)))</x:f>
        <x:v>99</x:v>
      </x:c>
      <x:c r="S445" s="6" t="n">
        <x:f>IF('Debt strategy'!$C$16&gt;0,0,MIN(O445+P445-Q445,MAX(0,'Debt strategy'!$C$5-SUM(E445,K445,Q445,W445,AC445)-SUM(IF(F445&lt;R445,C445+D445-E445,0),IF(L445&lt;R445,I445+J445-K445,0),IF(X445&lt;R445,U445+V445-W445,0),IF(AD445&lt;R445,AA445+AB445-AC445,0)))))</x:f>
        <x:v>0</x:v>
      </x:c>
      <x:c r="T445" s="6" t="n">
        <x:f>ROUND(MAX(0,O445+P445-Q445-S445),2)</x:f>
        <x:v>0</x:v>
      </x:c>
      <x:c r="U445" s="6" t="n">
        <x:f>Z444</x:f>
        <x:v>0</x:v>
      </x:c>
      <x:c r="V445" s="6" t="n">
        <x:f>ROUND(U445*'Debt strategy'!$D$12/12,2)</x:f>
        <x:v>0</x:v>
      </x:c>
      <x:c r="W445" s="6" t="n">
        <x:f>MIN(U445+V445,'Debt strategy'!$E$12)</x:f>
        <x:v>0</x:v>
      </x:c>
      <x:c r="X445" s="27" t="n">
        <x:f>IF(U445+V445-W445&lt;=0,99,1+SUM(IF(AND(C445+D445-E445&gt;0,OR('Debt strategy'!$D$9&gt;'Debt strategy'!$D$12,AND('Debt strategy'!$D$9='Debt strategy'!$D$12,0&lt;3))),1,0),IF(AND(I445+J445-K445&gt;0,OR('Debt strategy'!$D$10&gt;'Debt strategy'!$D$12,AND('Debt strategy'!$D$10='Debt strategy'!$D$12,1&lt;3))),1,0),IF(AND(O445+P445-Q445&gt;0,OR('Debt strategy'!$D$11&gt;'Debt strategy'!$D$12,AND('Debt strategy'!$D$11='Debt strategy'!$D$12,2&lt;3))),1,0),IF(AND(AA445+AB445-AC445&gt;0,OR('Debt strategy'!$D$13&gt;'Debt strategy'!$D$12,AND('Debt strategy'!$D$13='Debt strategy'!$D$12,4&lt;3))),1,0)))</x:f>
        <x:v>99</x:v>
      </x:c>
      <x:c r="Y445" s="6" t="n">
        <x:f>IF('Debt strategy'!$C$16&gt;0,0,MIN(U445+V445-W445,MAX(0,'Debt strategy'!$C$5-SUM(E445,K445,Q445,W445,AC445)-SUM(IF(F445&lt;X445,C445+D445-E445,0),IF(L445&lt;X445,I445+J445-K445,0),IF(R445&lt;X445,O445+P445-Q445,0),IF(AD445&lt;X445,AA445+AB445-AC445,0)))))</x:f>
        <x:v>0</x:v>
      </x:c>
      <x:c r="Z445" s="6" t="n">
        <x:f>ROUND(MAX(0,U445+V445-W445-Y445),2)</x:f>
        <x:v>0</x:v>
      </x:c>
      <x:c r="AA445" s="6" t="n">
        <x:f>AF444</x:f>
        <x:v>0</x:v>
      </x:c>
      <x:c r="AB445" s="6" t="n">
        <x:f>ROUND(AA445*'Debt strategy'!$D$13/12,2)</x:f>
        <x:v>0</x:v>
      </x:c>
      <x:c r="AC445" s="6" t="n">
        <x:f>MIN(AA445+AB445,'Debt strategy'!$E$13)</x:f>
        <x:v>0</x:v>
      </x:c>
      <x:c r="AD445" s="27" t="n">
        <x:f>IF(AA445+AB445-AC445&lt;=0,99,1+SUM(IF(AND(C445+D445-E445&gt;0,OR('Debt strategy'!$D$9&gt;'Debt strategy'!$D$13,AND('Debt strategy'!$D$9='Debt strategy'!$D$13,0&lt;4))),1,0),IF(AND(I445+J445-K445&gt;0,OR('Debt strategy'!$D$10&gt;'Debt strategy'!$D$13,AND('Debt strategy'!$D$10='Debt strategy'!$D$13,1&lt;4))),1,0),IF(AND(O445+P445-Q445&gt;0,OR('Debt strategy'!$D$11&gt;'Debt strategy'!$D$13,AND('Debt strategy'!$D$11='Debt strategy'!$D$13,2&lt;4))),1,0),IF(AND(U445+V445-W445&gt;0,OR('Debt strategy'!$D$12&gt;'Debt strategy'!$D$13,AND('Debt strategy'!$D$12='Debt strategy'!$D$13,3&lt;4))),1,0)))</x:f>
        <x:v>99</x:v>
      </x:c>
      <x:c r="AE445" s="6" t="n">
        <x:f>IF('Debt strategy'!$C$16&gt;0,0,MIN(AA445+AB445-AC445,MAX(0,'Debt strategy'!$C$5-SUM(E445,K445,Q445,W445,AC445)-SUM(IF(F445&lt;AD445,C445+D445-E445,0),IF(L445&lt;AD445,I445+J445-K445,0),IF(R445&lt;AD445,O445+P445-Q445,0),IF(X445&lt;AD445,U445+V445-W445,0)))))</x:f>
        <x:v>0</x:v>
      </x:c>
      <x:c r="AF445" s="6" t="n">
        <x:f>ROUND(MAX(0,AA445+AB445-AC445-AE445),2)</x:f>
        <x:v>0</x:v>
      </x:c>
      <x:c r="AG445" s="6" t="n">
        <x:f>SUM(H445,N445,T445,Z445,AF445)</x:f>
        <x:v>0</x:v>
      </x:c>
      <x:c r="AH445" s="6" t="n">
        <x:f>SUM(D445,J445,P445,V445,AB445)+AH444</x:f>
        <x:v>1220.8400000000001</x:v>
      </x:c>
      <x:c r="AI445" s="2"/>
    </x:row>
    <x:row r="446" ht="23" customHeight="1">
      <x:c r="B446" s="2" t="n">
        <x:f>438</x:f>
        <x:v>438</x:v>
      </x:c>
      <x:c r="C446" s="6" t="n">
        <x:f>H445</x:f>
        <x:v>0</x:v>
      </x:c>
      <x:c r="D446" s="6" t="n">
        <x:f>ROUND(C446*'Debt strategy'!$D$9/12,2)</x:f>
        <x:v>0</x:v>
      </x:c>
      <x:c r="E446" s="6" t="n">
        <x:f>MIN(C446+D446,'Debt strategy'!$E$9)</x:f>
        <x:v>0</x:v>
      </x:c>
      <x:c r="F446" s="27" t="n">
        <x:f>IF(C446+D446-E446&lt;=0,99,1+SUM(IF(AND(I446+J446-K446&gt;0,OR('Debt strategy'!$D$10&gt;'Debt strategy'!$D$9,AND('Debt strategy'!$D$10='Debt strategy'!$D$9,1&lt;0))),1,0),IF(AND(O446+P446-Q446&gt;0,OR('Debt strategy'!$D$11&gt;'Debt strategy'!$D$9,AND('Debt strategy'!$D$11='Debt strategy'!$D$9,2&lt;0))),1,0),IF(AND(U446+V446-W446&gt;0,OR('Debt strategy'!$D$12&gt;'Debt strategy'!$D$9,AND('Debt strategy'!$D$12='Debt strategy'!$D$9,3&lt;0))),1,0),IF(AND(AA446+AB446-AC446&gt;0,OR('Debt strategy'!$D$13&gt;'Debt strategy'!$D$9,AND('Debt strategy'!$D$13='Debt strategy'!$D$9,4&lt;0))),1,0)))</x:f>
        <x:v>99</x:v>
      </x:c>
      <x:c r="G446" s="6" t="n">
        <x:f>IF('Debt strategy'!$C$16&gt;0,0,MIN(C446+D446-E446,MAX(0,'Debt strategy'!$C$5-SUM(E446,K446,Q446,W446,AC446)-SUM(IF(L446&lt;F446,I446+J446-K446,0),IF(R446&lt;F446,O446+P446-Q446,0),IF(X446&lt;F446,U446+V446-W446,0),IF(AD446&lt;F446,AA446+AB446-AC446,0)))))</x:f>
        <x:v>0</x:v>
      </x:c>
      <x:c r="H446" s="6" t="n">
        <x:f>ROUND(MAX(0,C446+D446-E446-G446),2)</x:f>
        <x:v>0</x:v>
      </x:c>
      <x:c r="I446" s="6" t="n">
        <x:f>N445</x:f>
        <x:v>0</x:v>
      </x:c>
      <x:c r="J446" s="6" t="n">
        <x:f>ROUND(I446*'Debt strategy'!$D$10/12,2)</x:f>
        <x:v>0</x:v>
      </x:c>
      <x:c r="K446" s="6" t="n">
        <x:f>MIN(I446+J446,'Debt strategy'!$E$10)</x:f>
        <x:v>0</x:v>
      </x:c>
      <x:c r="L446" s="27" t="n">
        <x:f>IF(I446+J446-K446&lt;=0,99,1+SUM(IF(AND(C446+D446-E446&gt;0,OR('Debt strategy'!$D$9&gt;'Debt strategy'!$D$10,AND('Debt strategy'!$D$9='Debt strategy'!$D$10,0&lt;1))),1,0),IF(AND(O446+P446-Q446&gt;0,OR('Debt strategy'!$D$11&gt;'Debt strategy'!$D$10,AND('Debt strategy'!$D$11='Debt strategy'!$D$10,2&lt;1))),1,0),IF(AND(U446+V446-W446&gt;0,OR('Debt strategy'!$D$12&gt;'Debt strategy'!$D$10,AND('Debt strategy'!$D$12='Debt strategy'!$D$10,3&lt;1))),1,0),IF(AND(AA446+AB446-AC446&gt;0,OR('Debt strategy'!$D$13&gt;'Debt strategy'!$D$10,AND('Debt strategy'!$D$13='Debt strategy'!$D$10,4&lt;1))),1,0)))</x:f>
        <x:v>99</x:v>
      </x:c>
      <x:c r="M446" s="6" t="n">
        <x:f>IF('Debt strategy'!$C$16&gt;0,0,MIN(I446+J446-K446,MAX(0,'Debt strategy'!$C$5-SUM(E446,K446,Q446,W446,AC446)-SUM(IF(F446&lt;L446,C446+D446-E446,0),IF(R446&lt;L446,O446+P446-Q446,0),IF(X446&lt;L446,U446+V446-W446,0),IF(AD446&lt;L446,AA446+AB446-AC446,0)))))</x:f>
        <x:v>0</x:v>
      </x:c>
      <x:c r="N446" s="6" t="n">
        <x:f>ROUND(MAX(0,I446+J446-K446-M446),2)</x:f>
        <x:v>0</x:v>
      </x:c>
      <x:c r="O446" s="6" t="n">
        <x:f>T445</x:f>
        <x:v>0</x:v>
      </x:c>
      <x:c r="P446" s="6" t="n">
        <x:f>ROUND(O446*'Debt strategy'!$D$11/12,2)</x:f>
        <x:v>0</x:v>
      </x:c>
      <x:c r="Q446" s="6" t="n">
        <x:f>MIN(O446+P446,'Debt strategy'!$E$11)</x:f>
        <x:v>0</x:v>
      </x:c>
      <x:c r="R446" s="27" t="n">
        <x:f>IF(O446+P446-Q446&lt;=0,99,1+SUM(IF(AND(C446+D446-E446&gt;0,OR('Debt strategy'!$D$9&gt;'Debt strategy'!$D$11,AND('Debt strategy'!$D$9='Debt strategy'!$D$11,0&lt;2))),1,0),IF(AND(I446+J446-K446&gt;0,OR('Debt strategy'!$D$10&gt;'Debt strategy'!$D$11,AND('Debt strategy'!$D$10='Debt strategy'!$D$11,1&lt;2))),1,0),IF(AND(U446+V446-W446&gt;0,OR('Debt strategy'!$D$12&gt;'Debt strategy'!$D$11,AND('Debt strategy'!$D$12='Debt strategy'!$D$11,3&lt;2))),1,0),IF(AND(AA446+AB446-AC446&gt;0,OR('Debt strategy'!$D$13&gt;'Debt strategy'!$D$11,AND('Debt strategy'!$D$13='Debt strategy'!$D$11,4&lt;2))),1,0)))</x:f>
        <x:v>99</x:v>
      </x:c>
      <x:c r="S446" s="6" t="n">
        <x:f>IF('Debt strategy'!$C$16&gt;0,0,MIN(O446+P446-Q446,MAX(0,'Debt strategy'!$C$5-SUM(E446,K446,Q446,W446,AC446)-SUM(IF(F446&lt;R446,C446+D446-E446,0),IF(L446&lt;R446,I446+J446-K446,0),IF(X446&lt;R446,U446+V446-W446,0),IF(AD446&lt;R446,AA446+AB446-AC446,0)))))</x:f>
        <x:v>0</x:v>
      </x:c>
      <x:c r="T446" s="6" t="n">
        <x:f>ROUND(MAX(0,O446+P446-Q446-S446),2)</x:f>
        <x:v>0</x:v>
      </x:c>
      <x:c r="U446" s="6" t="n">
        <x:f>Z445</x:f>
        <x:v>0</x:v>
      </x:c>
      <x:c r="V446" s="6" t="n">
        <x:f>ROUND(U446*'Debt strategy'!$D$12/12,2)</x:f>
        <x:v>0</x:v>
      </x:c>
      <x:c r="W446" s="6" t="n">
        <x:f>MIN(U446+V446,'Debt strategy'!$E$12)</x:f>
        <x:v>0</x:v>
      </x:c>
      <x:c r="X446" s="27" t="n">
        <x:f>IF(U446+V446-W446&lt;=0,99,1+SUM(IF(AND(C446+D446-E446&gt;0,OR('Debt strategy'!$D$9&gt;'Debt strategy'!$D$12,AND('Debt strategy'!$D$9='Debt strategy'!$D$12,0&lt;3))),1,0),IF(AND(I446+J446-K446&gt;0,OR('Debt strategy'!$D$10&gt;'Debt strategy'!$D$12,AND('Debt strategy'!$D$10='Debt strategy'!$D$12,1&lt;3))),1,0),IF(AND(O446+P446-Q446&gt;0,OR('Debt strategy'!$D$11&gt;'Debt strategy'!$D$12,AND('Debt strategy'!$D$11='Debt strategy'!$D$12,2&lt;3))),1,0),IF(AND(AA446+AB446-AC446&gt;0,OR('Debt strategy'!$D$13&gt;'Debt strategy'!$D$12,AND('Debt strategy'!$D$13='Debt strategy'!$D$12,4&lt;3))),1,0)))</x:f>
        <x:v>99</x:v>
      </x:c>
      <x:c r="Y446" s="6" t="n">
        <x:f>IF('Debt strategy'!$C$16&gt;0,0,MIN(U446+V446-W446,MAX(0,'Debt strategy'!$C$5-SUM(E446,K446,Q446,W446,AC446)-SUM(IF(F446&lt;X446,C446+D446-E446,0),IF(L446&lt;X446,I446+J446-K446,0),IF(R446&lt;X446,O446+P446-Q446,0),IF(AD446&lt;X446,AA446+AB446-AC446,0)))))</x:f>
        <x:v>0</x:v>
      </x:c>
      <x:c r="Z446" s="6" t="n">
        <x:f>ROUND(MAX(0,U446+V446-W446-Y446),2)</x:f>
        <x:v>0</x:v>
      </x:c>
      <x:c r="AA446" s="6" t="n">
        <x:f>AF445</x:f>
        <x:v>0</x:v>
      </x:c>
      <x:c r="AB446" s="6" t="n">
        <x:f>ROUND(AA446*'Debt strategy'!$D$13/12,2)</x:f>
        <x:v>0</x:v>
      </x:c>
      <x:c r="AC446" s="6" t="n">
        <x:f>MIN(AA446+AB446,'Debt strategy'!$E$13)</x:f>
        <x:v>0</x:v>
      </x:c>
      <x:c r="AD446" s="27" t="n">
        <x:f>IF(AA446+AB446-AC446&lt;=0,99,1+SUM(IF(AND(C446+D446-E446&gt;0,OR('Debt strategy'!$D$9&gt;'Debt strategy'!$D$13,AND('Debt strategy'!$D$9='Debt strategy'!$D$13,0&lt;4))),1,0),IF(AND(I446+J446-K446&gt;0,OR('Debt strategy'!$D$10&gt;'Debt strategy'!$D$13,AND('Debt strategy'!$D$10='Debt strategy'!$D$13,1&lt;4))),1,0),IF(AND(O446+P446-Q446&gt;0,OR('Debt strategy'!$D$11&gt;'Debt strategy'!$D$13,AND('Debt strategy'!$D$11='Debt strategy'!$D$13,2&lt;4))),1,0),IF(AND(U446+V446-W446&gt;0,OR('Debt strategy'!$D$12&gt;'Debt strategy'!$D$13,AND('Debt strategy'!$D$12='Debt strategy'!$D$13,3&lt;4))),1,0)))</x:f>
        <x:v>99</x:v>
      </x:c>
      <x:c r="AE446" s="6" t="n">
        <x:f>IF('Debt strategy'!$C$16&gt;0,0,MIN(AA446+AB446-AC446,MAX(0,'Debt strategy'!$C$5-SUM(E446,K446,Q446,W446,AC446)-SUM(IF(F446&lt;AD446,C446+D446-E446,0),IF(L446&lt;AD446,I446+J446-K446,0),IF(R446&lt;AD446,O446+P446-Q446,0),IF(X446&lt;AD446,U446+V446-W446,0)))))</x:f>
        <x:v>0</x:v>
      </x:c>
      <x:c r="AF446" s="6" t="n">
        <x:f>ROUND(MAX(0,AA446+AB446-AC446-AE446),2)</x:f>
        <x:v>0</x:v>
      </x:c>
      <x:c r="AG446" s="6" t="n">
        <x:f>SUM(H446,N446,T446,Z446,AF446)</x:f>
        <x:v>0</x:v>
      </x:c>
      <x:c r="AH446" s="6" t="n">
        <x:f>SUM(D446,J446,P446,V446,AB446)+AH445</x:f>
        <x:v>1220.8400000000001</x:v>
      </x:c>
      <x:c r="AI446" s="2"/>
    </x:row>
    <x:row r="447" ht="23" customHeight="1">
      <x:c r="B447" s="2" t="n">
        <x:f>439</x:f>
        <x:v>439</x:v>
      </x:c>
      <x:c r="C447" s="6" t="n">
        <x:f>H446</x:f>
        <x:v>0</x:v>
      </x:c>
      <x:c r="D447" s="6" t="n">
        <x:f>ROUND(C447*'Debt strategy'!$D$9/12,2)</x:f>
        <x:v>0</x:v>
      </x:c>
      <x:c r="E447" s="6" t="n">
        <x:f>MIN(C447+D447,'Debt strategy'!$E$9)</x:f>
        <x:v>0</x:v>
      </x:c>
      <x:c r="F447" s="27" t="n">
        <x:f>IF(C447+D447-E447&lt;=0,99,1+SUM(IF(AND(I447+J447-K447&gt;0,OR('Debt strategy'!$D$10&gt;'Debt strategy'!$D$9,AND('Debt strategy'!$D$10='Debt strategy'!$D$9,1&lt;0))),1,0),IF(AND(O447+P447-Q447&gt;0,OR('Debt strategy'!$D$11&gt;'Debt strategy'!$D$9,AND('Debt strategy'!$D$11='Debt strategy'!$D$9,2&lt;0))),1,0),IF(AND(U447+V447-W447&gt;0,OR('Debt strategy'!$D$12&gt;'Debt strategy'!$D$9,AND('Debt strategy'!$D$12='Debt strategy'!$D$9,3&lt;0))),1,0),IF(AND(AA447+AB447-AC447&gt;0,OR('Debt strategy'!$D$13&gt;'Debt strategy'!$D$9,AND('Debt strategy'!$D$13='Debt strategy'!$D$9,4&lt;0))),1,0)))</x:f>
        <x:v>99</x:v>
      </x:c>
      <x:c r="G447" s="6" t="n">
        <x:f>IF('Debt strategy'!$C$16&gt;0,0,MIN(C447+D447-E447,MAX(0,'Debt strategy'!$C$5-SUM(E447,K447,Q447,W447,AC447)-SUM(IF(L447&lt;F447,I447+J447-K447,0),IF(R447&lt;F447,O447+P447-Q447,0),IF(X447&lt;F447,U447+V447-W447,0),IF(AD447&lt;F447,AA447+AB447-AC447,0)))))</x:f>
        <x:v>0</x:v>
      </x:c>
      <x:c r="H447" s="6" t="n">
        <x:f>ROUND(MAX(0,C447+D447-E447-G447),2)</x:f>
        <x:v>0</x:v>
      </x:c>
      <x:c r="I447" s="6" t="n">
        <x:f>N446</x:f>
        <x:v>0</x:v>
      </x:c>
      <x:c r="J447" s="6" t="n">
        <x:f>ROUND(I447*'Debt strategy'!$D$10/12,2)</x:f>
        <x:v>0</x:v>
      </x:c>
      <x:c r="K447" s="6" t="n">
        <x:f>MIN(I447+J447,'Debt strategy'!$E$10)</x:f>
        <x:v>0</x:v>
      </x:c>
      <x:c r="L447" s="27" t="n">
        <x:f>IF(I447+J447-K447&lt;=0,99,1+SUM(IF(AND(C447+D447-E447&gt;0,OR('Debt strategy'!$D$9&gt;'Debt strategy'!$D$10,AND('Debt strategy'!$D$9='Debt strategy'!$D$10,0&lt;1))),1,0),IF(AND(O447+P447-Q447&gt;0,OR('Debt strategy'!$D$11&gt;'Debt strategy'!$D$10,AND('Debt strategy'!$D$11='Debt strategy'!$D$10,2&lt;1))),1,0),IF(AND(U447+V447-W447&gt;0,OR('Debt strategy'!$D$12&gt;'Debt strategy'!$D$10,AND('Debt strategy'!$D$12='Debt strategy'!$D$10,3&lt;1))),1,0),IF(AND(AA447+AB447-AC447&gt;0,OR('Debt strategy'!$D$13&gt;'Debt strategy'!$D$10,AND('Debt strategy'!$D$13='Debt strategy'!$D$10,4&lt;1))),1,0)))</x:f>
        <x:v>99</x:v>
      </x:c>
      <x:c r="M447" s="6" t="n">
        <x:f>IF('Debt strategy'!$C$16&gt;0,0,MIN(I447+J447-K447,MAX(0,'Debt strategy'!$C$5-SUM(E447,K447,Q447,W447,AC447)-SUM(IF(F447&lt;L447,C447+D447-E447,0),IF(R447&lt;L447,O447+P447-Q447,0),IF(X447&lt;L447,U447+V447-W447,0),IF(AD447&lt;L447,AA447+AB447-AC447,0)))))</x:f>
        <x:v>0</x:v>
      </x:c>
      <x:c r="N447" s="6" t="n">
        <x:f>ROUND(MAX(0,I447+J447-K447-M447),2)</x:f>
        <x:v>0</x:v>
      </x:c>
      <x:c r="O447" s="6" t="n">
        <x:f>T446</x:f>
        <x:v>0</x:v>
      </x:c>
      <x:c r="P447" s="6" t="n">
        <x:f>ROUND(O447*'Debt strategy'!$D$11/12,2)</x:f>
        <x:v>0</x:v>
      </x:c>
      <x:c r="Q447" s="6" t="n">
        <x:f>MIN(O447+P447,'Debt strategy'!$E$11)</x:f>
        <x:v>0</x:v>
      </x:c>
      <x:c r="R447" s="27" t="n">
        <x:f>IF(O447+P447-Q447&lt;=0,99,1+SUM(IF(AND(C447+D447-E447&gt;0,OR('Debt strategy'!$D$9&gt;'Debt strategy'!$D$11,AND('Debt strategy'!$D$9='Debt strategy'!$D$11,0&lt;2))),1,0),IF(AND(I447+J447-K447&gt;0,OR('Debt strategy'!$D$10&gt;'Debt strategy'!$D$11,AND('Debt strategy'!$D$10='Debt strategy'!$D$11,1&lt;2))),1,0),IF(AND(U447+V447-W447&gt;0,OR('Debt strategy'!$D$12&gt;'Debt strategy'!$D$11,AND('Debt strategy'!$D$12='Debt strategy'!$D$11,3&lt;2))),1,0),IF(AND(AA447+AB447-AC447&gt;0,OR('Debt strategy'!$D$13&gt;'Debt strategy'!$D$11,AND('Debt strategy'!$D$13='Debt strategy'!$D$11,4&lt;2))),1,0)))</x:f>
        <x:v>99</x:v>
      </x:c>
      <x:c r="S447" s="6" t="n">
        <x:f>IF('Debt strategy'!$C$16&gt;0,0,MIN(O447+P447-Q447,MAX(0,'Debt strategy'!$C$5-SUM(E447,K447,Q447,W447,AC447)-SUM(IF(F447&lt;R447,C447+D447-E447,0),IF(L447&lt;R447,I447+J447-K447,0),IF(X447&lt;R447,U447+V447-W447,0),IF(AD447&lt;R447,AA447+AB447-AC447,0)))))</x:f>
        <x:v>0</x:v>
      </x:c>
      <x:c r="T447" s="6" t="n">
        <x:f>ROUND(MAX(0,O447+P447-Q447-S447),2)</x:f>
        <x:v>0</x:v>
      </x:c>
      <x:c r="U447" s="6" t="n">
        <x:f>Z446</x:f>
        <x:v>0</x:v>
      </x:c>
      <x:c r="V447" s="6" t="n">
        <x:f>ROUND(U447*'Debt strategy'!$D$12/12,2)</x:f>
        <x:v>0</x:v>
      </x:c>
      <x:c r="W447" s="6" t="n">
        <x:f>MIN(U447+V447,'Debt strategy'!$E$12)</x:f>
        <x:v>0</x:v>
      </x:c>
      <x:c r="X447" s="27" t="n">
        <x:f>IF(U447+V447-W447&lt;=0,99,1+SUM(IF(AND(C447+D447-E447&gt;0,OR('Debt strategy'!$D$9&gt;'Debt strategy'!$D$12,AND('Debt strategy'!$D$9='Debt strategy'!$D$12,0&lt;3))),1,0),IF(AND(I447+J447-K447&gt;0,OR('Debt strategy'!$D$10&gt;'Debt strategy'!$D$12,AND('Debt strategy'!$D$10='Debt strategy'!$D$12,1&lt;3))),1,0),IF(AND(O447+P447-Q447&gt;0,OR('Debt strategy'!$D$11&gt;'Debt strategy'!$D$12,AND('Debt strategy'!$D$11='Debt strategy'!$D$12,2&lt;3))),1,0),IF(AND(AA447+AB447-AC447&gt;0,OR('Debt strategy'!$D$13&gt;'Debt strategy'!$D$12,AND('Debt strategy'!$D$13='Debt strategy'!$D$12,4&lt;3))),1,0)))</x:f>
        <x:v>99</x:v>
      </x:c>
      <x:c r="Y447" s="6" t="n">
        <x:f>IF('Debt strategy'!$C$16&gt;0,0,MIN(U447+V447-W447,MAX(0,'Debt strategy'!$C$5-SUM(E447,K447,Q447,W447,AC447)-SUM(IF(F447&lt;X447,C447+D447-E447,0),IF(L447&lt;X447,I447+J447-K447,0),IF(R447&lt;X447,O447+P447-Q447,0),IF(AD447&lt;X447,AA447+AB447-AC447,0)))))</x:f>
        <x:v>0</x:v>
      </x:c>
      <x:c r="Z447" s="6" t="n">
        <x:f>ROUND(MAX(0,U447+V447-W447-Y447),2)</x:f>
        <x:v>0</x:v>
      </x:c>
      <x:c r="AA447" s="6" t="n">
        <x:f>AF446</x:f>
        <x:v>0</x:v>
      </x:c>
      <x:c r="AB447" s="6" t="n">
        <x:f>ROUND(AA447*'Debt strategy'!$D$13/12,2)</x:f>
        <x:v>0</x:v>
      </x:c>
      <x:c r="AC447" s="6" t="n">
        <x:f>MIN(AA447+AB447,'Debt strategy'!$E$13)</x:f>
        <x:v>0</x:v>
      </x:c>
      <x:c r="AD447" s="27" t="n">
        <x:f>IF(AA447+AB447-AC447&lt;=0,99,1+SUM(IF(AND(C447+D447-E447&gt;0,OR('Debt strategy'!$D$9&gt;'Debt strategy'!$D$13,AND('Debt strategy'!$D$9='Debt strategy'!$D$13,0&lt;4))),1,0),IF(AND(I447+J447-K447&gt;0,OR('Debt strategy'!$D$10&gt;'Debt strategy'!$D$13,AND('Debt strategy'!$D$10='Debt strategy'!$D$13,1&lt;4))),1,0),IF(AND(O447+P447-Q447&gt;0,OR('Debt strategy'!$D$11&gt;'Debt strategy'!$D$13,AND('Debt strategy'!$D$11='Debt strategy'!$D$13,2&lt;4))),1,0),IF(AND(U447+V447-W447&gt;0,OR('Debt strategy'!$D$12&gt;'Debt strategy'!$D$13,AND('Debt strategy'!$D$12='Debt strategy'!$D$13,3&lt;4))),1,0)))</x:f>
        <x:v>99</x:v>
      </x:c>
      <x:c r="AE447" s="6" t="n">
        <x:f>IF('Debt strategy'!$C$16&gt;0,0,MIN(AA447+AB447-AC447,MAX(0,'Debt strategy'!$C$5-SUM(E447,K447,Q447,W447,AC447)-SUM(IF(F447&lt;AD447,C447+D447-E447,0),IF(L447&lt;AD447,I447+J447-K447,0),IF(R447&lt;AD447,O447+P447-Q447,0),IF(X447&lt;AD447,U447+V447-W447,0)))))</x:f>
        <x:v>0</x:v>
      </x:c>
      <x:c r="AF447" s="6" t="n">
        <x:f>ROUND(MAX(0,AA447+AB447-AC447-AE447),2)</x:f>
        <x:v>0</x:v>
      </x:c>
      <x:c r="AG447" s="6" t="n">
        <x:f>SUM(H447,N447,T447,Z447,AF447)</x:f>
        <x:v>0</x:v>
      </x:c>
      <x:c r="AH447" s="6" t="n">
        <x:f>SUM(D447,J447,P447,V447,AB447)+AH446</x:f>
        <x:v>1220.8400000000001</x:v>
      </x:c>
      <x:c r="AI447" s="2"/>
    </x:row>
    <x:row r="448" ht="23" customHeight="1">
      <x:c r="B448" s="2" t="n">
        <x:f>440</x:f>
        <x:v>440</x:v>
      </x:c>
      <x:c r="C448" s="6" t="n">
        <x:f>H447</x:f>
        <x:v>0</x:v>
      </x:c>
      <x:c r="D448" s="6" t="n">
        <x:f>ROUND(C448*'Debt strategy'!$D$9/12,2)</x:f>
        <x:v>0</x:v>
      </x:c>
      <x:c r="E448" s="6" t="n">
        <x:f>MIN(C448+D448,'Debt strategy'!$E$9)</x:f>
        <x:v>0</x:v>
      </x:c>
      <x:c r="F448" s="27" t="n">
        <x:f>IF(C448+D448-E448&lt;=0,99,1+SUM(IF(AND(I448+J448-K448&gt;0,OR('Debt strategy'!$D$10&gt;'Debt strategy'!$D$9,AND('Debt strategy'!$D$10='Debt strategy'!$D$9,1&lt;0))),1,0),IF(AND(O448+P448-Q448&gt;0,OR('Debt strategy'!$D$11&gt;'Debt strategy'!$D$9,AND('Debt strategy'!$D$11='Debt strategy'!$D$9,2&lt;0))),1,0),IF(AND(U448+V448-W448&gt;0,OR('Debt strategy'!$D$12&gt;'Debt strategy'!$D$9,AND('Debt strategy'!$D$12='Debt strategy'!$D$9,3&lt;0))),1,0),IF(AND(AA448+AB448-AC448&gt;0,OR('Debt strategy'!$D$13&gt;'Debt strategy'!$D$9,AND('Debt strategy'!$D$13='Debt strategy'!$D$9,4&lt;0))),1,0)))</x:f>
        <x:v>99</x:v>
      </x:c>
      <x:c r="G448" s="6" t="n">
        <x:f>IF('Debt strategy'!$C$16&gt;0,0,MIN(C448+D448-E448,MAX(0,'Debt strategy'!$C$5-SUM(E448,K448,Q448,W448,AC448)-SUM(IF(L448&lt;F448,I448+J448-K448,0),IF(R448&lt;F448,O448+P448-Q448,0),IF(X448&lt;F448,U448+V448-W448,0),IF(AD448&lt;F448,AA448+AB448-AC448,0)))))</x:f>
        <x:v>0</x:v>
      </x:c>
      <x:c r="H448" s="6" t="n">
        <x:f>ROUND(MAX(0,C448+D448-E448-G448),2)</x:f>
        <x:v>0</x:v>
      </x:c>
      <x:c r="I448" s="6" t="n">
        <x:f>N447</x:f>
        <x:v>0</x:v>
      </x:c>
      <x:c r="J448" s="6" t="n">
        <x:f>ROUND(I448*'Debt strategy'!$D$10/12,2)</x:f>
        <x:v>0</x:v>
      </x:c>
      <x:c r="K448" s="6" t="n">
        <x:f>MIN(I448+J448,'Debt strategy'!$E$10)</x:f>
        <x:v>0</x:v>
      </x:c>
      <x:c r="L448" s="27" t="n">
        <x:f>IF(I448+J448-K448&lt;=0,99,1+SUM(IF(AND(C448+D448-E448&gt;0,OR('Debt strategy'!$D$9&gt;'Debt strategy'!$D$10,AND('Debt strategy'!$D$9='Debt strategy'!$D$10,0&lt;1))),1,0),IF(AND(O448+P448-Q448&gt;0,OR('Debt strategy'!$D$11&gt;'Debt strategy'!$D$10,AND('Debt strategy'!$D$11='Debt strategy'!$D$10,2&lt;1))),1,0),IF(AND(U448+V448-W448&gt;0,OR('Debt strategy'!$D$12&gt;'Debt strategy'!$D$10,AND('Debt strategy'!$D$12='Debt strategy'!$D$10,3&lt;1))),1,0),IF(AND(AA448+AB448-AC448&gt;0,OR('Debt strategy'!$D$13&gt;'Debt strategy'!$D$10,AND('Debt strategy'!$D$13='Debt strategy'!$D$10,4&lt;1))),1,0)))</x:f>
        <x:v>99</x:v>
      </x:c>
      <x:c r="M448" s="6" t="n">
        <x:f>IF('Debt strategy'!$C$16&gt;0,0,MIN(I448+J448-K448,MAX(0,'Debt strategy'!$C$5-SUM(E448,K448,Q448,W448,AC448)-SUM(IF(F448&lt;L448,C448+D448-E448,0),IF(R448&lt;L448,O448+P448-Q448,0),IF(X448&lt;L448,U448+V448-W448,0),IF(AD448&lt;L448,AA448+AB448-AC448,0)))))</x:f>
        <x:v>0</x:v>
      </x:c>
      <x:c r="N448" s="6" t="n">
        <x:f>ROUND(MAX(0,I448+J448-K448-M448),2)</x:f>
        <x:v>0</x:v>
      </x:c>
      <x:c r="O448" s="6" t="n">
        <x:f>T447</x:f>
        <x:v>0</x:v>
      </x:c>
      <x:c r="P448" s="6" t="n">
        <x:f>ROUND(O448*'Debt strategy'!$D$11/12,2)</x:f>
        <x:v>0</x:v>
      </x:c>
      <x:c r="Q448" s="6" t="n">
        <x:f>MIN(O448+P448,'Debt strategy'!$E$11)</x:f>
        <x:v>0</x:v>
      </x:c>
      <x:c r="R448" s="27" t="n">
        <x:f>IF(O448+P448-Q448&lt;=0,99,1+SUM(IF(AND(C448+D448-E448&gt;0,OR('Debt strategy'!$D$9&gt;'Debt strategy'!$D$11,AND('Debt strategy'!$D$9='Debt strategy'!$D$11,0&lt;2))),1,0),IF(AND(I448+J448-K448&gt;0,OR('Debt strategy'!$D$10&gt;'Debt strategy'!$D$11,AND('Debt strategy'!$D$10='Debt strategy'!$D$11,1&lt;2))),1,0),IF(AND(U448+V448-W448&gt;0,OR('Debt strategy'!$D$12&gt;'Debt strategy'!$D$11,AND('Debt strategy'!$D$12='Debt strategy'!$D$11,3&lt;2))),1,0),IF(AND(AA448+AB448-AC448&gt;0,OR('Debt strategy'!$D$13&gt;'Debt strategy'!$D$11,AND('Debt strategy'!$D$13='Debt strategy'!$D$11,4&lt;2))),1,0)))</x:f>
        <x:v>99</x:v>
      </x:c>
      <x:c r="S448" s="6" t="n">
        <x:f>IF('Debt strategy'!$C$16&gt;0,0,MIN(O448+P448-Q448,MAX(0,'Debt strategy'!$C$5-SUM(E448,K448,Q448,W448,AC448)-SUM(IF(F448&lt;R448,C448+D448-E448,0),IF(L448&lt;R448,I448+J448-K448,0),IF(X448&lt;R448,U448+V448-W448,0),IF(AD448&lt;R448,AA448+AB448-AC448,0)))))</x:f>
        <x:v>0</x:v>
      </x:c>
      <x:c r="T448" s="6" t="n">
        <x:f>ROUND(MAX(0,O448+P448-Q448-S448),2)</x:f>
        <x:v>0</x:v>
      </x:c>
      <x:c r="U448" s="6" t="n">
        <x:f>Z447</x:f>
        <x:v>0</x:v>
      </x:c>
      <x:c r="V448" s="6" t="n">
        <x:f>ROUND(U448*'Debt strategy'!$D$12/12,2)</x:f>
        <x:v>0</x:v>
      </x:c>
      <x:c r="W448" s="6" t="n">
        <x:f>MIN(U448+V448,'Debt strategy'!$E$12)</x:f>
        <x:v>0</x:v>
      </x:c>
      <x:c r="X448" s="27" t="n">
        <x:f>IF(U448+V448-W448&lt;=0,99,1+SUM(IF(AND(C448+D448-E448&gt;0,OR('Debt strategy'!$D$9&gt;'Debt strategy'!$D$12,AND('Debt strategy'!$D$9='Debt strategy'!$D$12,0&lt;3))),1,0),IF(AND(I448+J448-K448&gt;0,OR('Debt strategy'!$D$10&gt;'Debt strategy'!$D$12,AND('Debt strategy'!$D$10='Debt strategy'!$D$12,1&lt;3))),1,0),IF(AND(O448+P448-Q448&gt;0,OR('Debt strategy'!$D$11&gt;'Debt strategy'!$D$12,AND('Debt strategy'!$D$11='Debt strategy'!$D$12,2&lt;3))),1,0),IF(AND(AA448+AB448-AC448&gt;0,OR('Debt strategy'!$D$13&gt;'Debt strategy'!$D$12,AND('Debt strategy'!$D$13='Debt strategy'!$D$12,4&lt;3))),1,0)))</x:f>
        <x:v>99</x:v>
      </x:c>
      <x:c r="Y448" s="6" t="n">
        <x:f>IF('Debt strategy'!$C$16&gt;0,0,MIN(U448+V448-W448,MAX(0,'Debt strategy'!$C$5-SUM(E448,K448,Q448,W448,AC448)-SUM(IF(F448&lt;X448,C448+D448-E448,0),IF(L448&lt;X448,I448+J448-K448,0),IF(R448&lt;X448,O448+P448-Q448,0),IF(AD448&lt;X448,AA448+AB448-AC448,0)))))</x:f>
        <x:v>0</x:v>
      </x:c>
      <x:c r="Z448" s="6" t="n">
        <x:f>ROUND(MAX(0,U448+V448-W448-Y448),2)</x:f>
        <x:v>0</x:v>
      </x:c>
      <x:c r="AA448" s="6" t="n">
        <x:f>AF447</x:f>
        <x:v>0</x:v>
      </x:c>
      <x:c r="AB448" s="6" t="n">
        <x:f>ROUND(AA448*'Debt strategy'!$D$13/12,2)</x:f>
        <x:v>0</x:v>
      </x:c>
      <x:c r="AC448" s="6" t="n">
        <x:f>MIN(AA448+AB448,'Debt strategy'!$E$13)</x:f>
        <x:v>0</x:v>
      </x:c>
      <x:c r="AD448" s="27" t="n">
        <x:f>IF(AA448+AB448-AC448&lt;=0,99,1+SUM(IF(AND(C448+D448-E448&gt;0,OR('Debt strategy'!$D$9&gt;'Debt strategy'!$D$13,AND('Debt strategy'!$D$9='Debt strategy'!$D$13,0&lt;4))),1,0),IF(AND(I448+J448-K448&gt;0,OR('Debt strategy'!$D$10&gt;'Debt strategy'!$D$13,AND('Debt strategy'!$D$10='Debt strategy'!$D$13,1&lt;4))),1,0),IF(AND(O448+P448-Q448&gt;0,OR('Debt strategy'!$D$11&gt;'Debt strategy'!$D$13,AND('Debt strategy'!$D$11='Debt strategy'!$D$13,2&lt;4))),1,0),IF(AND(U448+V448-W448&gt;0,OR('Debt strategy'!$D$12&gt;'Debt strategy'!$D$13,AND('Debt strategy'!$D$12='Debt strategy'!$D$13,3&lt;4))),1,0)))</x:f>
        <x:v>99</x:v>
      </x:c>
      <x:c r="AE448" s="6" t="n">
        <x:f>IF('Debt strategy'!$C$16&gt;0,0,MIN(AA448+AB448-AC448,MAX(0,'Debt strategy'!$C$5-SUM(E448,K448,Q448,W448,AC448)-SUM(IF(F448&lt;AD448,C448+D448-E448,0),IF(L448&lt;AD448,I448+J448-K448,0),IF(R448&lt;AD448,O448+P448-Q448,0),IF(X448&lt;AD448,U448+V448-W448,0)))))</x:f>
        <x:v>0</x:v>
      </x:c>
      <x:c r="AF448" s="6" t="n">
        <x:f>ROUND(MAX(0,AA448+AB448-AC448-AE448),2)</x:f>
        <x:v>0</x:v>
      </x:c>
      <x:c r="AG448" s="6" t="n">
        <x:f>SUM(H448,N448,T448,Z448,AF448)</x:f>
        <x:v>0</x:v>
      </x:c>
      <x:c r="AH448" s="6" t="n">
        <x:f>SUM(D448,J448,P448,V448,AB448)+AH447</x:f>
        <x:v>1220.8400000000001</x:v>
      </x:c>
      <x:c r="AI448" s="2"/>
    </x:row>
    <x:row r="449" ht="23" customHeight="1">
      <x:c r="B449" s="2" t="n">
        <x:f>441</x:f>
        <x:v>441</x:v>
      </x:c>
      <x:c r="C449" s="6" t="n">
        <x:f>H448</x:f>
        <x:v>0</x:v>
      </x:c>
      <x:c r="D449" s="6" t="n">
        <x:f>ROUND(C449*'Debt strategy'!$D$9/12,2)</x:f>
        <x:v>0</x:v>
      </x:c>
      <x:c r="E449" s="6" t="n">
        <x:f>MIN(C449+D449,'Debt strategy'!$E$9)</x:f>
        <x:v>0</x:v>
      </x:c>
      <x:c r="F449" s="27" t="n">
        <x:f>IF(C449+D449-E449&lt;=0,99,1+SUM(IF(AND(I449+J449-K449&gt;0,OR('Debt strategy'!$D$10&gt;'Debt strategy'!$D$9,AND('Debt strategy'!$D$10='Debt strategy'!$D$9,1&lt;0))),1,0),IF(AND(O449+P449-Q449&gt;0,OR('Debt strategy'!$D$11&gt;'Debt strategy'!$D$9,AND('Debt strategy'!$D$11='Debt strategy'!$D$9,2&lt;0))),1,0),IF(AND(U449+V449-W449&gt;0,OR('Debt strategy'!$D$12&gt;'Debt strategy'!$D$9,AND('Debt strategy'!$D$12='Debt strategy'!$D$9,3&lt;0))),1,0),IF(AND(AA449+AB449-AC449&gt;0,OR('Debt strategy'!$D$13&gt;'Debt strategy'!$D$9,AND('Debt strategy'!$D$13='Debt strategy'!$D$9,4&lt;0))),1,0)))</x:f>
        <x:v>99</x:v>
      </x:c>
      <x:c r="G449" s="6" t="n">
        <x:f>IF('Debt strategy'!$C$16&gt;0,0,MIN(C449+D449-E449,MAX(0,'Debt strategy'!$C$5-SUM(E449,K449,Q449,W449,AC449)-SUM(IF(L449&lt;F449,I449+J449-K449,0),IF(R449&lt;F449,O449+P449-Q449,0),IF(X449&lt;F449,U449+V449-W449,0),IF(AD449&lt;F449,AA449+AB449-AC449,0)))))</x:f>
        <x:v>0</x:v>
      </x:c>
      <x:c r="H449" s="6" t="n">
        <x:f>ROUND(MAX(0,C449+D449-E449-G449),2)</x:f>
        <x:v>0</x:v>
      </x:c>
      <x:c r="I449" s="6" t="n">
        <x:f>N448</x:f>
        <x:v>0</x:v>
      </x:c>
      <x:c r="J449" s="6" t="n">
        <x:f>ROUND(I449*'Debt strategy'!$D$10/12,2)</x:f>
        <x:v>0</x:v>
      </x:c>
      <x:c r="K449" s="6" t="n">
        <x:f>MIN(I449+J449,'Debt strategy'!$E$10)</x:f>
        <x:v>0</x:v>
      </x:c>
      <x:c r="L449" s="27" t="n">
        <x:f>IF(I449+J449-K449&lt;=0,99,1+SUM(IF(AND(C449+D449-E449&gt;0,OR('Debt strategy'!$D$9&gt;'Debt strategy'!$D$10,AND('Debt strategy'!$D$9='Debt strategy'!$D$10,0&lt;1))),1,0),IF(AND(O449+P449-Q449&gt;0,OR('Debt strategy'!$D$11&gt;'Debt strategy'!$D$10,AND('Debt strategy'!$D$11='Debt strategy'!$D$10,2&lt;1))),1,0),IF(AND(U449+V449-W449&gt;0,OR('Debt strategy'!$D$12&gt;'Debt strategy'!$D$10,AND('Debt strategy'!$D$12='Debt strategy'!$D$10,3&lt;1))),1,0),IF(AND(AA449+AB449-AC449&gt;0,OR('Debt strategy'!$D$13&gt;'Debt strategy'!$D$10,AND('Debt strategy'!$D$13='Debt strategy'!$D$10,4&lt;1))),1,0)))</x:f>
        <x:v>99</x:v>
      </x:c>
      <x:c r="M449" s="6" t="n">
        <x:f>IF('Debt strategy'!$C$16&gt;0,0,MIN(I449+J449-K449,MAX(0,'Debt strategy'!$C$5-SUM(E449,K449,Q449,W449,AC449)-SUM(IF(F449&lt;L449,C449+D449-E449,0),IF(R449&lt;L449,O449+P449-Q449,0),IF(X449&lt;L449,U449+V449-W449,0),IF(AD449&lt;L449,AA449+AB449-AC449,0)))))</x:f>
        <x:v>0</x:v>
      </x:c>
      <x:c r="N449" s="6" t="n">
        <x:f>ROUND(MAX(0,I449+J449-K449-M449),2)</x:f>
        <x:v>0</x:v>
      </x:c>
      <x:c r="O449" s="6" t="n">
        <x:f>T448</x:f>
        <x:v>0</x:v>
      </x:c>
      <x:c r="P449" s="6" t="n">
        <x:f>ROUND(O449*'Debt strategy'!$D$11/12,2)</x:f>
        <x:v>0</x:v>
      </x:c>
      <x:c r="Q449" s="6" t="n">
        <x:f>MIN(O449+P449,'Debt strategy'!$E$11)</x:f>
        <x:v>0</x:v>
      </x:c>
      <x:c r="R449" s="27" t="n">
        <x:f>IF(O449+P449-Q449&lt;=0,99,1+SUM(IF(AND(C449+D449-E449&gt;0,OR('Debt strategy'!$D$9&gt;'Debt strategy'!$D$11,AND('Debt strategy'!$D$9='Debt strategy'!$D$11,0&lt;2))),1,0),IF(AND(I449+J449-K449&gt;0,OR('Debt strategy'!$D$10&gt;'Debt strategy'!$D$11,AND('Debt strategy'!$D$10='Debt strategy'!$D$11,1&lt;2))),1,0),IF(AND(U449+V449-W449&gt;0,OR('Debt strategy'!$D$12&gt;'Debt strategy'!$D$11,AND('Debt strategy'!$D$12='Debt strategy'!$D$11,3&lt;2))),1,0),IF(AND(AA449+AB449-AC449&gt;0,OR('Debt strategy'!$D$13&gt;'Debt strategy'!$D$11,AND('Debt strategy'!$D$13='Debt strategy'!$D$11,4&lt;2))),1,0)))</x:f>
        <x:v>99</x:v>
      </x:c>
      <x:c r="S449" s="6" t="n">
        <x:f>IF('Debt strategy'!$C$16&gt;0,0,MIN(O449+P449-Q449,MAX(0,'Debt strategy'!$C$5-SUM(E449,K449,Q449,W449,AC449)-SUM(IF(F449&lt;R449,C449+D449-E449,0),IF(L449&lt;R449,I449+J449-K449,0),IF(X449&lt;R449,U449+V449-W449,0),IF(AD449&lt;R449,AA449+AB449-AC449,0)))))</x:f>
        <x:v>0</x:v>
      </x:c>
      <x:c r="T449" s="6" t="n">
        <x:f>ROUND(MAX(0,O449+P449-Q449-S449),2)</x:f>
        <x:v>0</x:v>
      </x:c>
      <x:c r="U449" s="6" t="n">
        <x:f>Z448</x:f>
        <x:v>0</x:v>
      </x:c>
      <x:c r="V449" s="6" t="n">
        <x:f>ROUND(U449*'Debt strategy'!$D$12/12,2)</x:f>
        <x:v>0</x:v>
      </x:c>
      <x:c r="W449" s="6" t="n">
        <x:f>MIN(U449+V449,'Debt strategy'!$E$12)</x:f>
        <x:v>0</x:v>
      </x:c>
      <x:c r="X449" s="27" t="n">
        <x:f>IF(U449+V449-W449&lt;=0,99,1+SUM(IF(AND(C449+D449-E449&gt;0,OR('Debt strategy'!$D$9&gt;'Debt strategy'!$D$12,AND('Debt strategy'!$D$9='Debt strategy'!$D$12,0&lt;3))),1,0),IF(AND(I449+J449-K449&gt;0,OR('Debt strategy'!$D$10&gt;'Debt strategy'!$D$12,AND('Debt strategy'!$D$10='Debt strategy'!$D$12,1&lt;3))),1,0),IF(AND(O449+P449-Q449&gt;0,OR('Debt strategy'!$D$11&gt;'Debt strategy'!$D$12,AND('Debt strategy'!$D$11='Debt strategy'!$D$12,2&lt;3))),1,0),IF(AND(AA449+AB449-AC449&gt;0,OR('Debt strategy'!$D$13&gt;'Debt strategy'!$D$12,AND('Debt strategy'!$D$13='Debt strategy'!$D$12,4&lt;3))),1,0)))</x:f>
        <x:v>99</x:v>
      </x:c>
      <x:c r="Y449" s="6" t="n">
        <x:f>IF('Debt strategy'!$C$16&gt;0,0,MIN(U449+V449-W449,MAX(0,'Debt strategy'!$C$5-SUM(E449,K449,Q449,W449,AC449)-SUM(IF(F449&lt;X449,C449+D449-E449,0),IF(L449&lt;X449,I449+J449-K449,0),IF(R449&lt;X449,O449+P449-Q449,0),IF(AD449&lt;X449,AA449+AB449-AC449,0)))))</x:f>
        <x:v>0</x:v>
      </x:c>
      <x:c r="Z449" s="6" t="n">
        <x:f>ROUND(MAX(0,U449+V449-W449-Y449),2)</x:f>
        <x:v>0</x:v>
      </x:c>
      <x:c r="AA449" s="6" t="n">
        <x:f>AF448</x:f>
        <x:v>0</x:v>
      </x:c>
      <x:c r="AB449" s="6" t="n">
        <x:f>ROUND(AA449*'Debt strategy'!$D$13/12,2)</x:f>
        <x:v>0</x:v>
      </x:c>
      <x:c r="AC449" s="6" t="n">
        <x:f>MIN(AA449+AB449,'Debt strategy'!$E$13)</x:f>
        <x:v>0</x:v>
      </x:c>
      <x:c r="AD449" s="27" t="n">
        <x:f>IF(AA449+AB449-AC449&lt;=0,99,1+SUM(IF(AND(C449+D449-E449&gt;0,OR('Debt strategy'!$D$9&gt;'Debt strategy'!$D$13,AND('Debt strategy'!$D$9='Debt strategy'!$D$13,0&lt;4))),1,0),IF(AND(I449+J449-K449&gt;0,OR('Debt strategy'!$D$10&gt;'Debt strategy'!$D$13,AND('Debt strategy'!$D$10='Debt strategy'!$D$13,1&lt;4))),1,0),IF(AND(O449+P449-Q449&gt;0,OR('Debt strategy'!$D$11&gt;'Debt strategy'!$D$13,AND('Debt strategy'!$D$11='Debt strategy'!$D$13,2&lt;4))),1,0),IF(AND(U449+V449-W449&gt;0,OR('Debt strategy'!$D$12&gt;'Debt strategy'!$D$13,AND('Debt strategy'!$D$12='Debt strategy'!$D$13,3&lt;4))),1,0)))</x:f>
        <x:v>99</x:v>
      </x:c>
      <x:c r="AE449" s="6" t="n">
        <x:f>IF('Debt strategy'!$C$16&gt;0,0,MIN(AA449+AB449-AC449,MAX(0,'Debt strategy'!$C$5-SUM(E449,K449,Q449,W449,AC449)-SUM(IF(F449&lt;AD449,C449+D449-E449,0),IF(L449&lt;AD449,I449+J449-K449,0),IF(R449&lt;AD449,O449+P449-Q449,0),IF(X449&lt;AD449,U449+V449-W449,0)))))</x:f>
        <x:v>0</x:v>
      </x:c>
      <x:c r="AF449" s="6" t="n">
        <x:f>ROUND(MAX(0,AA449+AB449-AC449-AE449),2)</x:f>
        <x:v>0</x:v>
      </x:c>
      <x:c r="AG449" s="6" t="n">
        <x:f>SUM(H449,N449,T449,Z449,AF449)</x:f>
        <x:v>0</x:v>
      </x:c>
      <x:c r="AH449" s="6" t="n">
        <x:f>SUM(D449,J449,P449,V449,AB449)+AH448</x:f>
        <x:v>1220.8400000000001</x:v>
      </x:c>
      <x:c r="AI449" s="2"/>
    </x:row>
    <x:row r="450" ht="23" customHeight="1">
      <x:c r="B450" s="2" t="n">
        <x:f>442</x:f>
        <x:v>442</x:v>
      </x:c>
      <x:c r="C450" s="6" t="n">
        <x:f>H449</x:f>
        <x:v>0</x:v>
      </x:c>
      <x:c r="D450" s="6" t="n">
        <x:f>ROUND(C450*'Debt strategy'!$D$9/12,2)</x:f>
        <x:v>0</x:v>
      </x:c>
      <x:c r="E450" s="6" t="n">
        <x:f>MIN(C450+D450,'Debt strategy'!$E$9)</x:f>
        <x:v>0</x:v>
      </x:c>
      <x:c r="F450" s="27" t="n">
        <x:f>IF(C450+D450-E450&lt;=0,99,1+SUM(IF(AND(I450+J450-K450&gt;0,OR('Debt strategy'!$D$10&gt;'Debt strategy'!$D$9,AND('Debt strategy'!$D$10='Debt strategy'!$D$9,1&lt;0))),1,0),IF(AND(O450+P450-Q450&gt;0,OR('Debt strategy'!$D$11&gt;'Debt strategy'!$D$9,AND('Debt strategy'!$D$11='Debt strategy'!$D$9,2&lt;0))),1,0),IF(AND(U450+V450-W450&gt;0,OR('Debt strategy'!$D$12&gt;'Debt strategy'!$D$9,AND('Debt strategy'!$D$12='Debt strategy'!$D$9,3&lt;0))),1,0),IF(AND(AA450+AB450-AC450&gt;0,OR('Debt strategy'!$D$13&gt;'Debt strategy'!$D$9,AND('Debt strategy'!$D$13='Debt strategy'!$D$9,4&lt;0))),1,0)))</x:f>
        <x:v>99</x:v>
      </x:c>
      <x:c r="G450" s="6" t="n">
        <x:f>IF('Debt strategy'!$C$16&gt;0,0,MIN(C450+D450-E450,MAX(0,'Debt strategy'!$C$5-SUM(E450,K450,Q450,W450,AC450)-SUM(IF(L450&lt;F450,I450+J450-K450,0),IF(R450&lt;F450,O450+P450-Q450,0),IF(X450&lt;F450,U450+V450-W450,0),IF(AD450&lt;F450,AA450+AB450-AC450,0)))))</x:f>
        <x:v>0</x:v>
      </x:c>
      <x:c r="H450" s="6" t="n">
        <x:f>ROUND(MAX(0,C450+D450-E450-G450),2)</x:f>
        <x:v>0</x:v>
      </x:c>
      <x:c r="I450" s="6" t="n">
        <x:f>N449</x:f>
        <x:v>0</x:v>
      </x:c>
      <x:c r="J450" s="6" t="n">
        <x:f>ROUND(I450*'Debt strategy'!$D$10/12,2)</x:f>
        <x:v>0</x:v>
      </x:c>
      <x:c r="K450" s="6" t="n">
        <x:f>MIN(I450+J450,'Debt strategy'!$E$10)</x:f>
        <x:v>0</x:v>
      </x:c>
      <x:c r="L450" s="27" t="n">
        <x:f>IF(I450+J450-K450&lt;=0,99,1+SUM(IF(AND(C450+D450-E450&gt;0,OR('Debt strategy'!$D$9&gt;'Debt strategy'!$D$10,AND('Debt strategy'!$D$9='Debt strategy'!$D$10,0&lt;1))),1,0),IF(AND(O450+P450-Q450&gt;0,OR('Debt strategy'!$D$11&gt;'Debt strategy'!$D$10,AND('Debt strategy'!$D$11='Debt strategy'!$D$10,2&lt;1))),1,0),IF(AND(U450+V450-W450&gt;0,OR('Debt strategy'!$D$12&gt;'Debt strategy'!$D$10,AND('Debt strategy'!$D$12='Debt strategy'!$D$10,3&lt;1))),1,0),IF(AND(AA450+AB450-AC450&gt;0,OR('Debt strategy'!$D$13&gt;'Debt strategy'!$D$10,AND('Debt strategy'!$D$13='Debt strategy'!$D$10,4&lt;1))),1,0)))</x:f>
        <x:v>99</x:v>
      </x:c>
      <x:c r="M450" s="6" t="n">
        <x:f>IF('Debt strategy'!$C$16&gt;0,0,MIN(I450+J450-K450,MAX(0,'Debt strategy'!$C$5-SUM(E450,K450,Q450,W450,AC450)-SUM(IF(F450&lt;L450,C450+D450-E450,0),IF(R450&lt;L450,O450+P450-Q450,0),IF(X450&lt;L450,U450+V450-W450,0),IF(AD450&lt;L450,AA450+AB450-AC450,0)))))</x:f>
        <x:v>0</x:v>
      </x:c>
      <x:c r="N450" s="6" t="n">
        <x:f>ROUND(MAX(0,I450+J450-K450-M450),2)</x:f>
        <x:v>0</x:v>
      </x:c>
      <x:c r="O450" s="6" t="n">
        <x:f>T449</x:f>
        <x:v>0</x:v>
      </x:c>
      <x:c r="P450" s="6" t="n">
        <x:f>ROUND(O450*'Debt strategy'!$D$11/12,2)</x:f>
        <x:v>0</x:v>
      </x:c>
      <x:c r="Q450" s="6" t="n">
        <x:f>MIN(O450+P450,'Debt strategy'!$E$11)</x:f>
        <x:v>0</x:v>
      </x:c>
      <x:c r="R450" s="27" t="n">
        <x:f>IF(O450+P450-Q450&lt;=0,99,1+SUM(IF(AND(C450+D450-E450&gt;0,OR('Debt strategy'!$D$9&gt;'Debt strategy'!$D$11,AND('Debt strategy'!$D$9='Debt strategy'!$D$11,0&lt;2))),1,0),IF(AND(I450+J450-K450&gt;0,OR('Debt strategy'!$D$10&gt;'Debt strategy'!$D$11,AND('Debt strategy'!$D$10='Debt strategy'!$D$11,1&lt;2))),1,0),IF(AND(U450+V450-W450&gt;0,OR('Debt strategy'!$D$12&gt;'Debt strategy'!$D$11,AND('Debt strategy'!$D$12='Debt strategy'!$D$11,3&lt;2))),1,0),IF(AND(AA450+AB450-AC450&gt;0,OR('Debt strategy'!$D$13&gt;'Debt strategy'!$D$11,AND('Debt strategy'!$D$13='Debt strategy'!$D$11,4&lt;2))),1,0)))</x:f>
        <x:v>99</x:v>
      </x:c>
      <x:c r="S450" s="6" t="n">
        <x:f>IF('Debt strategy'!$C$16&gt;0,0,MIN(O450+P450-Q450,MAX(0,'Debt strategy'!$C$5-SUM(E450,K450,Q450,W450,AC450)-SUM(IF(F450&lt;R450,C450+D450-E450,0),IF(L450&lt;R450,I450+J450-K450,0),IF(X450&lt;R450,U450+V450-W450,0),IF(AD450&lt;R450,AA450+AB450-AC450,0)))))</x:f>
        <x:v>0</x:v>
      </x:c>
      <x:c r="T450" s="6" t="n">
        <x:f>ROUND(MAX(0,O450+P450-Q450-S450),2)</x:f>
        <x:v>0</x:v>
      </x:c>
      <x:c r="U450" s="6" t="n">
        <x:f>Z449</x:f>
        <x:v>0</x:v>
      </x:c>
      <x:c r="V450" s="6" t="n">
        <x:f>ROUND(U450*'Debt strategy'!$D$12/12,2)</x:f>
        <x:v>0</x:v>
      </x:c>
      <x:c r="W450" s="6" t="n">
        <x:f>MIN(U450+V450,'Debt strategy'!$E$12)</x:f>
        <x:v>0</x:v>
      </x:c>
      <x:c r="X450" s="27" t="n">
        <x:f>IF(U450+V450-W450&lt;=0,99,1+SUM(IF(AND(C450+D450-E450&gt;0,OR('Debt strategy'!$D$9&gt;'Debt strategy'!$D$12,AND('Debt strategy'!$D$9='Debt strategy'!$D$12,0&lt;3))),1,0),IF(AND(I450+J450-K450&gt;0,OR('Debt strategy'!$D$10&gt;'Debt strategy'!$D$12,AND('Debt strategy'!$D$10='Debt strategy'!$D$12,1&lt;3))),1,0),IF(AND(O450+P450-Q450&gt;0,OR('Debt strategy'!$D$11&gt;'Debt strategy'!$D$12,AND('Debt strategy'!$D$11='Debt strategy'!$D$12,2&lt;3))),1,0),IF(AND(AA450+AB450-AC450&gt;0,OR('Debt strategy'!$D$13&gt;'Debt strategy'!$D$12,AND('Debt strategy'!$D$13='Debt strategy'!$D$12,4&lt;3))),1,0)))</x:f>
        <x:v>99</x:v>
      </x:c>
      <x:c r="Y450" s="6" t="n">
        <x:f>IF('Debt strategy'!$C$16&gt;0,0,MIN(U450+V450-W450,MAX(0,'Debt strategy'!$C$5-SUM(E450,K450,Q450,W450,AC450)-SUM(IF(F450&lt;X450,C450+D450-E450,0),IF(L450&lt;X450,I450+J450-K450,0),IF(R450&lt;X450,O450+P450-Q450,0),IF(AD450&lt;X450,AA450+AB450-AC450,0)))))</x:f>
        <x:v>0</x:v>
      </x:c>
      <x:c r="Z450" s="6" t="n">
        <x:f>ROUND(MAX(0,U450+V450-W450-Y450),2)</x:f>
        <x:v>0</x:v>
      </x:c>
      <x:c r="AA450" s="6" t="n">
        <x:f>AF449</x:f>
        <x:v>0</x:v>
      </x:c>
      <x:c r="AB450" s="6" t="n">
        <x:f>ROUND(AA450*'Debt strategy'!$D$13/12,2)</x:f>
        <x:v>0</x:v>
      </x:c>
      <x:c r="AC450" s="6" t="n">
        <x:f>MIN(AA450+AB450,'Debt strategy'!$E$13)</x:f>
        <x:v>0</x:v>
      </x:c>
      <x:c r="AD450" s="27" t="n">
        <x:f>IF(AA450+AB450-AC450&lt;=0,99,1+SUM(IF(AND(C450+D450-E450&gt;0,OR('Debt strategy'!$D$9&gt;'Debt strategy'!$D$13,AND('Debt strategy'!$D$9='Debt strategy'!$D$13,0&lt;4))),1,0),IF(AND(I450+J450-K450&gt;0,OR('Debt strategy'!$D$10&gt;'Debt strategy'!$D$13,AND('Debt strategy'!$D$10='Debt strategy'!$D$13,1&lt;4))),1,0),IF(AND(O450+P450-Q450&gt;0,OR('Debt strategy'!$D$11&gt;'Debt strategy'!$D$13,AND('Debt strategy'!$D$11='Debt strategy'!$D$13,2&lt;4))),1,0),IF(AND(U450+V450-W450&gt;0,OR('Debt strategy'!$D$12&gt;'Debt strategy'!$D$13,AND('Debt strategy'!$D$12='Debt strategy'!$D$13,3&lt;4))),1,0)))</x:f>
        <x:v>99</x:v>
      </x:c>
      <x:c r="AE450" s="6" t="n">
        <x:f>IF('Debt strategy'!$C$16&gt;0,0,MIN(AA450+AB450-AC450,MAX(0,'Debt strategy'!$C$5-SUM(E450,K450,Q450,W450,AC450)-SUM(IF(F450&lt;AD450,C450+D450-E450,0),IF(L450&lt;AD450,I450+J450-K450,0),IF(R450&lt;AD450,O450+P450-Q450,0),IF(X450&lt;AD450,U450+V450-W450,0)))))</x:f>
        <x:v>0</x:v>
      </x:c>
      <x:c r="AF450" s="6" t="n">
        <x:f>ROUND(MAX(0,AA450+AB450-AC450-AE450),2)</x:f>
        <x:v>0</x:v>
      </x:c>
      <x:c r="AG450" s="6" t="n">
        <x:f>SUM(H450,N450,T450,Z450,AF450)</x:f>
        <x:v>0</x:v>
      </x:c>
      <x:c r="AH450" s="6" t="n">
        <x:f>SUM(D450,J450,P450,V450,AB450)+AH449</x:f>
        <x:v>1220.8400000000001</x:v>
      </x:c>
      <x:c r="AI450" s="2"/>
    </x:row>
    <x:row r="451" ht="23" customHeight="1">
      <x:c r="B451" s="2" t="n">
        <x:f>443</x:f>
        <x:v>443</x:v>
      </x:c>
      <x:c r="C451" s="6" t="n">
        <x:f>H450</x:f>
        <x:v>0</x:v>
      </x:c>
      <x:c r="D451" s="6" t="n">
        <x:f>ROUND(C451*'Debt strategy'!$D$9/12,2)</x:f>
        <x:v>0</x:v>
      </x:c>
      <x:c r="E451" s="6" t="n">
        <x:f>MIN(C451+D451,'Debt strategy'!$E$9)</x:f>
        <x:v>0</x:v>
      </x:c>
      <x:c r="F451" s="27" t="n">
        <x:f>IF(C451+D451-E451&lt;=0,99,1+SUM(IF(AND(I451+J451-K451&gt;0,OR('Debt strategy'!$D$10&gt;'Debt strategy'!$D$9,AND('Debt strategy'!$D$10='Debt strategy'!$D$9,1&lt;0))),1,0),IF(AND(O451+P451-Q451&gt;0,OR('Debt strategy'!$D$11&gt;'Debt strategy'!$D$9,AND('Debt strategy'!$D$11='Debt strategy'!$D$9,2&lt;0))),1,0),IF(AND(U451+V451-W451&gt;0,OR('Debt strategy'!$D$12&gt;'Debt strategy'!$D$9,AND('Debt strategy'!$D$12='Debt strategy'!$D$9,3&lt;0))),1,0),IF(AND(AA451+AB451-AC451&gt;0,OR('Debt strategy'!$D$13&gt;'Debt strategy'!$D$9,AND('Debt strategy'!$D$13='Debt strategy'!$D$9,4&lt;0))),1,0)))</x:f>
        <x:v>99</x:v>
      </x:c>
      <x:c r="G451" s="6" t="n">
        <x:f>IF('Debt strategy'!$C$16&gt;0,0,MIN(C451+D451-E451,MAX(0,'Debt strategy'!$C$5-SUM(E451,K451,Q451,W451,AC451)-SUM(IF(L451&lt;F451,I451+J451-K451,0),IF(R451&lt;F451,O451+P451-Q451,0),IF(X451&lt;F451,U451+V451-W451,0),IF(AD451&lt;F451,AA451+AB451-AC451,0)))))</x:f>
        <x:v>0</x:v>
      </x:c>
      <x:c r="H451" s="6" t="n">
        <x:f>ROUND(MAX(0,C451+D451-E451-G451),2)</x:f>
        <x:v>0</x:v>
      </x:c>
      <x:c r="I451" s="6" t="n">
        <x:f>N450</x:f>
        <x:v>0</x:v>
      </x:c>
      <x:c r="J451" s="6" t="n">
        <x:f>ROUND(I451*'Debt strategy'!$D$10/12,2)</x:f>
        <x:v>0</x:v>
      </x:c>
      <x:c r="K451" s="6" t="n">
        <x:f>MIN(I451+J451,'Debt strategy'!$E$10)</x:f>
        <x:v>0</x:v>
      </x:c>
      <x:c r="L451" s="27" t="n">
        <x:f>IF(I451+J451-K451&lt;=0,99,1+SUM(IF(AND(C451+D451-E451&gt;0,OR('Debt strategy'!$D$9&gt;'Debt strategy'!$D$10,AND('Debt strategy'!$D$9='Debt strategy'!$D$10,0&lt;1))),1,0),IF(AND(O451+P451-Q451&gt;0,OR('Debt strategy'!$D$11&gt;'Debt strategy'!$D$10,AND('Debt strategy'!$D$11='Debt strategy'!$D$10,2&lt;1))),1,0),IF(AND(U451+V451-W451&gt;0,OR('Debt strategy'!$D$12&gt;'Debt strategy'!$D$10,AND('Debt strategy'!$D$12='Debt strategy'!$D$10,3&lt;1))),1,0),IF(AND(AA451+AB451-AC451&gt;0,OR('Debt strategy'!$D$13&gt;'Debt strategy'!$D$10,AND('Debt strategy'!$D$13='Debt strategy'!$D$10,4&lt;1))),1,0)))</x:f>
        <x:v>99</x:v>
      </x:c>
      <x:c r="M451" s="6" t="n">
        <x:f>IF('Debt strategy'!$C$16&gt;0,0,MIN(I451+J451-K451,MAX(0,'Debt strategy'!$C$5-SUM(E451,K451,Q451,W451,AC451)-SUM(IF(F451&lt;L451,C451+D451-E451,0),IF(R451&lt;L451,O451+P451-Q451,0),IF(X451&lt;L451,U451+V451-W451,0),IF(AD451&lt;L451,AA451+AB451-AC451,0)))))</x:f>
        <x:v>0</x:v>
      </x:c>
      <x:c r="N451" s="6" t="n">
        <x:f>ROUND(MAX(0,I451+J451-K451-M451),2)</x:f>
        <x:v>0</x:v>
      </x:c>
      <x:c r="O451" s="6" t="n">
        <x:f>T450</x:f>
        <x:v>0</x:v>
      </x:c>
      <x:c r="P451" s="6" t="n">
        <x:f>ROUND(O451*'Debt strategy'!$D$11/12,2)</x:f>
        <x:v>0</x:v>
      </x:c>
      <x:c r="Q451" s="6" t="n">
        <x:f>MIN(O451+P451,'Debt strategy'!$E$11)</x:f>
        <x:v>0</x:v>
      </x:c>
      <x:c r="R451" s="27" t="n">
        <x:f>IF(O451+P451-Q451&lt;=0,99,1+SUM(IF(AND(C451+D451-E451&gt;0,OR('Debt strategy'!$D$9&gt;'Debt strategy'!$D$11,AND('Debt strategy'!$D$9='Debt strategy'!$D$11,0&lt;2))),1,0),IF(AND(I451+J451-K451&gt;0,OR('Debt strategy'!$D$10&gt;'Debt strategy'!$D$11,AND('Debt strategy'!$D$10='Debt strategy'!$D$11,1&lt;2))),1,0),IF(AND(U451+V451-W451&gt;0,OR('Debt strategy'!$D$12&gt;'Debt strategy'!$D$11,AND('Debt strategy'!$D$12='Debt strategy'!$D$11,3&lt;2))),1,0),IF(AND(AA451+AB451-AC451&gt;0,OR('Debt strategy'!$D$13&gt;'Debt strategy'!$D$11,AND('Debt strategy'!$D$13='Debt strategy'!$D$11,4&lt;2))),1,0)))</x:f>
        <x:v>99</x:v>
      </x:c>
      <x:c r="S451" s="6" t="n">
        <x:f>IF('Debt strategy'!$C$16&gt;0,0,MIN(O451+P451-Q451,MAX(0,'Debt strategy'!$C$5-SUM(E451,K451,Q451,W451,AC451)-SUM(IF(F451&lt;R451,C451+D451-E451,0),IF(L451&lt;R451,I451+J451-K451,0),IF(X451&lt;R451,U451+V451-W451,0),IF(AD451&lt;R451,AA451+AB451-AC451,0)))))</x:f>
        <x:v>0</x:v>
      </x:c>
      <x:c r="T451" s="6" t="n">
        <x:f>ROUND(MAX(0,O451+P451-Q451-S451),2)</x:f>
        <x:v>0</x:v>
      </x:c>
      <x:c r="U451" s="6" t="n">
        <x:f>Z450</x:f>
        <x:v>0</x:v>
      </x:c>
      <x:c r="V451" s="6" t="n">
        <x:f>ROUND(U451*'Debt strategy'!$D$12/12,2)</x:f>
        <x:v>0</x:v>
      </x:c>
      <x:c r="W451" s="6" t="n">
        <x:f>MIN(U451+V451,'Debt strategy'!$E$12)</x:f>
        <x:v>0</x:v>
      </x:c>
      <x:c r="X451" s="27" t="n">
        <x:f>IF(U451+V451-W451&lt;=0,99,1+SUM(IF(AND(C451+D451-E451&gt;0,OR('Debt strategy'!$D$9&gt;'Debt strategy'!$D$12,AND('Debt strategy'!$D$9='Debt strategy'!$D$12,0&lt;3))),1,0),IF(AND(I451+J451-K451&gt;0,OR('Debt strategy'!$D$10&gt;'Debt strategy'!$D$12,AND('Debt strategy'!$D$10='Debt strategy'!$D$12,1&lt;3))),1,0),IF(AND(O451+P451-Q451&gt;0,OR('Debt strategy'!$D$11&gt;'Debt strategy'!$D$12,AND('Debt strategy'!$D$11='Debt strategy'!$D$12,2&lt;3))),1,0),IF(AND(AA451+AB451-AC451&gt;0,OR('Debt strategy'!$D$13&gt;'Debt strategy'!$D$12,AND('Debt strategy'!$D$13='Debt strategy'!$D$12,4&lt;3))),1,0)))</x:f>
        <x:v>99</x:v>
      </x:c>
      <x:c r="Y451" s="6" t="n">
        <x:f>IF('Debt strategy'!$C$16&gt;0,0,MIN(U451+V451-W451,MAX(0,'Debt strategy'!$C$5-SUM(E451,K451,Q451,W451,AC451)-SUM(IF(F451&lt;X451,C451+D451-E451,0),IF(L451&lt;X451,I451+J451-K451,0),IF(R451&lt;X451,O451+P451-Q451,0),IF(AD451&lt;X451,AA451+AB451-AC451,0)))))</x:f>
        <x:v>0</x:v>
      </x:c>
      <x:c r="Z451" s="6" t="n">
        <x:f>ROUND(MAX(0,U451+V451-W451-Y451),2)</x:f>
        <x:v>0</x:v>
      </x:c>
      <x:c r="AA451" s="6" t="n">
        <x:f>AF450</x:f>
        <x:v>0</x:v>
      </x:c>
      <x:c r="AB451" s="6" t="n">
        <x:f>ROUND(AA451*'Debt strategy'!$D$13/12,2)</x:f>
        <x:v>0</x:v>
      </x:c>
      <x:c r="AC451" s="6" t="n">
        <x:f>MIN(AA451+AB451,'Debt strategy'!$E$13)</x:f>
        <x:v>0</x:v>
      </x:c>
      <x:c r="AD451" s="27" t="n">
        <x:f>IF(AA451+AB451-AC451&lt;=0,99,1+SUM(IF(AND(C451+D451-E451&gt;0,OR('Debt strategy'!$D$9&gt;'Debt strategy'!$D$13,AND('Debt strategy'!$D$9='Debt strategy'!$D$13,0&lt;4))),1,0),IF(AND(I451+J451-K451&gt;0,OR('Debt strategy'!$D$10&gt;'Debt strategy'!$D$13,AND('Debt strategy'!$D$10='Debt strategy'!$D$13,1&lt;4))),1,0),IF(AND(O451+P451-Q451&gt;0,OR('Debt strategy'!$D$11&gt;'Debt strategy'!$D$13,AND('Debt strategy'!$D$11='Debt strategy'!$D$13,2&lt;4))),1,0),IF(AND(U451+V451-W451&gt;0,OR('Debt strategy'!$D$12&gt;'Debt strategy'!$D$13,AND('Debt strategy'!$D$12='Debt strategy'!$D$13,3&lt;4))),1,0)))</x:f>
        <x:v>99</x:v>
      </x:c>
      <x:c r="AE451" s="6" t="n">
        <x:f>IF('Debt strategy'!$C$16&gt;0,0,MIN(AA451+AB451-AC451,MAX(0,'Debt strategy'!$C$5-SUM(E451,K451,Q451,W451,AC451)-SUM(IF(F451&lt;AD451,C451+D451-E451,0),IF(L451&lt;AD451,I451+J451-K451,0),IF(R451&lt;AD451,O451+P451-Q451,0),IF(X451&lt;AD451,U451+V451-W451,0)))))</x:f>
        <x:v>0</x:v>
      </x:c>
      <x:c r="AF451" s="6" t="n">
        <x:f>ROUND(MAX(0,AA451+AB451-AC451-AE451),2)</x:f>
        <x:v>0</x:v>
      </x:c>
      <x:c r="AG451" s="6" t="n">
        <x:f>SUM(H451,N451,T451,Z451,AF451)</x:f>
        <x:v>0</x:v>
      </x:c>
      <x:c r="AH451" s="6" t="n">
        <x:f>SUM(D451,J451,P451,V451,AB451)+AH450</x:f>
        <x:v>1220.8400000000001</x:v>
      </x:c>
      <x:c r="AI451" s="2"/>
    </x:row>
    <x:row r="452" ht="23" customHeight="1">
      <x:c r="B452" s="2" t="n">
        <x:f>444</x:f>
        <x:v>444</x:v>
      </x:c>
      <x:c r="C452" s="6" t="n">
        <x:f>H451</x:f>
        <x:v>0</x:v>
      </x:c>
      <x:c r="D452" s="6" t="n">
        <x:f>ROUND(C452*'Debt strategy'!$D$9/12,2)</x:f>
        <x:v>0</x:v>
      </x:c>
      <x:c r="E452" s="6" t="n">
        <x:f>MIN(C452+D452,'Debt strategy'!$E$9)</x:f>
        <x:v>0</x:v>
      </x:c>
      <x:c r="F452" s="27" t="n">
        <x:f>IF(C452+D452-E452&lt;=0,99,1+SUM(IF(AND(I452+J452-K452&gt;0,OR('Debt strategy'!$D$10&gt;'Debt strategy'!$D$9,AND('Debt strategy'!$D$10='Debt strategy'!$D$9,1&lt;0))),1,0),IF(AND(O452+P452-Q452&gt;0,OR('Debt strategy'!$D$11&gt;'Debt strategy'!$D$9,AND('Debt strategy'!$D$11='Debt strategy'!$D$9,2&lt;0))),1,0),IF(AND(U452+V452-W452&gt;0,OR('Debt strategy'!$D$12&gt;'Debt strategy'!$D$9,AND('Debt strategy'!$D$12='Debt strategy'!$D$9,3&lt;0))),1,0),IF(AND(AA452+AB452-AC452&gt;0,OR('Debt strategy'!$D$13&gt;'Debt strategy'!$D$9,AND('Debt strategy'!$D$13='Debt strategy'!$D$9,4&lt;0))),1,0)))</x:f>
        <x:v>99</x:v>
      </x:c>
      <x:c r="G452" s="6" t="n">
        <x:f>IF('Debt strategy'!$C$16&gt;0,0,MIN(C452+D452-E452,MAX(0,'Debt strategy'!$C$5-SUM(E452,K452,Q452,W452,AC452)-SUM(IF(L452&lt;F452,I452+J452-K452,0),IF(R452&lt;F452,O452+P452-Q452,0),IF(X452&lt;F452,U452+V452-W452,0),IF(AD452&lt;F452,AA452+AB452-AC452,0)))))</x:f>
        <x:v>0</x:v>
      </x:c>
      <x:c r="H452" s="6" t="n">
        <x:f>ROUND(MAX(0,C452+D452-E452-G452),2)</x:f>
        <x:v>0</x:v>
      </x:c>
      <x:c r="I452" s="6" t="n">
        <x:f>N451</x:f>
        <x:v>0</x:v>
      </x:c>
      <x:c r="J452" s="6" t="n">
        <x:f>ROUND(I452*'Debt strategy'!$D$10/12,2)</x:f>
        <x:v>0</x:v>
      </x:c>
      <x:c r="K452" s="6" t="n">
        <x:f>MIN(I452+J452,'Debt strategy'!$E$10)</x:f>
        <x:v>0</x:v>
      </x:c>
      <x:c r="L452" s="27" t="n">
        <x:f>IF(I452+J452-K452&lt;=0,99,1+SUM(IF(AND(C452+D452-E452&gt;0,OR('Debt strategy'!$D$9&gt;'Debt strategy'!$D$10,AND('Debt strategy'!$D$9='Debt strategy'!$D$10,0&lt;1))),1,0),IF(AND(O452+P452-Q452&gt;0,OR('Debt strategy'!$D$11&gt;'Debt strategy'!$D$10,AND('Debt strategy'!$D$11='Debt strategy'!$D$10,2&lt;1))),1,0),IF(AND(U452+V452-W452&gt;0,OR('Debt strategy'!$D$12&gt;'Debt strategy'!$D$10,AND('Debt strategy'!$D$12='Debt strategy'!$D$10,3&lt;1))),1,0),IF(AND(AA452+AB452-AC452&gt;0,OR('Debt strategy'!$D$13&gt;'Debt strategy'!$D$10,AND('Debt strategy'!$D$13='Debt strategy'!$D$10,4&lt;1))),1,0)))</x:f>
        <x:v>99</x:v>
      </x:c>
      <x:c r="M452" s="6" t="n">
        <x:f>IF('Debt strategy'!$C$16&gt;0,0,MIN(I452+J452-K452,MAX(0,'Debt strategy'!$C$5-SUM(E452,K452,Q452,W452,AC452)-SUM(IF(F452&lt;L452,C452+D452-E452,0),IF(R452&lt;L452,O452+P452-Q452,0),IF(X452&lt;L452,U452+V452-W452,0),IF(AD452&lt;L452,AA452+AB452-AC452,0)))))</x:f>
        <x:v>0</x:v>
      </x:c>
      <x:c r="N452" s="6" t="n">
        <x:f>ROUND(MAX(0,I452+J452-K452-M452),2)</x:f>
        <x:v>0</x:v>
      </x:c>
      <x:c r="O452" s="6" t="n">
        <x:f>T451</x:f>
        <x:v>0</x:v>
      </x:c>
      <x:c r="P452" s="6" t="n">
        <x:f>ROUND(O452*'Debt strategy'!$D$11/12,2)</x:f>
        <x:v>0</x:v>
      </x:c>
      <x:c r="Q452" s="6" t="n">
        <x:f>MIN(O452+P452,'Debt strategy'!$E$11)</x:f>
        <x:v>0</x:v>
      </x:c>
      <x:c r="R452" s="27" t="n">
        <x:f>IF(O452+P452-Q452&lt;=0,99,1+SUM(IF(AND(C452+D452-E452&gt;0,OR('Debt strategy'!$D$9&gt;'Debt strategy'!$D$11,AND('Debt strategy'!$D$9='Debt strategy'!$D$11,0&lt;2))),1,0),IF(AND(I452+J452-K452&gt;0,OR('Debt strategy'!$D$10&gt;'Debt strategy'!$D$11,AND('Debt strategy'!$D$10='Debt strategy'!$D$11,1&lt;2))),1,0),IF(AND(U452+V452-W452&gt;0,OR('Debt strategy'!$D$12&gt;'Debt strategy'!$D$11,AND('Debt strategy'!$D$12='Debt strategy'!$D$11,3&lt;2))),1,0),IF(AND(AA452+AB452-AC452&gt;0,OR('Debt strategy'!$D$13&gt;'Debt strategy'!$D$11,AND('Debt strategy'!$D$13='Debt strategy'!$D$11,4&lt;2))),1,0)))</x:f>
        <x:v>99</x:v>
      </x:c>
      <x:c r="S452" s="6" t="n">
        <x:f>IF('Debt strategy'!$C$16&gt;0,0,MIN(O452+P452-Q452,MAX(0,'Debt strategy'!$C$5-SUM(E452,K452,Q452,W452,AC452)-SUM(IF(F452&lt;R452,C452+D452-E452,0),IF(L452&lt;R452,I452+J452-K452,0),IF(X452&lt;R452,U452+V452-W452,0),IF(AD452&lt;R452,AA452+AB452-AC452,0)))))</x:f>
        <x:v>0</x:v>
      </x:c>
      <x:c r="T452" s="6" t="n">
        <x:f>ROUND(MAX(0,O452+P452-Q452-S452),2)</x:f>
        <x:v>0</x:v>
      </x:c>
      <x:c r="U452" s="6" t="n">
        <x:f>Z451</x:f>
        <x:v>0</x:v>
      </x:c>
      <x:c r="V452" s="6" t="n">
        <x:f>ROUND(U452*'Debt strategy'!$D$12/12,2)</x:f>
        <x:v>0</x:v>
      </x:c>
      <x:c r="W452" s="6" t="n">
        <x:f>MIN(U452+V452,'Debt strategy'!$E$12)</x:f>
        <x:v>0</x:v>
      </x:c>
      <x:c r="X452" s="27" t="n">
        <x:f>IF(U452+V452-W452&lt;=0,99,1+SUM(IF(AND(C452+D452-E452&gt;0,OR('Debt strategy'!$D$9&gt;'Debt strategy'!$D$12,AND('Debt strategy'!$D$9='Debt strategy'!$D$12,0&lt;3))),1,0),IF(AND(I452+J452-K452&gt;0,OR('Debt strategy'!$D$10&gt;'Debt strategy'!$D$12,AND('Debt strategy'!$D$10='Debt strategy'!$D$12,1&lt;3))),1,0),IF(AND(O452+P452-Q452&gt;0,OR('Debt strategy'!$D$11&gt;'Debt strategy'!$D$12,AND('Debt strategy'!$D$11='Debt strategy'!$D$12,2&lt;3))),1,0),IF(AND(AA452+AB452-AC452&gt;0,OR('Debt strategy'!$D$13&gt;'Debt strategy'!$D$12,AND('Debt strategy'!$D$13='Debt strategy'!$D$12,4&lt;3))),1,0)))</x:f>
        <x:v>99</x:v>
      </x:c>
      <x:c r="Y452" s="6" t="n">
        <x:f>IF('Debt strategy'!$C$16&gt;0,0,MIN(U452+V452-W452,MAX(0,'Debt strategy'!$C$5-SUM(E452,K452,Q452,W452,AC452)-SUM(IF(F452&lt;X452,C452+D452-E452,0),IF(L452&lt;X452,I452+J452-K452,0),IF(R452&lt;X452,O452+P452-Q452,0),IF(AD452&lt;X452,AA452+AB452-AC452,0)))))</x:f>
        <x:v>0</x:v>
      </x:c>
      <x:c r="Z452" s="6" t="n">
        <x:f>ROUND(MAX(0,U452+V452-W452-Y452),2)</x:f>
        <x:v>0</x:v>
      </x:c>
      <x:c r="AA452" s="6" t="n">
        <x:f>AF451</x:f>
        <x:v>0</x:v>
      </x:c>
      <x:c r="AB452" s="6" t="n">
        <x:f>ROUND(AA452*'Debt strategy'!$D$13/12,2)</x:f>
        <x:v>0</x:v>
      </x:c>
      <x:c r="AC452" s="6" t="n">
        <x:f>MIN(AA452+AB452,'Debt strategy'!$E$13)</x:f>
        <x:v>0</x:v>
      </x:c>
      <x:c r="AD452" s="27" t="n">
        <x:f>IF(AA452+AB452-AC452&lt;=0,99,1+SUM(IF(AND(C452+D452-E452&gt;0,OR('Debt strategy'!$D$9&gt;'Debt strategy'!$D$13,AND('Debt strategy'!$D$9='Debt strategy'!$D$13,0&lt;4))),1,0),IF(AND(I452+J452-K452&gt;0,OR('Debt strategy'!$D$10&gt;'Debt strategy'!$D$13,AND('Debt strategy'!$D$10='Debt strategy'!$D$13,1&lt;4))),1,0),IF(AND(O452+P452-Q452&gt;0,OR('Debt strategy'!$D$11&gt;'Debt strategy'!$D$13,AND('Debt strategy'!$D$11='Debt strategy'!$D$13,2&lt;4))),1,0),IF(AND(U452+V452-W452&gt;0,OR('Debt strategy'!$D$12&gt;'Debt strategy'!$D$13,AND('Debt strategy'!$D$12='Debt strategy'!$D$13,3&lt;4))),1,0)))</x:f>
        <x:v>99</x:v>
      </x:c>
      <x:c r="AE452" s="6" t="n">
        <x:f>IF('Debt strategy'!$C$16&gt;0,0,MIN(AA452+AB452-AC452,MAX(0,'Debt strategy'!$C$5-SUM(E452,K452,Q452,W452,AC452)-SUM(IF(F452&lt;AD452,C452+D452-E452,0),IF(L452&lt;AD452,I452+J452-K452,0),IF(R452&lt;AD452,O452+P452-Q452,0),IF(X452&lt;AD452,U452+V452-W452,0)))))</x:f>
        <x:v>0</x:v>
      </x:c>
      <x:c r="AF452" s="6" t="n">
        <x:f>ROUND(MAX(0,AA452+AB452-AC452-AE452),2)</x:f>
        <x:v>0</x:v>
      </x:c>
      <x:c r="AG452" s="6" t="n">
        <x:f>SUM(H452,N452,T452,Z452,AF452)</x:f>
        <x:v>0</x:v>
      </x:c>
      <x:c r="AH452" s="6" t="n">
        <x:f>SUM(D452,J452,P452,V452,AB452)+AH451</x:f>
        <x:v>1220.8400000000001</x:v>
      </x:c>
      <x:c r="AI452" s="2"/>
    </x:row>
    <x:row r="453" ht="23" customHeight="1">
      <x:c r="B453" s="2" t="n">
        <x:f>445</x:f>
        <x:v>445</x:v>
      </x:c>
      <x:c r="C453" s="6" t="n">
        <x:f>H452</x:f>
        <x:v>0</x:v>
      </x:c>
      <x:c r="D453" s="6" t="n">
        <x:f>ROUND(C453*'Debt strategy'!$D$9/12,2)</x:f>
        <x:v>0</x:v>
      </x:c>
      <x:c r="E453" s="6" t="n">
        <x:f>MIN(C453+D453,'Debt strategy'!$E$9)</x:f>
        <x:v>0</x:v>
      </x:c>
      <x:c r="F453" s="27" t="n">
        <x:f>IF(C453+D453-E453&lt;=0,99,1+SUM(IF(AND(I453+J453-K453&gt;0,OR('Debt strategy'!$D$10&gt;'Debt strategy'!$D$9,AND('Debt strategy'!$D$10='Debt strategy'!$D$9,1&lt;0))),1,0),IF(AND(O453+P453-Q453&gt;0,OR('Debt strategy'!$D$11&gt;'Debt strategy'!$D$9,AND('Debt strategy'!$D$11='Debt strategy'!$D$9,2&lt;0))),1,0),IF(AND(U453+V453-W453&gt;0,OR('Debt strategy'!$D$12&gt;'Debt strategy'!$D$9,AND('Debt strategy'!$D$12='Debt strategy'!$D$9,3&lt;0))),1,0),IF(AND(AA453+AB453-AC453&gt;0,OR('Debt strategy'!$D$13&gt;'Debt strategy'!$D$9,AND('Debt strategy'!$D$13='Debt strategy'!$D$9,4&lt;0))),1,0)))</x:f>
        <x:v>99</x:v>
      </x:c>
      <x:c r="G453" s="6" t="n">
        <x:f>IF('Debt strategy'!$C$16&gt;0,0,MIN(C453+D453-E453,MAX(0,'Debt strategy'!$C$5-SUM(E453,K453,Q453,W453,AC453)-SUM(IF(L453&lt;F453,I453+J453-K453,0),IF(R453&lt;F453,O453+P453-Q453,0),IF(X453&lt;F453,U453+V453-W453,0),IF(AD453&lt;F453,AA453+AB453-AC453,0)))))</x:f>
        <x:v>0</x:v>
      </x:c>
      <x:c r="H453" s="6" t="n">
        <x:f>ROUND(MAX(0,C453+D453-E453-G453),2)</x:f>
        <x:v>0</x:v>
      </x:c>
      <x:c r="I453" s="6" t="n">
        <x:f>N452</x:f>
        <x:v>0</x:v>
      </x:c>
      <x:c r="J453" s="6" t="n">
        <x:f>ROUND(I453*'Debt strategy'!$D$10/12,2)</x:f>
        <x:v>0</x:v>
      </x:c>
      <x:c r="K453" s="6" t="n">
        <x:f>MIN(I453+J453,'Debt strategy'!$E$10)</x:f>
        <x:v>0</x:v>
      </x:c>
      <x:c r="L453" s="27" t="n">
        <x:f>IF(I453+J453-K453&lt;=0,99,1+SUM(IF(AND(C453+D453-E453&gt;0,OR('Debt strategy'!$D$9&gt;'Debt strategy'!$D$10,AND('Debt strategy'!$D$9='Debt strategy'!$D$10,0&lt;1))),1,0),IF(AND(O453+P453-Q453&gt;0,OR('Debt strategy'!$D$11&gt;'Debt strategy'!$D$10,AND('Debt strategy'!$D$11='Debt strategy'!$D$10,2&lt;1))),1,0),IF(AND(U453+V453-W453&gt;0,OR('Debt strategy'!$D$12&gt;'Debt strategy'!$D$10,AND('Debt strategy'!$D$12='Debt strategy'!$D$10,3&lt;1))),1,0),IF(AND(AA453+AB453-AC453&gt;0,OR('Debt strategy'!$D$13&gt;'Debt strategy'!$D$10,AND('Debt strategy'!$D$13='Debt strategy'!$D$10,4&lt;1))),1,0)))</x:f>
        <x:v>99</x:v>
      </x:c>
      <x:c r="M453" s="6" t="n">
        <x:f>IF('Debt strategy'!$C$16&gt;0,0,MIN(I453+J453-K453,MAX(0,'Debt strategy'!$C$5-SUM(E453,K453,Q453,W453,AC453)-SUM(IF(F453&lt;L453,C453+D453-E453,0),IF(R453&lt;L453,O453+P453-Q453,0),IF(X453&lt;L453,U453+V453-W453,0),IF(AD453&lt;L453,AA453+AB453-AC453,0)))))</x:f>
        <x:v>0</x:v>
      </x:c>
      <x:c r="N453" s="6" t="n">
        <x:f>ROUND(MAX(0,I453+J453-K453-M453),2)</x:f>
        <x:v>0</x:v>
      </x:c>
      <x:c r="O453" s="6" t="n">
        <x:f>T452</x:f>
        <x:v>0</x:v>
      </x:c>
      <x:c r="P453" s="6" t="n">
        <x:f>ROUND(O453*'Debt strategy'!$D$11/12,2)</x:f>
        <x:v>0</x:v>
      </x:c>
      <x:c r="Q453" s="6" t="n">
        <x:f>MIN(O453+P453,'Debt strategy'!$E$11)</x:f>
        <x:v>0</x:v>
      </x:c>
      <x:c r="R453" s="27" t="n">
        <x:f>IF(O453+P453-Q453&lt;=0,99,1+SUM(IF(AND(C453+D453-E453&gt;0,OR('Debt strategy'!$D$9&gt;'Debt strategy'!$D$11,AND('Debt strategy'!$D$9='Debt strategy'!$D$11,0&lt;2))),1,0),IF(AND(I453+J453-K453&gt;0,OR('Debt strategy'!$D$10&gt;'Debt strategy'!$D$11,AND('Debt strategy'!$D$10='Debt strategy'!$D$11,1&lt;2))),1,0),IF(AND(U453+V453-W453&gt;0,OR('Debt strategy'!$D$12&gt;'Debt strategy'!$D$11,AND('Debt strategy'!$D$12='Debt strategy'!$D$11,3&lt;2))),1,0),IF(AND(AA453+AB453-AC453&gt;0,OR('Debt strategy'!$D$13&gt;'Debt strategy'!$D$11,AND('Debt strategy'!$D$13='Debt strategy'!$D$11,4&lt;2))),1,0)))</x:f>
        <x:v>99</x:v>
      </x:c>
      <x:c r="S453" s="6" t="n">
        <x:f>IF('Debt strategy'!$C$16&gt;0,0,MIN(O453+P453-Q453,MAX(0,'Debt strategy'!$C$5-SUM(E453,K453,Q453,W453,AC453)-SUM(IF(F453&lt;R453,C453+D453-E453,0),IF(L453&lt;R453,I453+J453-K453,0),IF(X453&lt;R453,U453+V453-W453,0),IF(AD453&lt;R453,AA453+AB453-AC453,0)))))</x:f>
        <x:v>0</x:v>
      </x:c>
      <x:c r="T453" s="6" t="n">
        <x:f>ROUND(MAX(0,O453+P453-Q453-S453),2)</x:f>
        <x:v>0</x:v>
      </x:c>
      <x:c r="U453" s="6" t="n">
        <x:f>Z452</x:f>
        <x:v>0</x:v>
      </x:c>
      <x:c r="V453" s="6" t="n">
        <x:f>ROUND(U453*'Debt strategy'!$D$12/12,2)</x:f>
        <x:v>0</x:v>
      </x:c>
      <x:c r="W453" s="6" t="n">
        <x:f>MIN(U453+V453,'Debt strategy'!$E$12)</x:f>
        <x:v>0</x:v>
      </x:c>
      <x:c r="X453" s="27" t="n">
        <x:f>IF(U453+V453-W453&lt;=0,99,1+SUM(IF(AND(C453+D453-E453&gt;0,OR('Debt strategy'!$D$9&gt;'Debt strategy'!$D$12,AND('Debt strategy'!$D$9='Debt strategy'!$D$12,0&lt;3))),1,0),IF(AND(I453+J453-K453&gt;0,OR('Debt strategy'!$D$10&gt;'Debt strategy'!$D$12,AND('Debt strategy'!$D$10='Debt strategy'!$D$12,1&lt;3))),1,0),IF(AND(O453+P453-Q453&gt;0,OR('Debt strategy'!$D$11&gt;'Debt strategy'!$D$12,AND('Debt strategy'!$D$11='Debt strategy'!$D$12,2&lt;3))),1,0),IF(AND(AA453+AB453-AC453&gt;0,OR('Debt strategy'!$D$13&gt;'Debt strategy'!$D$12,AND('Debt strategy'!$D$13='Debt strategy'!$D$12,4&lt;3))),1,0)))</x:f>
        <x:v>99</x:v>
      </x:c>
      <x:c r="Y453" s="6" t="n">
        <x:f>IF('Debt strategy'!$C$16&gt;0,0,MIN(U453+V453-W453,MAX(0,'Debt strategy'!$C$5-SUM(E453,K453,Q453,W453,AC453)-SUM(IF(F453&lt;X453,C453+D453-E453,0),IF(L453&lt;X453,I453+J453-K453,0),IF(R453&lt;X453,O453+P453-Q453,0),IF(AD453&lt;X453,AA453+AB453-AC453,0)))))</x:f>
        <x:v>0</x:v>
      </x:c>
      <x:c r="Z453" s="6" t="n">
        <x:f>ROUND(MAX(0,U453+V453-W453-Y453),2)</x:f>
        <x:v>0</x:v>
      </x:c>
      <x:c r="AA453" s="6" t="n">
        <x:f>AF452</x:f>
        <x:v>0</x:v>
      </x:c>
      <x:c r="AB453" s="6" t="n">
        <x:f>ROUND(AA453*'Debt strategy'!$D$13/12,2)</x:f>
        <x:v>0</x:v>
      </x:c>
      <x:c r="AC453" s="6" t="n">
        <x:f>MIN(AA453+AB453,'Debt strategy'!$E$13)</x:f>
        <x:v>0</x:v>
      </x:c>
      <x:c r="AD453" s="27" t="n">
        <x:f>IF(AA453+AB453-AC453&lt;=0,99,1+SUM(IF(AND(C453+D453-E453&gt;0,OR('Debt strategy'!$D$9&gt;'Debt strategy'!$D$13,AND('Debt strategy'!$D$9='Debt strategy'!$D$13,0&lt;4))),1,0),IF(AND(I453+J453-K453&gt;0,OR('Debt strategy'!$D$10&gt;'Debt strategy'!$D$13,AND('Debt strategy'!$D$10='Debt strategy'!$D$13,1&lt;4))),1,0),IF(AND(O453+P453-Q453&gt;0,OR('Debt strategy'!$D$11&gt;'Debt strategy'!$D$13,AND('Debt strategy'!$D$11='Debt strategy'!$D$13,2&lt;4))),1,0),IF(AND(U453+V453-W453&gt;0,OR('Debt strategy'!$D$12&gt;'Debt strategy'!$D$13,AND('Debt strategy'!$D$12='Debt strategy'!$D$13,3&lt;4))),1,0)))</x:f>
        <x:v>99</x:v>
      </x:c>
      <x:c r="AE453" s="6" t="n">
        <x:f>IF('Debt strategy'!$C$16&gt;0,0,MIN(AA453+AB453-AC453,MAX(0,'Debt strategy'!$C$5-SUM(E453,K453,Q453,W453,AC453)-SUM(IF(F453&lt;AD453,C453+D453-E453,0),IF(L453&lt;AD453,I453+J453-K453,0),IF(R453&lt;AD453,O453+P453-Q453,0),IF(X453&lt;AD453,U453+V453-W453,0)))))</x:f>
        <x:v>0</x:v>
      </x:c>
      <x:c r="AF453" s="6" t="n">
        <x:f>ROUND(MAX(0,AA453+AB453-AC453-AE453),2)</x:f>
        <x:v>0</x:v>
      </x:c>
      <x:c r="AG453" s="6" t="n">
        <x:f>SUM(H453,N453,T453,Z453,AF453)</x:f>
        <x:v>0</x:v>
      </x:c>
      <x:c r="AH453" s="6" t="n">
        <x:f>SUM(D453,J453,P453,V453,AB453)+AH452</x:f>
        <x:v>1220.8400000000001</x:v>
      </x:c>
      <x:c r="AI453" s="2"/>
    </x:row>
    <x:row r="454" ht="23" customHeight="1">
      <x:c r="B454" s="2" t="n">
        <x:f>446</x:f>
        <x:v>446</x:v>
      </x:c>
      <x:c r="C454" s="6" t="n">
        <x:f>H453</x:f>
        <x:v>0</x:v>
      </x:c>
      <x:c r="D454" s="6" t="n">
        <x:f>ROUND(C454*'Debt strategy'!$D$9/12,2)</x:f>
        <x:v>0</x:v>
      </x:c>
      <x:c r="E454" s="6" t="n">
        <x:f>MIN(C454+D454,'Debt strategy'!$E$9)</x:f>
        <x:v>0</x:v>
      </x:c>
      <x:c r="F454" s="27" t="n">
        <x:f>IF(C454+D454-E454&lt;=0,99,1+SUM(IF(AND(I454+J454-K454&gt;0,OR('Debt strategy'!$D$10&gt;'Debt strategy'!$D$9,AND('Debt strategy'!$D$10='Debt strategy'!$D$9,1&lt;0))),1,0),IF(AND(O454+P454-Q454&gt;0,OR('Debt strategy'!$D$11&gt;'Debt strategy'!$D$9,AND('Debt strategy'!$D$11='Debt strategy'!$D$9,2&lt;0))),1,0),IF(AND(U454+V454-W454&gt;0,OR('Debt strategy'!$D$12&gt;'Debt strategy'!$D$9,AND('Debt strategy'!$D$12='Debt strategy'!$D$9,3&lt;0))),1,0),IF(AND(AA454+AB454-AC454&gt;0,OR('Debt strategy'!$D$13&gt;'Debt strategy'!$D$9,AND('Debt strategy'!$D$13='Debt strategy'!$D$9,4&lt;0))),1,0)))</x:f>
        <x:v>99</x:v>
      </x:c>
      <x:c r="G454" s="6" t="n">
        <x:f>IF('Debt strategy'!$C$16&gt;0,0,MIN(C454+D454-E454,MAX(0,'Debt strategy'!$C$5-SUM(E454,K454,Q454,W454,AC454)-SUM(IF(L454&lt;F454,I454+J454-K454,0),IF(R454&lt;F454,O454+P454-Q454,0),IF(X454&lt;F454,U454+V454-W454,0),IF(AD454&lt;F454,AA454+AB454-AC454,0)))))</x:f>
        <x:v>0</x:v>
      </x:c>
      <x:c r="H454" s="6" t="n">
        <x:f>ROUND(MAX(0,C454+D454-E454-G454),2)</x:f>
        <x:v>0</x:v>
      </x:c>
      <x:c r="I454" s="6" t="n">
        <x:f>N453</x:f>
        <x:v>0</x:v>
      </x:c>
      <x:c r="J454" s="6" t="n">
        <x:f>ROUND(I454*'Debt strategy'!$D$10/12,2)</x:f>
        <x:v>0</x:v>
      </x:c>
      <x:c r="K454" s="6" t="n">
        <x:f>MIN(I454+J454,'Debt strategy'!$E$10)</x:f>
        <x:v>0</x:v>
      </x:c>
      <x:c r="L454" s="27" t="n">
        <x:f>IF(I454+J454-K454&lt;=0,99,1+SUM(IF(AND(C454+D454-E454&gt;0,OR('Debt strategy'!$D$9&gt;'Debt strategy'!$D$10,AND('Debt strategy'!$D$9='Debt strategy'!$D$10,0&lt;1))),1,0),IF(AND(O454+P454-Q454&gt;0,OR('Debt strategy'!$D$11&gt;'Debt strategy'!$D$10,AND('Debt strategy'!$D$11='Debt strategy'!$D$10,2&lt;1))),1,0),IF(AND(U454+V454-W454&gt;0,OR('Debt strategy'!$D$12&gt;'Debt strategy'!$D$10,AND('Debt strategy'!$D$12='Debt strategy'!$D$10,3&lt;1))),1,0),IF(AND(AA454+AB454-AC454&gt;0,OR('Debt strategy'!$D$13&gt;'Debt strategy'!$D$10,AND('Debt strategy'!$D$13='Debt strategy'!$D$10,4&lt;1))),1,0)))</x:f>
        <x:v>99</x:v>
      </x:c>
      <x:c r="M454" s="6" t="n">
        <x:f>IF('Debt strategy'!$C$16&gt;0,0,MIN(I454+J454-K454,MAX(0,'Debt strategy'!$C$5-SUM(E454,K454,Q454,W454,AC454)-SUM(IF(F454&lt;L454,C454+D454-E454,0),IF(R454&lt;L454,O454+P454-Q454,0),IF(X454&lt;L454,U454+V454-W454,0),IF(AD454&lt;L454,AA454+AB454-AC454,0)))))</x:f>
        <x:v>0</x:v>
      </x:c>
      <x:c r="N454" s="6" t="n">
        <x:f>ROUND(MAX(0,I454+J454-K454-M454),2)</x:f>
        <x:v>0</x:v>
      </x:c>
      <x:c r="O454" s="6" t="n">
        <x:f>T453</x:f>
        <x:v>0</x:v>
      </x:c>
      <x:c r="P454" s="6" t="n">
        <x:f>ROUND(O454*'Debt strategy'!$D$11/12,2)</x:f>
        <x:v>0</x:v>
      </x:c>
      <x:c r="Q454" s="6" t="n">
        <x:f>MIN(O454+P454,'Debt strategy'!$E$11)</x:f>
        <x:v>0</x:v>
      </x:c>
      <x:c r="R454" s="27" t="n">
        <x:f>IF(O454+P454-Q454&lt;=0,99,1+SUM(IF(AND(C454+D454-E454&gt;0,OR('Debt strategy'!$D$9&gt;'Debt strategy'!$D$11,AND('Debt strategy'!$D$9='Debt strategy'!$D$11,0&lt;2))),1,0),IF(AND(I454+J454-K454&gt;0,OR('Debt strategy'!$D$10&gt;'Debt strategy'!$D$11,AND('Debt strategy'!$D$10='Debt strategy'!$D$11,1&lt;2))),1,0),IF(AND(U454+V454-W454&gt;0,OR('Debt strategy'!$D$12&gt;'Debt strategy'!$D$11,AND('Debt strategy'!$D$12='Debt strategy'!$D$11,3&lt;2))),1,0),IF(AND(AA454+AB454-AC454&gt;0,OR('Debt strategy'!$D$13&gt;'Debt strategy'!$D$11,AND('Debt strategy'!$D$13='Debt strategy'!$D$11,4&lt;2))),1,0)))</x:f>
        <x:v>99</x:v>
      </x:c>
      <x:c r="S454" s="6" t="n">
        <x:f>IF('Debt strategy'!$C$16&gt;0,0,MIN(O454+P454-Q454,MAX(0,'Debt strategy'!$C$5-SUM(E454,K454,Q454,W454,AC454)-SUM(IF(F454&lt;R454,C454+D454-E454,0),IF(L454&lt;R454,I454+J454-K454,0),IF(X454&lt;R454,U454+V454-W454,0),IF(AD454&lt;R454,AA454+AB454-AC454,0)))))</x:f>
        <x:v>0</x:v>
      </x:c>
      <x:c r="T454" s="6" t="n">
        <x:f>ROUND(MAX(0,O454+P454-Q454-S454),2)</x:f>
        <x:v>0</x:v>
      </x:c>
      <x:c r="U454" s="6" t="n">
        <x:f>Z453</x:f>
        <x:v>0</x:v>
      </x:c>
      <x:c r="V454" s="6" t="n">
        <x:f>ROUND(U454*'Debt strategy'!$D$12/12,2)</x:f>
        <x:v>0</x:v>
      </x:c>
      <x:c r="W454" s="6" t="n">
        <x:f>MIN(U454+V454,'Debt strategy'!$E$12)</x:f>
        <x:v>0</x:v>
      </x:c>
      <x:c r="X454" s="27" t="n">
        <x:f>IF(U454+V454-W454&lt;=0,99,1+SUM(IF(AND(C454+D454-E454&gt;0,OR('Debt strategy'!$D$9&gt;'Debt strategy'!$D$12,AND('Debt strategy'!$D$9='Debt strategy'!$D$12,0&lt;3))),1,0),IF(AND(I454+J454-K454&gt;0,OR('Debt strategy'!$D$10&gt;'Debt strategy'!$D$12,AND('Debt strategy'!$D$10='Debt strategy'!$D$12,1&lt;3))),1,0),IF(AND(O454+P454-Q454&gt;0,OR('Debt strategy'!$D$11&gt;'Debt strategy'!$D$12,AND('Debt strategy'!$D$11='Debt strategy'!$D$12,2&lt;3))),1,0),IF(AND(AA454+AB454-AC454&gt;0,OR('Debt strategy'!$D$13&gt;'Debt strategy'!$D$12,AND('Debt strategy'!$D$13='Debt strategy'!$D$12,4&lt;3))),1,0)))</x:f>
        <x:v>99</x:v>
      </x:c>
      <x:c r="Y454" s="6" t="n">
        <x:f>IF('Debt strategy'!$C$16&gt;0,0,MIN(U454+V454-W454,MAX(0,'Debt strategy'!$C$5-SUM(E454,K454,Q454,W454,AC454)-SUM(IF(F454&lt;X454,C454+D454-E454,0),IF(L454&lt;X454,I454+J454-K454,0),IF(R454&lt;X454,O454+P454-Q454,0),IF(AD454&lt;X454,AA454+AB454-AC454,0)))))</x:f>
        <x:v>0</x:v>
      </x:c>
      <x:c r="Z454" s="6" t="n">
        <x:f>ROUND(MAX(0,U454+V454-W454-Y454),2)</x:f>
        <x:v>0</x:v>
      </x:c>
      <x:c r="AA454" s="6" t="n">
        <x:f>AF453</x:f>
        <x:v>0</x:v>
      </x:c>
      <x:c r="AB454" s="6" t="n">
        <x:f>ROUND(AA454*'Debt strategy'!$D$13/12,2)</x:f>
        <x:v>0</x:v>
      </x:c>
      <x:c r="AC454" s="6" t="n">
        <x:f>MIN(AA454+AB454,'Debt strategy'!$E$13)</x:f>
        <x:v>0</x:v>
      </x:c>
      <x:c r="AD454" s="27" t="n">
        <x:f>IF(AA454+AB454-AC454&lt;=0,99,1+SUM(IF(AND(C454+D454-E454&gt;0,OR('Debt strategy'!$D$9&gt;'Debt strategy'!$D$13,AND('Debt strategy'!$D$9='Debt strategy'!$D$13,0&lt;4))),1,0),IF(AND(I454+J454-K454&gt;0,OR('Debt strategy'!$D$10&gt;'Debt strategy'!$D$13,AND('Debt strategy'!$D$10='Debt strategy'!$D$13,1&lt;4))),1,0),IF(AND(O454+P454-Q454&gt;0,OR('Debt strategy'!$D$11&gt;'Debt strategy'!$D$13,AND('Debt strategy'!$D$11='Debt strategy'!$D$13,2&lt;4))),1,0),IF(AND(U454+V454-W454&gt;0,OR('Debt strategy'!$D$12&gt;'Debt strategy'!$D$13,AND('Debt strategy'!$D$12='Debt strategy'!$D$13,3&lt;4))),1,0)))</x:f>
        <x:v>99</x:v>
      </x:c>
      <x:c r="AE454" s="6" t="n">
        <x:f>IF('Debt strategy'!$C$16&gt;0,0,MIN(AA454+AB454-AC454,MAX(0,'Debt strategy'!$C$5-SUM(E454,K454,Q454,W454,AC454)-SUM(IF(F454&lt;AD454,C454+D454-E454,0),IF(L454&lt;AD454,I454+J454-K454,0),IF(R454&lt;AD454,O454+P454-Q454,0),IF(X454&lt;AD454,U454+V454-W454,0)))))</x:f>
        <x:v>0</x:v>
      </x:c>
      <x:c r="AF454" s="6" t="n">
        <x:f>ROUND(MAX(0,AA454+AB454-AC454-AE454),2)</x:f>
        <x:v>0</x:v>
      </x:c>
      <x:c r="AG454" s="6" t="n">
        <x:f>SUM(H454,N454,T454,Z454,AF454)</x:f>
        <x:v>0</x:v>
      </x:c>
      <x:c r="AH454" s="6" t="n">
        <x:f>SUM(D454,J454,P454,V454,AB454)+AH453</x:f>
        <x:v>1220.8400000000001</x:v>
      </x:c>
      <x:c r="AI454" s="2"/>
    </x:row>
    <x:row r="455" ht="23" customHeight="1">
      <x:c r="B455" s="2" t="n">
        <x:f>447</x:f>
        <x:v>447</x:v>
      </x:c>
      <x:c r="C455" s="6" t="n">
        <x:f>H454</x:f>
        <x:v>0</x:v>
      </x:c>
      <x:c r="D455" s="6" t="n">
        <x:f>ROUND(C455*'Debt strategy'!$D$9/12,2)</x:f>
        <x:v>0</x:v>
      </x:c>
      <x:c r="E455" s="6" t="n">
        <x:f>MIN(C455+D455,'Debt strategy'!$E$9)</x:f>
        <x:v>0</x:v>
      </x:c>
      <x:c r="F455" s="27" t="n">
        <x:f>IF(C455+D455-E455&lt;=0,99,1+SUM(IF(AND(I455+J455-K455&gt;0,OR('Debt strategy'!$D$10&gt;'Debt strategy'!$D$9,AND('Debt strategy'!$D$10='Debt strategy'!$D$9,1&lt;0))),1,0),IF(AND(O455+P455-Q455&gt;0,OR('Debt strategy'!$D$11&gt;'Debt strategy'!$D$9,AND('Debt strategy'!$D$11='Debt strategy'!$D$9,2&lt;0))),1,0),IF(AND(U455+V455-W455&gt;0,OR('Debt strategy'!$D$12&gt;'Debt strategy'!$D$9,AND('Debt strategy'!$D$12='Debt strategy'!$D$9,3&lt;0))),1,0),IF(AND(AA455+AB455-AC455&gt;0,OR('Debt strategy'!$D$13&gt;'Debt strategy'!$D$9,AND('Debt strategy'!$D$13='Debt strategy'!$D$9,4&lt;0))),1,0)))</x:f>
        <x:v>99</x:v>
      </x:c>
      <x:c r="G455" s="6" t="n">
        <x:f>IF('Debt strategy'!$C$16&gt;0,0,MIN(C455+D455-E455,MAX(0,'Debt strategy'!$C$5-SUM(E455,K455,Q455,W455,AC455)-SUM(IF(L455&lt;F455,I455+J455-K455,0),IF(R455&lt;F455,O455+P455-Q455,0),IF(X455&lt;F455,U455+V455-W455,0),IF(AD455&lt;F455,AA455+AB455-AC455,0)))))</x:f>
        <x:v>0</x:v>
      </x:c>
      <x:c r="H455" s="6" t="n">
        <x:f>ROUND(MAX(0,C455+D455-E455-G455),2)</x:f>
        <x:v>0</x:v>
      </x:c>
      <x:c r="I455" s="6" t="n">
        <x:f>N454</x:f>
        <x:v>0</x:v>
      </x:c>
      <x:c r="J455" s="6" t="n">
        <x:f>ROUND(I455*'Debt strategy'!$D$10/12,2)</x:f>
        <x:v>0</x:v>
      </x:c>
      <x:c r="K455" s="6" t="n">
        <x:f>MIN(I455+J455,'Debt strategy'!$E$10)</x:f>
        <x:v>0</x:v>
      </x:c>
      <x:c r="L455" s="27" t="n">
        <x:f>IF(I455+J455-K455&lt;=0,99,1+SUM(IF(AND(C455+D455-E455&gt;0,OR('Debt strategy'!$D$9&gt;'Debt strategy'!$D$10,AND('Debt strategy'!$D$9='Debt strategy'!$D$10,0&lt;1))),1,0),IF(AND(O455+P455-Q455&gt;0,OR('Debt strategy'!$D$11&gt;'Debt strategy'!$D$10,AND('Debt strategy'!$D$11='Debt strategy'!$D$10,2&lt;1))),1,0),IF(AND(U455+V455-W455&gt;0,OR('Debt strategy'!$D$12&gt;'Debt strategy'!$D$10,AND('Debt strategy'!$D$12='Debt strategy'!$D$10,3&lt;1))),1,0),IF(AND(AA455+AB455-AC455&gt;0,OR('Debt strategy'!$D$13&gt;'Debt strategy'!$D$10,AND('Debt strategy'!$D$13='Debt strategy'!$D$10,4&lt;1))),1,0)))</x:f>
        <x:v>99</x:v>
      </x:c>
      <x:c r="M455" s="6" t="n">
        <x:f>IF('Debt strategy'!$C$16&gt;0,0,MIN(I455+J455-K455,MAX(0,'Debt strategy'!$C$5-SUM(E455,K455,Q455,W455,AC455)-SUM(IF(F455&lt;L455,C455+D455-E455,0),IF(R455&lt;L455,O455+P455-Q455,0),IF(X455&lt;L455,U455+V455-W455,0),IF(AD455&lt;L455,AA455+AB455-AC455,0)))))</x:f>
        <x:v>0</x:v>
      </x:c>
      <x:c r="N455" s="6" t="n">
        <x:f>ROUND(MAX(0,I455+J455-K455-M455),2)</x:f>
        <x:v>0</x:v>
      </x:c>
      <x:c r="O455" s="6" t="n">
        <x:f>T454</x:f>
        <x:v>0</x:v>
      </x:c>
      <x:c r="P455" s="6" t="n">
        <x:f>ROUND(O455*'Debt strategy'!$D$11/12,2)</x:f>
        <x:v>0</x:v>
      </x:c>
      <x:c r="Q455" s="6" t="n">
        <x:f>MIN(O455+P455,'Debt strategy'!$E$11)</x:f>
        <x:v>0</x:v>
      </x:c>
      <x:c r="R455" s="27" t="n">
        <x:f>IF(O455+P455-Q455&lt;=0,99,1+SUM(IF(AND(C455+D455-E455&gt;0,OR('Debt strategy'!$D$9&gt;'Debt strategy'!$D$11,AND('Debt strategy'!$D$9='Debt strategy'!$D$11,0&lt;2))),1,0),IF(AND(I455+J455-K455&gt;0,OR('Debt strategy'!$D$10&gt;'Debt strategy'!$D$11,AND('Debt strategy'!$D$10='Debt strategy'!$D$11,1&lt;2))),1,0),IF(AND(U455+V455-W455&gt;0,OR('Debt strategy'!$D$12&gt;'Debt strategy'!$D$11,AND('Debt strategy'!$D$12='Debt strategy'!$D$11,3&lt;2))),1,0),IF(AND(AA455+AB455-AC455&gt;0,OR('Debt strategy'!$D$13&gt;'Debt strategy'!$D$11,AND('Debt strategy'!$D$13='Debt strategy'!$D$11,4&lt;2))),1,0)))</x:f>
        <x:v>99</x:v>
      </x:c>
      <x:c r="S455" s="6" t="n">
        <x:f>IF('Debt strategy'!$C$16&gt;0,0,MIN(O455+P455-Q455,MAX(0,'Debt strategy'!$C$5-SUM(E455,K455,Q455,W455,AC455)-SUM(IF(F455&lt;R455,C455+D455-E455,0),IF(L455&lt;R455,I455+J455-K455,0),IF(X455&lt;R455,U455+V455-W455,0),IF(AD455&lt;R455,AA455+AB455-AC455,0)))))</x:f>
        <x:v>0</x:v>
      </x:c>
      <x:c r="T455" s="6" t="n">
        <x:f>ROUND(MAX(0,O455+P455-Q455-S455),2)</x:f>
        <x:v>0</x:v>
      </x:c>
      <x:c r="U455" s="6" t="n">
        <x:f>Z454</x:f>
        <x:v>0</x:v>
      </x:c>
      <x:c r="V455" s="6" t="n">
        <x:f>ROUND(U455*'Debt strategy'!$D$12/12,2)</x:f>
        <x:v>0</x:v>
      </x:c>
      <x:c r="W455" s="6" t="n">
        <x:f>MIN(U455+V455,'Debt strategy'!$E$12)</x:f>
        <x:v>0</x:v>
      </x:c>
      <x:c r="X455" s="27" t="n">
        <x:f>IF(U455+V455-W455&lt;=0,99,1+SUM(IF(AND(C455+D455-E455&gt;0,OR('Debt strategy'!$D$9&gt;'Debt strategy'!$D$12,AND('Debt strategy'!$D$9='Debt strategy'!$D$12,0&lt;3))),1,0),IF(AND(I455+J455-K455&gt;0,OR('Debt strategy'!$D$10&gt;'Debt strategy'!$D$12,AND('Debt strategy'!$D$10='Debt strategy'!$D$12,1&lt;3))),1,0),IF(AND(O455+P455-Q455&gt;0,OR('Debt strategy'!$D$11&gt;'Debt strategy'!$D$12,AND('Debt strategy'!$D$11='Debt strategy'!$D$12,2&lt;3))),1,0),IF(AND(AA455+AB455-AC455&gt;0,OR('Debt strategy'!$D$13&gt;'Debt strategy'!$D$12,AND('Debt strategy'!$D$13='Debt strategy'!$D$12,4&lt;3))),1,0)))</x:f>
        <x:v>99</x:v>
      </x:c>
      <x:c r="Y455" s="6" t="n">
        <x:f>IF('Debt strategy'!$C$16&gt;0,0,MIN(U455+V455-W455,MAX(0,'Debt strategy'!$C$5-SUM(E455,K455,Q455,W455,AC455)-SUM(IF(F455&lt;X455,C455+D455-E455,0),IF(L455&lt;X455,I455+J455-K455,0),IF(R455&lt;X455,O455+P455-Q455,0),IF(AD455&lt;X455,AA455+AB455-AC455,0)))))</x:f>
        <x:v>0</x:v>
      </x:c>
      <x:c r="Z455" s="6" t="n">
        <x:f>ROUND(MAX(0,U455+V455-W455-Y455),2)</x:f>
        <x:v>0</x:v>
      </x:c>
      <x:c r="AA455" s="6" t="n">
        <x:f>AF454</x:f>
        <x:v>0</x:v>
      </x:c>
      <x:c r="AB455" s="6" t="n">
        <x:f>ROUND(AA455*'Debt strategy'!$D$13/12,2)</x:f>
        <x:v>0</x:v>
      </x:c>
      <x:c r="AC455" s="6" t="n">
        <x:f>MIN(AA455+AB455,'Debt strategy'!$E$13)</x:f>
        <x:v>0</x:v>
      </x:c>
      <x:c r="AD455" s="27" t="n">
        <x:f>IF(AA455+AB455-AC455&lt;=0,99,1+SUM(IF(AND(C455+D455-E455&gt;0,OR('Debt strategy'!$D$9&gt;'Debt strategy'!$D$13,AND('Debt strategy'!$D$9='Debt strategy'!$D$13,0&lt;4))),1,0),IF(AND(I455+J455-K455&gt;0,OR('Debt strategy'!$D$10&gt;'Debt strategy'!$D$13,AND('Debt strategy'!$D$10='Debt strategy'!$D$13,1&lt;4))),1,0),IF(AND(O455+P455-Q455&gt;0,OR('Debt strategy'!$D$11&gt;'Debt strategy'!$D$13,AND('Debt strategy'!$D$11='Debt strategy'!$D$13,2&lt;4))),1,0),IF(AND(U455+V455-W455&gt;0,OR('Debt strategy'!$D$12&gt;'Debt strategy'!$D$13,AND('Debt strategy'!$D$12='Debt strategy'!$D$13,3&lt;4))),1,0)))</x:f>
        <x:v>99</x:v>
      </x:c>
      <x:c r="AE455" s="6" t="n">
        <x:f>IF('Debt strategy'!$C$16&gt;0,0,MIN(AA455+AB455-AC455,MAX(0,'Debt strategy'!$C$5-SUM(E455,K455,Q455,W455,AC455)-SUM(IF(F455&lt;AD455,C455+D455-E455,0),IF(L455&lt;AD455,I455+J455-K455,0),IF(R455&lt;AD455,O455+P455-Q455,0),IF(X455&lt;AD455,U455+V455-W455,0)))))</x:f>
        <x:v>0</x:v>
      </x:c>
      <x:c r="AF455" s="6" t="n">
        <x:f>ROUND(MAX(0,AA455+AB455-AC455-AE455),2)</x:f>
        <x:v>0</x:v>
      </x:c>
      <x:c r="AG455" s="6" t="n">
        <x:f>SUM(H455,N455,T455,Z455,AF455)</x:f>
        <x:v>0</x:v>
      </x:c>
      <x:c r="AH455" s="6" t="n">
        <x:f>SUM(D455,J455,P455,V455,AB455)+AH454</x:f>
        <x:v>1220.8400000000001</x:v>
      </x:c>
      <x:c r="AI455" s="2"/>
    </x:row>
    <x:row r="456" ht="23" customHeight="1">
      <x:c r="B456" s="2" t="n">
        <x:f>448</x:f>
        <x:v>448</x:v>
      </x:c>
      <x:c r="C456" s="6" t="n">
        <x:f>H455</x:f>
        <x:v>0</x:v>
      </x:c>
      <x:c r="D456" s="6" t="n">
        <x:f>ROUND(C456*'Debt strategy'!$D$9/12,2)</x:f>
        <x:v>0</x:v>
      </x:c>
      <x:c r="E456" s="6" t="n">
        <x:f>MIN(C456+D456,'Debt strategy'!$E$9)</x:f>
        <x:v>0</x:v>
      </x:c>
      <x:c r="F456" s="27" t="n">
        <x:f>IF(C456+D456-E456&lt;=0,99,1+SUM(IF(AND(I456+J456-K456&gt;0,OR('Debt strategy'!$D$10&gt;'Debt strategy'!$D$9,AND('Debt strategy'!$D$10='Debt strategy'!$D$9,1&lt;0))),1,0),IF(AND(O456+P456-Q456&gt;0,OR('Debt strategy'!$D$11&gt;'Debt strategy'!$D$9,AND('Debt strategy'!$D$11='Debt strategy'!$D$9,2&lt;0))),1,0),IF(AND(U456+V456-W456&gt;0,OR('Debt strategy'!$D$12&gt;'Debt strategy'!$D$9,AND('Debt strategy'!$D$12='Debt strategy'!$D$9,3&lt;0))),1,0),IF(AND(AA456+AB456-AC456&gt;0,OR('Debt strategy'!$D$13&gt;'Debt strategy'!$D$9,AND('Debt strategy'!$D$13='Debt strategy'!$D$9,4&lt;0))),1,0)))</x:f>
        <x:v>99</x:v>
      </x:c>
      <x:c r="G456" s="6" t="n">
        <x:f>IF('Debt strategy'!$C$16&gt;0,0,MIN(C456+D456-E456,MAX(0,'Debt strategy'!$C$5-SUM(E456,K456,Q456,W456,AC456)-SUM(IF(L456&lt;F456,I456+J456-K456,0),IF(R456&lt;F456,O456+P456-Q456,0),IF(X456&lt;F456,U456+V456-W456,0),IF(AD456&lt;F456,AA456+AB456-AC456,0)))))</x:f>
        <x:v>0</x:v>
      </x:c>
      <x:c r="H456" s="6" t="n">
        <x:f>ROUND(MAX(0,C456+D456-E456-G456),2)</x:f>
        <x:v>0</x:v>
      </x:c>
      <x:c r="I456" s="6" t="n">
        <x:f>N455</x:f>
        <x:v>0</x:v>
      </x:c>
      <x:c r="J456" s="6" t="n">
        <x:f>ROUND(I456*'Debt strategy'!$D$10/12,2)</x:f>
        <x:v>0</x:v>
      </x:c>
      <x:c r="K456" s="6" t="n">
        <x:f>MIN(I456+J456,'Debt strategy'!$E$10)</x:f>
        <x:v>0</x:v>
      </x:c>
      <x:c r="L456" s="27" t="n">
        <x:f>IF(I456+J456-K456&lt;=0,99,1+SUM(IF(AND(C456+D456-E456&gt;0,OR('Debt strategy'!$D$9&gt;'Debt strategy'!$D$10,AND('Debt strategy'!$D$9='Debt strategy'!$D$10,0&lt;1))),1,0),IF(AND(O456+P456-Q456&gt;0,OR('Debt strategy'!$D$11&gt;'Debt strategy'!$D$10,AND('Debt strategy'!$D$11='Debt strategy'!$D$10,2&lt;1))),1,0),IF(AND(U456+V456-W456&gt;0,OR('Debt strategy'!$D$12&gt;'Debt strategy'!$D$10,AND('Debt strategy'!$D$12='Debt strategy'!$D$10,3&lt;1))),1,0),IF(AND(AA456+AB456-AC456&gt;0,OR('Debt strategy'!$D$13&gt;'Debt strategy'!$D$10,AND('Debt strategy'!$D$13='Debt strategy'!$D$10,4&lt;1))),1,0)))</x:f>
        <x:v>99</x:v>
      </x:c>
      <x:c r="M456" s="6" t="n">
        <x:f>IF('Debt strategy'!$C$16&gt;0,0,MIN(I456+J456-K456,MAX(0,'Debt strategy'!$C$5-SUM(E456,K456,Q456,W456,AC456)-SUM(IF(F456&lt;L456,C456+D456-E456,0),IF(R456&lt;L456,O456+P456-Q456,0),IF(X456&lt;L456,U456+V456-W456,0),IF(AD456&lt;L456,AA456+AB456-AC456,0)))))</x:f>
        <x:v>0</x:v>
      </x:c>
      <x:c r="N456" s="6" t="n">
        <x:f>ROUND(MAX(0,I456+J456-K456-M456),2)</x:f>
        <x:v>0</x:v>
      </x:c>
      <x:c r="O456" s="6" t="n">
        <x:f>T455</x:f>
        <x:v>0</x:v>
      </x:c>
      <x:c r="P456" s="6" t="n">
        <x:f>ROUND(O456*'Debt strategy'!$D$11/12,2)</x:f>
        <x:v>0</x:v>
      </x:c>
      <x:c r="Q456" s="6" t="n">
        <x:f>MIN(O456+P456,'Debt strategy'!$E$11)</x:f>
        <x:v>0</x:v>
      </x:c>
      <x:c r="R456" s="27" t="n">
        <x:f>IF(O456+P456-Q456&lt;=0,99,1+SUM(IF(AND(C456+D456-E456&gt;0,OR('Debt strategy'!$D$9&gt;'Debt strategy'!$D$11,AND('Debt strategy'!$D$9='Debt strategy'!$D$11,0&lt;2))),1,0),IF(AND(I456+J456-K456&gt;0,OR('Debt strategy'!$D$10&gt;'Debt strategy'!$D$11,AND('Debt strategy'!$D$10='Debt strategy'!$D$11,1&lt;2))),1,0),IF(AND(U456+V456-W456&gt;0,OR('Debt strategy'!$D$12&gt;'Debt strategy'!$D$11,AND('Debt strategy'!$D$12='Debt strategy'!$D$11,3&lt;2))),1,0),IF(AND(AA456+AB456-AC456&gt;0,OR('Debt strategy'!$D$13&gt;'Debt strategy'!$D$11,AND('Debt strategy'!$D$13='Debt strategy'!$D$11,4&lt;2))),1,0)))</x:f>
        <x:v>99</x:v>
      </x:c>
      <x:c r="S456" s="6" t="n">
        <x:f>IF('Debt strategy'!$C$16&gt;0,0,MIN(O456+P456-Q456,MAX(0,'Debt strategy'!$C$5-SUM(E456,K456,Q456,W456,AC456)-SUM(IF(F456&lt;R456,C456+D456-E456,0),IF(L456&lt;R456,I456+J456-K456,0),IF(X456&lt;R456,U456+V456-W456,0),IF(AD456&lt;R456,AA456+AB456-AC456,0)))))</x:f>
        <x:v>0</x:v>
      </x:c>
      <x:c r="T456" s="6" t="n">
        <x:f>ROUND(MAX(0,O456+P456-Q456-S456),2)</x:f>
        <x:v>0</x:v>
      </x:c>
      <x:c r="U456" s="6" t="n">
        <x:f>Z455</x:f>
        <x:v>0</x:v>
      </x:c>
      <x:c r="V456" s="6" t="n">
        <x:f>ROUND(U456*'Debt strategy'!$D$12/12,2)</x:f>
        <x:v>0</x:v>
      </x:c>
      <x:c r="W456" s="6" t="n">
        <x:f>MIN(U456+V456,'Debt strategy'!$E$12)</x:f>
        <x:v>0</x:v>
      </x:c>
      <x:c r="X456" s="27" t="n">
        <x:f>IF(U456+V456-W456&lt;=0,99,1+SUM(IF(AND(C456+D456-E456&gt;0,OR('Debt strategy'!$D$9&gt;'Debt strategy'!$D$12,AND('Debt strategy'!$D$9='Debt strategy'!$D$12,0&lt;3))),1,0),IF(AND(I456+J456-K456&gt;0,OR('Debt strategy'!$D$10&gt;'Debt strategy'!$D$12,AND('Debt strategy'!$D$10='Debt strategy'!$D$12,1&lt;3))),1,0),IF(AND(O456+P456-Q456&gt;0,OR('Debt strategy'!$D$11&gt;'Debt strategy'!$D$12,AND('Debt strategy'!$D$11='Debt strategy'!$D$12,2&lt;3))),1,0),IF(AND(AA456+AB456-AC456&gt;0,OR('Debt strategy'!$D$13&gt;'Debt strategy'!$D$12,AND('Debt strategy'!$D$13='Debt strategy'!$D$12,4&lt;3))),1,0)))</x:f>
        <x:v>99</x:v>
      </x:c>
      <x:c r="Y456" s="6" t="n">
        <x:f>IF('Debt strategy'!$C$16&gt;0,0,MIN(U456+V456-W456,MAX(0,'Debt strategy'!$C$5-SUM(E456,K456,Q456,W456,AC456)-SUM(IF(F456&lt;X456,C456+D456-E456,0),IF(L456&lt;X456,I456+J456-K456,0),IF(R456&lt;X456,O456+P456-Q456,0),IF(AD456&lt;X456,AA456+AB456-AC456,0)))))</x:f>
        <x:v>0</x:v>
      </x:c>
      <x:c r="Z456" s="6" t="n">
        <x:f>ROUND(MAX(0,U456+V456-W456-Y456),2)</x:f>
        <x:v>0</x:v>
      </x:c>
      <x:c r="AA456" s="6" t="n">
        <x:f>AF455</x:f>
        <x:v>0</x:v>
      </x:c>
      <x:c r="AB456" s="6" t="n">
        <x:f>ROUND(AA456*'Debt strategy'!$D$13/12,2)</x:f>
        <x:v>0</x:v>
      </x:c>
      <x:c r="AC456" s="6" t="n">
        <x:f>MIN(AA456+AB456,'Debt strategy'!$E$13)</x:f>
        <x:v>0</x:v>
      </x:c>
      <x:c r="AD456" s="27" t="n">
        <x:f>IF(AA456+AB456-AC456&lt;=0,99,1+SUM(IF(AND(C456+D456-E456&gt;0,OR('Debt strategy'!$D$9&gt;'Debt strategy'!$D$13,AND('Debt strategy'!$D$9='Debt strategy'!$D$13,0&lt;4))),1,0),IF(AND(I456+J456-K456&gt;0,OR('Debt strategy'!$D$10&gt;'Debt strategy'!$D$13,AND('Debt strategy'!$D$10='Debt strategy'!$D$13,1&lt;4))),1,0),IF(AND(O456+P456-Q456&gt;0,OR('Debt strategy'!$D$11&gt;'Debt strategy'!$D$13,AND('Debt strategy'!$D$11='Debt strategy'!$D$13,2&lt;4))),1,0),IF(AND(U456+V456-W456&gt;0,OR('Debt strategy'!$D$12&gt;'Debt strategy'!$D$13,AND('Debt strategy'!$D$12='Debt strategy'!$D$13,3&lt;4))),1,0)))</x:f>
        <x:v>99</x:v>
      </x:c>
      <x:c r="AE456" s="6" t="n">
        <x:f>IF('Debt strategy'!$C$16&gt;0,0,MIN(AA456+AB456-AC456,MAX(0,'Debt strategy'!$C$5-SUM(E456,K456,Q456,W456,AC456)-SUM(IF(F456&lt;AD456,C456+D456-E456,0),IF(L456&lt;AD456,I456+J456-K456,0),IF(R456&lt;AD456,O456+P456-Q456,0),IF(X456&lt;AD456,U456+V456-W456,0)))))</x:f>
        <x:v>0</x:v>
      </x:c>
      <x:c r="AF456" s="6" t="n">
        <x:f>ROUND(MAX(0,AA456+AB456-AC456-AE456),2)</x:f>
        <x:v>0</x:v>
      </x:c>
      <x:c r="AG456" s="6" t="n">
        <x:f>SUM(H456,N456,T456,Z456,AF456)</x:f>
        <x:v>0</x:v>
      </x:c>
      <x:c r="AH456" s="6" t="n">
        <x:f>SUM(D456,J456,P456,V456,AB456)+AH455</x:f>
        <x:v>1220.8400000000001</x:v>
      </x:c>
      <x:c r="AI456" s="2"/>
    </x:row>
    <x:row r="457" ht="23" customHeight="1">
      <x:c r="B457" s="2" t="n">
        <x:f>449</x:f>
        <x:v>449</x:v>
      </x:c>
      <x:c r="C457" s="6" t="n">
        <x:f>H456</x:f>
        <x:v>0</x:v>
      </x:c>
      <x:c r="D457" s="6" t="n">
        <x:f>ROUND(C457*'Debt strategy'!$D$9/12,2)</x:f>
        <x:v>0</x:v>
      </x:c>
      <x:c r="E457" s="6" t="n">
        <x:f>MIN(C457+D457,'Debt strategy'!$E$9)</x:f>
        <x:v>0</x:v>
      </x:c>
      <x:c r="F457" s="27" t="n">
        <x:f>IF(C457+D457-E457&lt;=0,99,1+SUM(IF(AND(I457+J457-K457&gt;0,OR('Debt strategy'!$D$10&gt;'Debt strategy'!$D$9,AND('Debt strategy'!$D$10='Debt strategy'!$D$9,1&lt;0))),1,0),IF(AND(O457+P457-Q457&gt;0,OR('Debt strategy'!$D$11&gt;'Debt strategy'!$D$9,AND('Debt strategy'!$D$11='Debt strategy'!$D$9,2&lt;0))),1,0),IF(AND(U457+V457-W457&gt;0,OR('Debt strategy'!$D$12&gt;'Debt strategy'!$D$9,AND('Debt strategy'!$D$12='Debt strategy'!$D$9,3&lt;0))),1,0),IF(AND(AA457+AB457-AC457&gt;0,OR('Debt strategy'!$D$13&gt;'Debt strategy'!$D$9,AND('Debt strategy'!$D$13='Debt strategy'!$D$9,4&lt;0))),1,0)))</x:f>
        <x:v>99</x:v>
      </x:c>
      <x:c r="G457" s="6" t="n">
        <x:f>IF('Debt strategy'!$C$16&gt;0,0,MIN(C457+D457-E457,MAX(0,'Debt strategy'!$C$5-SUM(E457,K457,Q457,W457,AC457)-SUM(IF(L457&lt;F457,I457+J457-K457,0),IF(R457&lt;F457,O457+P457-Q457,0),IF(X457&lt;F457,U457+V457-W457,0),IF(AD457&lt;F457,AA457+AB457-AC457,0)))))</x:f>
        <x:v>0</x:v>
      </x:c>
      <x:c r="H457" s="6" t="n">
        <x:f>ROUND(MAX(0,C457+D457-E457-G457),2)</x:f>
        <x:v>0</x:v>
      </x:c>
      <x:c r="I457" s="6" t="n">
        <x:f>N456</x:f>
        <x:v>0</x:v>
      </x:c>
      <x:c r="J457" s="6" t="n">
        <x:f>ROUND(I457*'Debt strategy'!$D$10/12,2)</x:f>
        <x:v>0</x:v>
      </x:c>
      <x:c r="K457" s="6" t="n">
        <x:f>MIN(I457+J457,'Debt strategy'!$E$10)</x:f>
        <x:v>0</x:v>
      </x:c>
      <x:c r="L457" s="27" t="n">
        <x:f>IF(I457+J457-K457&lt;=0,99,1+SUM(IF(AND(C457+D457-E457&gt;0,OR('Debt strategy'!$D$9&gt;'Debt strategy'!$D$10,AND('Debt strategy'!$D$9='Debt strategy'!$D$10,0&lt;1))),1,0),IF(AND(O457+P457-Q457&gt;0,OR('Debt strategy'!$D$11&gt;'Debt strategy'!$D$10,AND('Debt strategy'!$D$11='Debt strategy'!$D$10,2&lt;1))),1,0),IF(AND(U457+V457-W457&gt;0,OR('Debt strategy'!$D$12&gt;'Debt strategy'!$D$10,AND('Debt strategy'!$D$12='Debt strategy'!$D$10,3&lt;1))),1,0),IF(AND(AA457+AB457-AC457&gt;0,OR('Debt strategy'!$D$13&gt;'Debt strategy'!$D$10,AND('Debt strategy'!$D$13='Debt strategy'!$D$10,4&lt;1))),1,0)))</x:f>
        <x:v>99</x:v>
      </x:c>
      <x:c r="M457" s="6" t="n">
        <x:f>IF('Debt strategy'!$C$16&gt;0,0,MIN(I457+J457-K457,MAX(0,'Debt strategy'!$C$5-SUM(E457,K457,Q457,W457,AC457)-SUM(IF(F457&lt;L457,C457+D457-E457,0),IF(R457&lt;L457,O457+P457-Q457,0),IF(X457&lt;L457,U457+V457-W457,0),IF(AD457&lt;L457,AA457+AB457-AC457,0)))))</x:f>
        <x:v>0</x:v>
      </x:c>
      <x:c r="N457" s="6" t="n">
        <x:f>ROUND(MAX(0,I457+J457-K457-M457),2)</x:f>
        <x:v>0</x:v>
      </x:c>
      <x:c r="O457" s="6" t="n">
        <x:f>T456</x:f>
        <x:v>0</x:v>
      </x:c>
      <x:c r="P457" s="6" t="n">
        <x:f>ROUND(O457*'Debt strategy'!$D$11/12,2)</x:f>
        <x:v>0</x:v>
      </x:c>
      <x:c r="Q457" s="6" t="n">
        <x:f>MIN(O457+P457,'Debt strategy'!$E$11)</x:f>
        <x:v>0</x:v>
      </x:c>
      <x:c r="R457" s="27" t="n">
        <x:f>IF(O457+P457-Q457&lt;=0,99,1+SUM(IF(AND(C457+D457-E457&gt;0,OR('Debt strategy'!$D$9&gt;'Debt strategy'!$D$11,AND('Debt strategy'!$D$9='Debt strategy'!$D$11,0&lt;2))),1,0),IF(AND(I457+J457-K457&gt;0,OR('Debt strategy'!$D$10&gt;'Debt strategy'!$D$11,AND('Debt strategy'!$D$10='Debt strategy'!$D$11,1&lt;2))),1,0),IF(AND(U457+V457-W457&gt;0,OR('Debt strategy'!$D$12&gt;'Debt strategy'!$D$11,AND('Debt strategy'!$D$12='Debt strategy'!$D$11,3&lt;2))),1,0),IF(AND(AA457+AB457-AC457&gt;0,OR('Debt strategy'!$D$13&gt;'Debt strategy'!$D$11,AND('Debt strategy'!$D$13='Debt strategy'!$D$11,4&lt;2))),1,0)))</x:f>
        <x:v>99</x:v>
      </x:c>
      <x:c r="S457" s="6" t="n">
        <x:f>IF('Debt strategy'!$C$16&gt;0,0,MIN(O457+P457-Q457,MAX(0,'Debt strategy'!$C$5-SUM(E457,K457,Q457,W457,AC457)-SUM(IF(F457&lt;R457,C457+D457-E457,0),IF(L457&lt;R457,I457+J457-K457,0),IF(X457&lt;R457,U457+V457-W457,0),IF(AD457&lt;R457,AA457+AB457-AC457,0)))))</x:f>
        <x:v>0</x:v>
      </x:c>
      <x:c r="T457" s="6" t="n">
        <x:f>ROUND(MAX(0,O457+P457-Q457-S457),2)</x:f>
        <x:v>0</x:v>
      </x:c>
      <x:c r="U457" s="6" t="n">
        <x:f>Z456</x:f>
        <x:v>0</x:v>
      </x:c>
      <x:c r="V457" s="6" t="n">
        <x:f>ROUND(U457*'Debt strategy'!$D$12/12,2)</x:f>
        <x:v>0</x:v>
      </x:c>
      <x:c r="W457" s="6" t="n">
        <x:f>MIN(U457+V457,'Debt strategy'!$E$12)</x:f>
        <x:v>0</x:v>
      </x:c>
      <x:c r="X457" s="27" t="n">
        <x:f>IF(U457+V457-W457&lt;=0,99,1+SUM(IF(AND(C457+D457-E457&gt;0,OR('Debt strategy'!$D$9&gt;'Debt strategy'!$D$12,AND('Debt strategy'!$D$9='Debt strategy'!$D$12,0&lt;3))),1,0),IF(AND(I457+J457-K457&gt;0,OR('Debt strategy'!$D$10&gt;'Debt strategy'!$D$12,AND('Debt strategy'!$D$10='Debt strategy'!$D$12,1&lt;3))),1,0),IF(AND(O457+P457-Q457&gt;0,OR('Debt strategy'!$D$11&gt;'Debt strategy'!$D$12,AND('Debt strategy'!$D$11='Debt strategy'!$D$12,2&lt;3))),1,0),IF(AND(AA457+AB457-AC457&gt;0,OR('Debt strategy'!$D$13&gt;'Debt strategy'!$D$12,AND('Debt strategy'!$D$13='Debt strategy'!$D$12,4&lt;3))),1,0)))</x:f>
        <x:v>99</x:v>
      </x:c>
      <x:c r="Y457" s="6" t="n">
        <x:f>IF('Debt strategy'!$C$16&gt;0,0,MIN(U457+V457-W457,MAX(0,'Debt strategy'!$C$5-SUM(E457,K457,Q457,W457,AC457)-SUM(IF(F457&lt;X457,C457+D457-E457,0),IF(L457&lt;X457,I457+J457-K457,0),IF(R457&lt;X457,O457+P457-Q457,0),IF(AD457&lt;X457,AA457+AB457-AC457,0)))))</x:f>
        <x:v>0</x:v>
      </x:c>
      <x:c r="Z457" s="6" t="n">
        <x:f>ROUND(MAX(0,U457+V457-W457-Y457),2)</x:f>
        <x:v>0</x:v>
      </x:c>
      <x:c r="AA457" s="6" t="n">
        <x:f>AF456</x:f>
        <x:v>0</x:v>
      </x:c>
      <x:c r="AB457" s="6" t="n">
        <x:f>ROUND(AA457*'Debt strategy'!$D$13/12,2)</x:f>
        <x:v>0</x:v>
      </x:c>
      <x:c r="AC457" s="6" t="n">
        <x:f>MIN(AA457+AB457,'Debt strategy'!$E$13)</x:f>
        <x:v>0</x:v>
      </x:c>
      <x:c r="AD457" s="27" t="n">
        <x:f>IF(AA457+AB457-AC457&lt;=0,99,1+SUM(IF(AND(C457+D457-E457&gt;0,OR('Debt strategy'!$D$9&gt;'Debt strategy'!$D$13,AND('Debt strategy'!$D$9='Debt strategy'!$D$13,0&lt;4))),1,0),IF(AND(I457+J457-K457&gt;0,OR('Debt strategy'!$D$10&gt;'Debt strategy'!$D$13,AND('Debt strategy'!$D$10='Debt strategy'!$D$13,1&lt;4))),1,0),IF(AND(O457+P457-Q457&gt;0,OR('Debt strategy'!$D$11&gt;'Debt strategy'!$D$13,AND('Debt strategy'!$D$11='Debt strategy'!$D$13,2&lt;4))),1,0),IF(AND(U457+V457-W457&gt;0,OR('Debt strategy'!$D$12&gt;'Debt strategy'!$D$13,AND('Debt strategy'!$D$12='Debt strategy'!$D$13,3&lt;4))),1,0)))</x:f>
        <x:v>99</x:v>
      </x:c>
      <x:c r="AE457" s="6" t="n">
        <x:f>IF('Debt strategy'!$C$16&gt;0,0,MIN(AA457+AB457-AC457,MAX(0,'Debt strategy'!$C$5-SUM(E457,K457,Q457,W457,AC457)-SUM(IF(F457&lt;AD457,C457+D457-E457,0),IF(L457&lt;AD457,I457+J457-K457,0),IF(R457&lt;AD457,O457+P457-Q457,0),IF(X457&lt;AD457,U457+V457-W457,0)))))</x:f>
        <x:v>0</x:v>
      </x:c>
      <x:c r="AF457" s="6" t="n">
        <x:f>ROUND(MAX(0,AA457+AB457-AC457-AE457),2)</x:f>
        <x:v>0</x:v>
      </x:c>
      <x:c r="AG457" s="6" t="n">
        <x:f>SUM(H457,N457,T457,Z457,AF457)</x:f>
        <x:v>0</x:v>
      </x:c>
      <x:c r="AH457" s="6" t="n">
        <x:f>SUM(D457,J457,P457,V457,AB457)+AH456</x:f>
        <x:v>1220.8400000000001</x:v>
      </x:c>
      <x:c r="AI457" s="2"/>
    </x:row>
    <x:row r="458" ht="23" customHeight="1">
      <x:c r="B458" s="2" t="n">
        <x:f>450</x:f>
        <x:v>450</x:v>
      </x:c>
      <x:c r="C458" s="6" t="n">
        <x:f>H457</x:f>
        <x:v>0</x:v>
      </x:c>
      <x:c r="D458" s="6" t="n">
        <x:f>ROUND(C458*'Debt strategy'!$D$9/12,2)</x:f>
        <x:v>0</x:v>
      </x:c>
      <x:c r="E458" s="6" t="n">
        <x:f>MIN(C458+D458,'Debt strategy'!$E$9)</x:f>
        <x:v>0</x:v>
      </x:c>
      <x:c r="F458" s="27" t="n">
        <x:f>IF(C458+D458-E458&lt;=0,99,1+SUM(IF(AND(I458+J458-K458&gt;0,OR('Debt strategy'!$D$10&gt;'Debt strategy'!$D$9,AND('Debt strategy'!$D$10='Debt strategy'!$D$9,1&lt;0))),1,0),IF(AND(O458+P458-Q458&gt;0,OR('Debt strategy'!$D$11&gt;'Debt strategy'!$D$9,AND('Debt strategy'!$D$11='Debt strategy'!$D$9,2&lt;0))),1,0),IF(AND(U458+V458-W458&gt;0,OR('Debt strategy'!$D$12&gt;'Debt strategy'!$D$9,AND('Debt strategy'!$D$12='Debt strategy'!$D$9,3&lt;0))),1,0),IF(AND(AA458+AB458-AC458&gt;0,OR('Debt strategy'!$D$13&gt;'Debt strategy'!$D$9,AND('Debt strategy'!$D$13='Debt strategy'!$D$9,4&lt;0))),1,0)))</x:f>
        <x:v>99</x:v>
      </x:c>
      <x:c r="G458" s="6" t="n">
        <x:f>IF('Debt strategy'!$C$16&gt;0,0,MIN(C458+D458-E458,MAX(0,'Debt strategy'!$C$5-SUM(E458,K458,Q458,W458,AC458)-SUM(IF(L458&lt;F458,I458+J458-K458,0),IF(R458&lt;F458,O458+P458-Q458,0),IF(X458&lt;F458,U458+V458-W458,0),IF(AD458&lt;F458,AA458+AB458-AC458,0)))))</x:f>
        <x:v>0</x:v>
      </x:c>
      <x:c r="H458" s="6" t="n">
        <x:f>ROUND(MAX(0,C458+D458-E458-G458),2)</x:f>
        <x:v>0</x:v>
      </x:c>
      <x:c r="I458" s="6" t="n">
        <x:f>N457</x:f>
        <x:v>0</x:v>
      </x:c>
      <x:c r="J458" s="6" t="n">
        <x:f>ROUND(I458*'Debt strategy'!$D$10/12,2)</x:f>
        <x:v>0</x:v>
      </x:c>
      <x:c r="K458" s="6" t="n">
        <x:f>MIN(I458+J458,'Debt strategy'!$E$10)</x:f>
        <x:v>0</x:v>
      </x:c>
      <x:c r="L458" s="27" t="n">
        <x:f>IF(I458+J458-K458&lt;=0,99,1+SUM(IF(AND(C458+D458-E458&gt;0,OR('Debt strategy'!$D$9&gt;'Debt strategy'!$D$10,AND('Debt strategy'!$D$9='Debt strategy'!$D$10,0&lt;1))),1,0),IF(AND(O458+P458-Q458&gt;0,OR('Debt strategy'!$D$11&gt;'Debt strategy'!$D$10,AND('Debt strategy'!$D$11='Debt strategy'!$D$10,2&lt;1))),1,0),IF(AND(U458+V458-W458&gt;0,OR('Debt strategy'!$D$12&gt;'Debt strategy'!$D$10,AND('Debt strategy'!$D$12='Debt strategy'!$D$10,3&lt;1))),1,0),IF(AND(AA458+AB458-AC458&gt;0,OR('Debt strategy'!$D$13&gt;'Debt strategy'!$D$10,AND('Debt strategy'!$D$13='Debt strategy'!$D$10,4&lt;1))),1,0)))</x:f>
        <x:v>99</x:v>
      </x:c>
      <x:c r="M458" s="6" t="n">
        <x:f>IF('Debt strategy'!$C$16&gt;0,0,MIN(I458+J458-K458,MAX(0,'Debt strategy'!$C$5-SUM(E458,K458,Q458,W458,AC458)-SUM(IF(F458&lt;L458,C458+D458-E458,0),IF(R458&lt;L458,O458+P458-Q458,0),IF(X458&lt;L458,U458+V458-W458,0),IF(AD458&lt;L458,AA458+AB458-AC458,0)))))</x:f>
        <x:v>0</x:v>
      </x:c>
      <x:c r="N458" s="6" t="n">
        <x:f>ROUND(MAX(0,I458+J458-K458-M458),2)</x:f>
        <x:v>0</x:v>
      </x:c>
      <x:c r="O458" s="6" t="n">
        <x:f>T457</x:f>
        <x:v>0</x:v>
      </x:c>
      <x:c r="P458" s="6" t="n">
        <x:f>ROUND(O458*'Debt strategy'!$D$11/12,2)</x:f>
        <x:v>0</x:v>
      </x:c>
      <x:c r="Q458" s="6" t="n">
        <x:f>MIN(O458+P458,'Debt strategy'!$E$11)</x:f>
        <x:v>0</x:v>
      </x:c>
      <x:c r="R458" s="27" t="n">
        <x:f>IF(O458+P458-Q458&lt;=0,99,1+SUM(IF(AND(C458+D458-E458&gt;0,OR('Debt strategy'!$D$9&gt;'Debt strategy'!$D$11,AND('Debt strategy'!$D$9='Debt strategy'!$D$11,0&lt;2))),1,0),IF(AND(I458+J458-K458&gt;0,OR('Debt strategy'!$D$10&gt;'Debt strategy'!$D$11,AND('Debt strategy'!$D$10='Debt strategy'!$D$11,1&lt;2))),1,0),IF(AND(U458+V458-W458&gt;0,OR('Debt strategy'!$D$12&gt;'Debt strategy'!$D$11,AND('Debt strategy'!$D$12='Debt strategy'!$D$11,3&lt;2))),1,0),IF(AND(AA458+AB458-AC458&gt;0,OR('Debt strategy'!$D$13&gt;'Debt strategy'!$D$11,AND('Debt strategy'!$D$13='Debt strategy'!$D$11,4&lt;2))),1,0)))</x:f>
        <x:v>99</x:v>
      </x:c>
      <x:c r="S458" s="6" t="n">
        <x:f>IF('Debt strategy'!$C$16&gt;0,0,MIN(O458+P458-Q458,MAX(0,'Debt strategy'!$C$5-SUM(E458,K458,Q458,W458,AC458)-SUM(IF(F458&lt;R458,C458+D458-E458,0),IF(L458&lt;R458,I458+J458-K458,0),IF(X458&lt;R458,U458+V458-W458,0),IF(AD458&lt;R458,AA458+AB458-AC458,0)))))</x:f>
        <x:v>0</x:v>
      </x:c>
      <x:c r="T458" s="6" t="n">
        <x:f>ROUND(MAX(0,O458+P458-Q458-S458),2)</x:f>
        <x:v>0</x:v>
      </x:c>
      <x:c r="U458" s="6" t="n">
        <x:f>Z457</x:f>
        <x:v>0</x:v>
      </x:c>
      <x:c r="V458" s="6" t="n">
        <x:f>ROUND(U458*'Debt strategy'!$D$12/12,2)</x:f>
        <x:v>0</x:v>
      </x:c>
      <x:c r="W458" s="6" t="n">
        <x:f>MIN(U458+V458,'Debt strategy'!$E$12)</x:f>
        <x:v>0</x:v>
      </x:c>
      <x:c r="X458" s="27" t="n">
        <x:f>IF(U458+V458-W458&lt;=0,99,1+SUM(IF(AND(C458+D458-E458&gt;0,OR('Debt strategy'!$D$9&gt;'Debt strategy'!$D$12,AND('Debt strategy'!$D$9='Debt strategy'!$D$12,0&lt;3))),1,0),IF(AND(I458+J458-K458&gt;0,OR('Debt strategy'!$D$10&gt;'Debt strategy'!$D$12,AND('Debt strategy'!$D$10='Debt strategy'!$D$12,1&lt;3))),1,0),IF(AND(O458+P458-Q458&gt;0,OR('Debt strategy'!$D$11&gt;'Debt strategy'!$D$12,AND('Debt strategy'!$D$11='Debt strategy'!$D$12,2&lt;3))),1,0),IF(AND(AA458+AB458-AC458&gt;0,OR('Debt strategy'!$D$13&gt;'Debt strategy'!$D$12,AND('Debt strategy'!$D$13='Debt strategy'!$D$12,4&lt;3))),1,0)))</x:f>
        <x:v>99</x:v>
      </x:c>
      <x:c r="Y458" s="6" t="n">
        <x:f>IF('Debt strategy'!$C$16&gt;0,0,MIN(U458+V458-W458,MAX(0,'Debt strategy'!$C$5-SUM(E458,K458,Q458,W458,AC458)-SUM(IF(F458&lt;X458,C458+D458-E458,0),IF(L458&lt;X458,I458+J458-K458,0),IF(R458&lt;X458,O458+P458-Q458,0),IF(AD458&lt;X458,AA458+AB458-AC458,0)))))</x:f>
        <x:v>0</x:v>
      </x:c>
      <x:c r="Z458" s="6" t="n">
        <x:f>ROUND(MAX(0,U458+V458-W458-Y458),2)</x:f>
        <x:v>0</x:v>
      </x:c>
      <x:c r="AA458" s="6" t="n">
        <x:f>AF457</x:f>
        <x:v>0</x:v>
      </x:c>
      <x:c r="AB458" s="6" t="n">
        <x:f>ROUND(AA458*'Debt strategy'!$D$13/12,2)</x:f>
        <x:v>0</x:v>
      </x:c>
      <x:c r="AC458" s="6" t="n">
        <x:f>MIN(AA458+AB458,'Debt strategy'!$E$13)</x:f>
        <x:v>0</x:v>
      </x:c>
      <x:c r="AD458" s="27" t="n">
        <x:f>IF(AA458+AB458-AC458&lt;=0,99,1+SUM(IF(AND(C458+D458-E458&gt;0,OR('Debt strategy'!$D$9&gt;'Debt strategy'!$D$13,AND('Debt strategy'!$D$9='Debt strategy'!$D$13,0&lt;4))),1,0),IF(AND(I458+J458-K458&gt;0,OR('Debt strategy'!$D$10&gt;'Debt strategy'!$D$13,AND('Debt strategy'!$D$10='Debt strategy'!$D$13,1&lt;4))),1,0),IF(AND(O458+P458-Q458&gt;0,OR('Debt strategy'!$D$11&gt;'Debt strategy'!$D$13,AND('Debt strategy'!$D$11='Debt strategy'!$D$13,2&lt;4))),1,0),IF(AND(U458+V458-W458&gt;0,OR('Debt strategy'!$D$12&gt;'Debt strategy'!$D$13,AND('Debt strategy'!$D$12='Debt strategy'!$D$13,3&lt;4))),1,0)))</x:f>
        <x:v>99</x:v>
      </x:c>
      <x:c r="AE458" s="6" t="n">
        <x:f>IF('Debt strategy'!$C$16&gt;0,0,MIN(AA458+AB458-AC458,MAX(0,'Debt strategy'!$C$5-SUM(E458,K458,Q458,W458,AC458)-SUM(IF(F458&lt;AD458,C458+D458-E458,0),IF(L458&lt;AD458,I458+J458-K458,0),IF(R458&lt;AD458,O458+P458-Q458,0),IF(X458&lt;AD458,U458+V458-W458,0)))))</x:f>
        <x:v>0</x:v>
      </x:c>
      <x:c r="AF458" s="6" t="n">
        <x:f>ROUND(MAX(0,AA458+AB458-AC458-AE458),2)</x:f>
        <x:v>0</x:v>
      </x:c>
      <x:c r="AG458" s="6" t="n">
        <x:f>SUM(H458,N458,T458,Z458,AF458)</x:f>
        <x:v>0</x:v>
      </x:c>
      <x:c r="AH458" s="6" t="n">
        <x:f>SUM(D458,J458,P458,V458,AB458)+AH457</x:f>
        <x:v>1220.8400000000001</x:v>
      </x:c>
      <x:c r="AI458" s="2"/>
    </x:row>
    <x:row r="459" ht="23" customHeight="1">
      <x:c r="B459" s="2" t="n">
        <x:f>451</x:f>
        <x:v>451</x:v>
      </x:c>
      <x:c r="C459" s="6" t="n">
        <x:f>H458</x:f>
        <x:v>0</x:v>
      </x:c>
      <x:c r="D459" s="6" t="n">
        <x:f>ROUND(C459*'Debt strategy'!$D$9/12,2)</x:f>
        <x:v>0</x:v>
      </x:c>
      <x:c r="E459" s="6" t="n">
        <x:f>MIN(C459+D459,'Debt strategy'!$E$9)</x:f>
        <x:v>0</x:v>
      </x:c>
      <x:c r="F459" s="27" t="n">
        <x:f>IF(C459+D459-E459&lt;=0,99,1+SUM(IF(AND(I459+J459-K459&gt;0,OR('Debt strategy'!$D$10&gt;'Debt strategy'!$D$9,AND('Debt strategy'!$D$10='Debt strategy'!$D$9,1&lt;0))),1,0),IF(AND(O459+P459-Q459&gt;0,OR('Debt strategy'!$D$11&gt;'Debt strategy'!$D$9,AND('Debt strategy'!$D$11='Debt strategy'!$D$9,2&lt;0))),1,0),IF(AND(U459+V459-W459&gt;0,OR('Debt strategy'!$D$12&gt;'Debt strategy'!$D$9,AND('Debt strategy'!$D$12='Debt strategy'!$D$9,3&lt;0))),1,0),IF(AND(AA459+AB459-AC459&gt;0,OR('Debt strategy'!$D$13&gt;'Debt strategy'!$D$9,AND('Debt strategy'!$D$13='Debt strategy'!$D$9,4&lt;0))),1,0)))</x:f>
        <x:v>99</x:v>
      </x:c>
      <x:c r="G459" s="6" t="n">
        <x:f>IF('Debt strategy'!$C$16&gt;0,0,MIN(C459+D459-E459,MAX(0,'Debt strategy'!$C$5-SUM(E459,K459,Q459,W459,AC459)-SUM(IF(L459&lt;F459,I459+J459-K459,0),IF(R459&lt;F459,O459+P459-Q459,0),IF(X459&lt;F459,U459+V459-W459,0),IF(AD459&lt;F459,AA459+AB459-AC459,0)))))</x:f>
        <x:v>0</x:v>
      </x:c>
      <x:c r="H459" s="6" t="n">
        <x:f>ROUND(MAX(0,C459+D459-E459-G459),2)</x:f>
        <x:v>0</x:v>
      </x:c>
      <x:c r="I459" s="6" t="n">
        <x:f>N458</x:f>
        <x:v>0</x:v>
      </x:c>
      <x:c r="J459" s="6" t="n">
        <x:f>ROUND(I459*'Debt strategy'!$D$10/12,2)</x:f>
        <x:v>0</x:v>
      </x:c>
      <x:c r="K459" s="6" t="n">
        <x:f>MIN(I459+J459,'Debt strategy'!$E$10)</x:f>
        <x:v>0</x:v>
      </x:c>
      <x:c r="L459" s="27" t="n">
        <x:f>IF(I459+J459-K459&lt;=0,99,1+SUM(IF(AND(C459+D459-E459&gt;0,OR('Debt strategy'!$D$9&gt;'Debt strategy'!$D$10,AND('Debt strategy'!$D$9='Debt strategy'!$D$10,0&lt;1))),1,0),IF(AND(O459+P459-Q459&gt;0,OR('Debt strategy'!$D$11&gt;'Debt strategy'!$D$10,AND('Debt strategy'!$D$11='Debt strategy'!$D$10,2&lt;1))),1,0),IF(AND(U459+V459-W459&gt;0,OR('Debt strategy'!$D$12&gt;'Debt strategy'!$D$10,AND('Debt strategy'!$D$12='Debt strategy'!$D$10,3&lt;1))),1,0),IF(AND(AA459+AB459-AC459&gt;0,OR('Debt strategy'!$D$13&gt;'Debt strategy'!$D$10,AND('Debt strategy'!$D$13='Debt strategy'!$D$10,4&lt;1))),1,0)))</x:f>
        <x:v>99</x:v>
      </x:c>
      <x:c r="M459" s="6" t="n">
        <x:f>IF('Debt strategy'!$C$16&gt;0,0,MIN(I459+J459-K459,MAX(0,'Debt strategy'!$C$5-SUM(E459,K459,Q459,W459,AC459)-SUM(IF(F459&lt;L459,C459+D459-E459,0),IF(R459&lt;L459,O459+P459-Q459,0),IF(X459&lt;L459,U459+V459-W459,0),IF(AD459&lt;L459,AA459+AB459-AC459,0)))))</x:f>
        <x:v>0</x:v>
      </x:c>
      <x:c r="N459" s="6" t="n">
        <x:f>ROUND(MAX(0,I459+J459-K459-M459),2)</x:f>
        <x:v>0</x:v>
      </x:c>
      <x:c r="O459" s="6" t="n">
        <x:f>T458</x:f>
        <x:v>0</x:v>
      </x:c>
      <x:c r="P459" s="6" t="n">
        <x:f>ROUND(O459*'Debt strategy'!$D$11/12,2)</x:f>
        <x:v>0</x:v>
      </x:c>
      <x:c r="Q459" s="6" t="n">
        <x:f>MIN(O459+P459,'Debt strategy'!$E$11)</x:f>
        <x:v>0</x:v>
      </x:c>
      <x:c r="R459" s="27" t="n">
        <x:f>IF(O459+P459-Q459&lt;=0,99,1+SUM(IF(AND(C459+D459-E459&gt;0,OR('Debt strategy'!$D$9&gt;'Debt strategy'!$D$11,AND('Debt strategy'!$D$9='Debt strategy'!$D$11,0&lt;2))),1,0),IF(AND(I459+J459-K459&gt;0,OR('Debt strategy'!$D$10&gt;'Debt strategy'!$D$11,AND('Debt strategy'!$D$10='Debt strategy'!$D$11,1&lt;2))),1,0),IF(AND(U459+V459-W459&gt;0,OR('Debt strategy'!$D$12&gt;'Debt strategy'!$D$11,AND('Debt strategy'!$D$12='Debt strategy'!$D$11,3&lt;2))),1,0),IF(AND(AA459+AB459-AC459&gt;0,OR('Debt strategy'!$D$13&gt;'Debt strategy'!$D$11,AND('Debt strategy'!$D$13='Debt strategy'!$D$11,4&lt;2))),1,0)))</x:f>
        <x:v>99</x:v>
      </x:c>
      <x:c r="S459" s="6" t="n">
        <x:f>IF('Debt strategy'!$C$16&gt;0,0,MIN(O459+P459-Q459,MAX(0,'Debt strategy'!$C$5-SUM(E459,K459,Q459,W459,AC459)-SUM(IF(F459&lt;R459,C459+D459-E459,0),IF(L459&lt;R459,I459+J459-K459,0),IF(X459&lt;R459,U459+V459-W459,0),IF(AD459&lt;R459,AA459+AB459-AC459,0)))))</x:f>
        <x:v>0</x:v>
      </x:c>
      <x:c r="T459" s="6" t="n">
        <x:f>ROUND(MAX(0,O459+P459-Q459-S459),2)</x:f>
        <x:v>0</x:v>
      </x:c>
      <x:c r="U459" s="6" t="n">
        <x:f>Z458</x:f>
        <x:v>0</x:v>
      </x:c>
      <x:c r="V459" s="6" t="n">
        <x:f>ROUND(U459*'Debt strategy'!$D$12/12,2)</x:f>
        <x:v>0</x:v>
      </x:c>
      <x:c r="W459" s="6" t="n">
        <x:f>MIN(U459+V459,'Debt strategy'!$E$12)</x:f>
        <x:v>0</x:v>
      </x:c>
      <x:c r="X459" s="27" t="n">
        <x:f>IF(U459+V459-W459&lt;=0,99,1+SUM(IF(AND(C459+D459-E459&gt;0,OR('Debt strategy'!$D$9&gt;'Debt strategy'!$D$12,AND('Debt strategy'!$D$9='Debt strategy'!$D$12,0&lt;3))),1,0),IF(AND(I459+J459-K459&gt;0,OR('Debt strategy'!$D$10&gt;'Debt strategy'!$D$12,AND('Debt strategy'!$D$10='Debt strategy'!$D$12,1&lt;3))),1,0),IF(AND(O459+P459-Q459&gt;0,OR('Debt strategy'!$D$11&gt;'Debt strategy'!$D$12,AND('Debt strategy'!$D$11='Debt strategy'!$D$12,2&lt;3))),1,0),IF(AND(AA459+AB459-AC459&gt;0,OR('Debt strategy'!$D$13&gt;'Debt strategy'!$D$12,AND('Debt strategy'!$D$13='Debt strategy'!$D$12,4&lt;3))),1,0)))</x:f>
        <x:v>99</x:v>
      </x:c>
      <x:c r="Y459" s="6" t="n">
        <x:f>IF('Debt strategy'!$C$16&gt;0,0,MIN(U459+V459-W459,MAX(0,'Debt strategy'!$C$5-SUM(E459,K459,Q459,W459,AC459)-SUM(IF(F459&lt;X459,C459+D459-E459,0),IF(L459&lt;X459,I459+J459-K459,0),IF(R459&lt;X459,O459+P459-Q459,0),IF(AD459&lt;X459,AA459+AB459-AC459,0)))))</x:f>
        <x:v>0</x:v>
      </x:c>
      <x:c r="Z459" s="6" t="n">
        <x:f>ROUND(MAX(0,U459+V459-W459-Y459),2)</x:f>
        <x:v>0</x:v>
      </x:c>
      <x:c r="AA459" s="6" t="n">
        <x:f>AF458</x:f>
        <x:v>0</x:v>
      </x:c>
      <x:c r="AB459" s="6" t="n">
        <x:f>ROUND(AA459*'Debt strategy'!$D$13/12,2)</x:f>
        <x:v>0</x:v>
      </x:c>
      <x:c r="AC459" s="6" t="n">
        <x:f>MIN(AA459+AB459,'Debt strategy'!$E$13)</x:f>
        <x:v>0</x:v>
      </x:c>
      <x:c r="AD459" s="27" t="n">
        <x:f>IF(AA459+AB459-AC459&lt;=0,99,1+SUM(IF(AND(C459+D459-E459&gt;0,OR('Debt strategy'!$D$9&gt;'Debt strategy'!$D$13,AND('Debt strategy'!$D$9='Debt strategy'!$D$13,0&lt;4))),1,0),IF(AND(I459+J459-K459&gt;0,OR('Debt strategy'!$D$10&gt;'Debt strategy'!$D$13,AND('Debt strategy'!$D$10='Debt strategy'!$D$13,1&lt;4))),1,0),IF(AND(O459+P459-Q459&gt;0,OR('Debt strategy'!$D$11&gt;'Debt strategy'!$D$13,AND('Debt strategy'!$D$11='Debt strategy'!$D$13,2&lt;4))),1,0),IF(AND(U459+V459-W459&gt;0,OR('Debt strategy'!$D$12&gt;'Debt strategy'!$D$13,AND('Debt strategy'!$D$12='Debt strategy'!$D$13,3&lt;4))),1,0)))</x:f>
        <x:v>99</x:v>
      </x:c>
      <x:c r="AE459" s="6" t="n">
        <x:f>IF('Debt strategy'!$C$16&gt;0,0,MIN(AA459+AB459-AC459,MAX(0,'Debt strategy'!$C$5-SUM(E459,K459,Q459,W459,AC459)-SUM(IF(F459&lt;AD459,C459+D459-E459,0),IF(L459&lt;AD459,I459+J459-K459,0),IF(R459&lt;AD459,O459+P459-Q459,0),IF(X459&lt;AD459,U459+V459-W459,0)))))</x:f>
        <x:v>0</x:v>
      </x:c>
      <x:c r="AF459" s="6" t="n">
        <x:f>ROUND(MAX(0,AA459+AB459-AC459-AE459),2)</x:f>
        <x:v>0</x:v>
      </x:c>
      <x:c r="AG459" s="6" t="n">
        <x:f>SUM(H459,N459,T459,Z459,AF459)</x:f>
        <x:v>0</x:v>
      </x:c>
      <x:c r="AH459" s="6" t="n">
        <x:f>SUM(D459,J459,P459,V459,AB459)+AH458</x:f>
        <x:v>1220.8400000000001</x:v>
      </x:c>
      <x:c r="AI459" s="2"/>
    </x:row>
    <x:row r="460" ht="23" customHeight="1">
      <x:c r="B460" s="2" t="n">
        <x:f>452</x:f>
        <x:v>452</x:v>
      </x:c>
      <x:c r="C460" s="6" t="n">
        <x:f>H459</x:f>
        <x:v>0</x:v>
      </x:c>
      <x:c r="D460" s="6" t="n">
        <x:f>ROUND(C460*'Debt strategy'!$D$9/12,2)</x:f>
        <x:v>0</x:v>
      </x:c>
      <x:c r="E460" s="6" t="n">
        <x:f>MIN(C460+D460,'Debt strategy'!$E$9)</x:f>
        <x:v>0</x:v>
      </x:c>
      <x:c r="F460" s="27" t="n">
        <x:f>IF(C460+D460-E460&lt;=0,99,1+SUM(IF(AND(I460+J460-K460&gt;0,OR('Debt strategy'!$D$10&gt;'Debt strategy'!$D$9,AND('Debt strategy'!$D$10='Debt strategy'!$D$9,1&lt;0))),1,0),IF(AND(O460+P460-Q460&gt;0,OR('Debt strategy'!$D$11&gt;'Debt strategy'!$D$9,AND('Debt strategy'!$D$11='Debt strategy'!$D$9,2&lt;0))),1,0),IF(AND(U460+V460-W460&gt;0,OR('Debt strategy'!$D$12&gt;'Debt strategy'!$D$9,AND('Debt strategy'!$D$12='Debt strategy'!$D$9,3&lt;0))),1,0),IF(AND(AA460+AB460-AC460&gt;0,OR('Debt strategy'!$D$13&gt;'Debt strategy'!$D$9,AND('Debt strategy'!$D$13='Debt strategy'!$D$9,4&lt;0))),1,0)))</x:f>
        <x:v>99</x:v>
      </x:c>
      <x:c r="G460" s="6" t="n">
        <x:f>IF('Debt strategy'!$C$16&gt;0,0,MIN(C460+D460-E460,MAX(0,'Debt strategy'!$C$5-SUM(E460,K460,Q460,W460,AC460)-SUM(IF(L460&lt;F460,I460+J460-K460,0),IF(R460&lt;F460,O460+P460-Q460,0),IF(X460&lt;F460,U460+V460-W460,0),IF(AD460&lt;F460,AA460+AB460-AC460,0)))))</x:f>
        <x:v>0</x:v>
      </x:c>
      <x:c r="H460" s="6" t="n">
        <x:f>ROUND(MAX(0,C460+D460-E460-G460),2)</x:f>
        <x:v>0</x:v>
      </x:c>
      <x:c r="I460" s="6" t="n">
        <x:f>N459</x:f>
        <x:v>0</x:v>
      </x:c>
      <x:c r="J460" s="6" t="n">
        <x:f>ROUND(I460*'Debt strategy'!$D$10/12,2)</x:f>
        <x:v>0</x:v>
      </x:c>
      <x:c r="K460" s="6" t="n">
        <x:f>MIN(I460+J460,'Debt strategy'!$E$10)</x:f>
        <x:v>0</x:v>
      </x:c>
      <x:c r="L460" s="27" t="n">
        <x:f>IF(I460+J460-K460&lt;=0,99,1+SUM(IF(AND(C460+D460-E460&gt;0,OR('Debt strategy'!$D$9&gt;'Debt strategy'!$D$10,AND('Debt strategy'!$D$9='Debt strategy'!$D$10,0&lt;1))),1,0),IF(AND(O460+P460-Q460&gt;0,OR('Debt strategy'!$D$11&gt;'Debt strategy'!$D$10,AND('Debt strategy'!$D$11='Debt strategy'!$D$10,2&lt;1))),1,0),IF(AND(U460+V460-W460&gt;0,OR('Debt strategy'!$D$12&gt;'Debt strategy'!$D$10,AND('Debt strategy'!$D$12='Debt strategy'!$D$10,3&lt;1))),1,0),IF(AND(AA460+AB460-AC460&gt;0,OR('Debt strategy'!$D$13&gt;'Debt strategy'!$D$10,AND('Debt strategy'!$D$13='Debt strategy'!$D$10,4&lt;1))),1,0)))</x:f>
        <x:v>99</x:v>
      </x:c>
      <x:c r="M460" s="6" t="n">
        <x:f>IF('Debt strategy'!$C$16&gt;0,0,MIN(I460+J460-K460,MAX(0,'Debt strategy'!$C$5-SUM(E460,K460,Q460,W460,AC460)-SUM(IF(F460&lt;L460,C460+D460-E460,0),IF(R460&lt;L460,O460+P460-Q460,0),IF(X460&lt;L460,U460+V460-W460,0),IF(AD460&lt;L460,AA460+AB460-AC460,0)))))</x:f>
        <x:v>0</x:v>
      </x:c>
      <x:c r="N460" s="6" t="n">
        <x:f>ROUND(MAX(0,I460+J460-K460-M460),2)</x:f>
        <x:v>0</x:v>
      </x:c>
      <x:c r="O460" s="6" t="n">
        <x:f>T459</x:f>
        <x:v>0</x:v>
      </x:c>
      <x:c r="P460" s="6" t="n">
        <x:f>ROUND(O460*'Debt strategy'!$D$11/12,2)</x:f>
        <x:v>0</x:v>
      </x:c>
      <x:c r="Q460" s="6" t="n">
        <x:f>MIN(O460+P460,'Debt strategy'!$E$11)</x:f>
        <x:v>0</x:v>
      </x:c>
      <x:c r="R460" s="27" t="n">
        <x:f>IF(O460+P460-Q460&lt;=0,99,1+SUM(IF(AND(C460+D460-E460&gt;0,OR('Debt strategy'!$D$9&gt;'Debt strategy'!$D$11,AND('Debt strategy'!$D$9='Debt strategy'!$D$11,0&lt;2))),1,0),IF(AND(I460+J460-K460&gt;0,OR('Debt strategy'!$D$10&gt;'Debt strategy'!$D$11,AND('Debt strategy'!$D$10='Debt strategy'!$D$11,1&lt;2))),1,0),IF(AND(U460+V460-W460&gt;0,OR('Debt strategy'!$D$12&gt;'Debt strategy'!$D$11,AND('Debt strategy'!$D$12='Debt strategy'!$D$11,3&lt;2))),1,0),IF(AND(AA460+AB460-AC460&gt;0,OR('Debt strategy'!$D$13&gt;'Debt strategy'!$D$11,AND('Debt strategy'!$D$13='Debt strategy'!$D$11,4&lt;2))),1,0)))</x:f>
        <x:v>99</x:v>
      </x:c>
      <x:c r="S460" s="6" t="n">
        <x:f>IF('Debt strategy'!$C$16&gt;0,0,MIN(O460+P460-Q460,MAX(0,'Debt strategy'!$C$5-SUM(E460,K460,Q460,W460,AC460)-SUM(IF(F460&lt;R460,C460+D460-E460,0),IF(L460&lt;R460,I460+J460-K460,0),IF(X460&lt;R460,U460+V460-W460,0),IF(AD460&lt;R460,AA460+AB460-AC460,0)))))</x:f>
        <x:v>0</x:v>
      </x:c>
      <x:c r="T460" s="6" t="n">
        <x:f>ROUND(MAX(0,O460+P460-Q460-S460),2)</x:f>
        <x:v>0</x:v>
      </x:c>
      <x:c r="U460" s="6" t="n">
        <x:f>Z459</x:f>
        <x:v>0</x:v>
      </x:c>
      <x:c r="V460" s="6" t="n">
        <x:f>ROUND(U460*'Debt strategy'!$D$12/12,2)</x:f>
        <x:v>0</x:v>
      </x:c>
      <x:c r="W460" s="6" t="n">
        <x:f>MIN(U460+V460,'Debt strategy'!$E$12)</x:f>
        <x:v>0</x:v>
      </x:c>
      <x:c r="X460" s="27" t="n">
        <x:f>IF(U460+V460-W460&lt;=0,99,1+SUM(IF(AND(C460+D460-E460&gt;0,OR('Debt strategy'!$D$9&gt;'Debt strategy'!$D$12,AND('Debt strategy'!$D$9='Debt strategy'!$D$12,0&lt;3))),1,0),IF(AND(I460+J460-K460&gt;0,OR('Debt strategy'!$D$10&gt;'Debt strategy'!$D$12,AND('Debt strategy'!$D$10='Debt strategy'!$D$12,1&lt;3))),1,0),IF(AND(O460+P460-Q460&gt;0,OR('Debt strategy'!$D$11&gt;'Debt strategy'!$D$12,AND('Debt strategy'!$D$11='Debt strategy'!$D$12,2&lt;3))),1,0),IF(AND(AA460+AB460-AC460&gt;0,OR('Debt strategy'!$D$13&gt;'Debt strategy'!$D$12,AND('Debt strategy'!$D$13='Debt strategy'!$D$12,4&lt;3))),1,0)))</x:f>
        <x:v>99</x:v>
      </x:c>
      <x:c r="Y460" s="6" t="n">
        <x:f>IF('Debt strategy'!$C$16&gt;0,0,MIN(U460+V460-W460,MAX(0,'Debt strategy'!$C$5-SUM(E460,K460,Q460,W460,AC460)-SUM(IF(F460&lt;X460,C460+D460-E460,0),IF(L460&lt;X460,I460+J460-K460,0),IF(R460&lt;X460,O460+P460-Q460,0),IF(AD460&lt;X460,AA460+AB460-AC460,0)))))</x:f>
        <x:v>0</x:v>
      </x:c>
      <x:c r="Z460" s="6" t="n">
        <x:f>ROUND(MAX(0,U460+V460-W460-Y460),2)</x:f>
        <x:v>0</x:v>
      </x:c>
      <x:c r="AA460" s="6" t="n">
        <x:f>AF459</x:f>
        <x:v>0</x:v>
      </x:c>
      <x:c r="AB460" s="6" t="n">
        <x:f>ROUND(AA460*'Debt strategy'!$D$13/12,2)</x:f>
        <x:v>0</x:v>
      </x:c>
      <x:c r="AC460" s="6" t="n">
        <x:f>MIN(AA460+AB460,'Debt strategy'!$E$13)</x:f>
        <x:v>0</x:v>
      </x:c>
      <x:c r="AD460" s="27" t="n">
        <x:f>IF(AA460+AB460-AC460&lt;=0,99,1+SUM(IF(AND(C460+D460-E460&gt;0,OR('Debt strategy'!$D$9&gt;'Debt strategy'!$D$13,AND('Debt strategy'!$D$9='Debt strategy'!$D$13,0&lt;4))),1,0),IF(AND(I460+J460-K460&gt;0,OR('Debt strategy'!$D$10&gt;'Debt strategy'!$D$13,AND('Debt strategy'!$D$10='Debt strategy'!$D$13,1&lt;4))),1,0),IF(AND(O460+P460-Q460&gt;0,OR('Debt strategy'!$D$11&gt;'Debt strategy'!$D$13,AND('Debt strategy'!$D$11='Debt strategy'!$D$13,2&lt;4))),1,0),IF(AND(U460+V460-W460&gt;0,OR('Debt strategy'!$D$12&gt;'Debt strategy'!$D$13,AND('Debt strategy'!$D$12='Debt strategy'!$D$13,3&lt;4))),1,0)))</x:f>
        <x:v>99</x:v>
      </x:c>
      <x:c r="AE460" s="6" t="n">
        <x:f>IF('Debt strategy'!$C$16&gt;0,0,MIN(AA460+AB460-AC460,MAX(0,'Debt strategy'!$C$5-SUM(E460,K460,Q460,W460,AC460)-SUM(IF(F460&lt;AD460,C460+D460-E460,0),IF(L460&lt;AD460,I460+J460-K460,0),IF(R460&lt;AD460,O460+P460-Q460,0),IF(X460&lt;AD460,U460+V460-W460,0)))))</x:f>
        <x:v>0</x:v>
      </x:c>
      <x:c r="AF460" s="6" t="n">
        <x:f>ROUND(MAX(0,AA460+AB460-AC460-AE460),2)</x:f>
        <x:v>0</x:v>
      </x:c>
      <x:c r="AG460" s="6" t="n">
        <x:f>SUM(H460,N460,T460,Z460,AF460)</x:f>
        <x:v>0</x:v>
      </x:c>
      <x:c r="AH460" s="6" t="n">
        <x:f>SUM(D460,J460,P460,V460,AB460)+AH459</x:f>
        <x:v>1220.8400000000001</x:v>
      </x:c>
      <x:c r="AI460" s="2"/>
    </x:row>
    <x:row r="461" ht="23" customHeight="1">
      <x:c r="B461" s="2" t="n">
        <x:f>453</x:f>
        <x:v>453</x:v>
      </x:c>
      <x:c r="C461" s="6" t="n">
        <x:f>H460</x:f>
        <x:v>0</x:v>
      </x:c>
      <x:c r="D461" s="6" t="n">
        <x:f>ROUND(C461*'Debt strategy'!$D$9/12,2)</x:f>
        <x:v>0</x:v>
      </x:c>
      <x:c r="E461" s="6" t="n">
        <x:f>MIN(C461+D461,'Debt strategy'!$E$9)</x:f>
        <x:v>0</x:v>
      </x:c>
      <x:c r="F461" s="27" t="n">
        <x:f>IF(C461+D461-E461&lt;=0,99,1+SUM(IF(AND(I461+J461-K461&gt;0,OR('Debt strategy'!$D$10&gt;'Debt strategy'!$D$9,AND('Debt strategy'!$D$10='Debt strategy'!$D$9,1&lt;0))),1,0),IF(AND(O461+P461-Q461&gt;0,OR('Debt strategy'!$D$11&gt;'Debt strategy'!$D$9,AND('Debt strategy'!$D$11='Debt strategy'!$D$9,2&lt;0))),1,0),IF(AND(U461+V461-W461&gt;0,OR('Debt strategy'!$D$12&gt;'Debt strategy'!$D$9,AND('Debt strategy'!$D$12='Debt strategy'!$D$9,3&lt;0))),1,0),IF(AND(AA461+AB461-AC461&gt;0,OR('Debt strategy'!$D$13&gt;'Debt strategy'!$D$9,AND('Debt strategy'!$D$13='Debt strategy'!$D$9,4&lt;0))),1,0)))</x:f>
        <x:v>99</x:v>
      </x:c>
      <x:c r="G461" s="6" t="n">
        <x:f>IF('Debt strategy'!$C$16&gt;0,0,MIN(C461+D461-E461,MAX(0,'Debt strategy'!$C$5-SUM(E461,K461,Q461,W461,AC461)-SUM(IF(L461&lt;F461,I461+J461-K461,0),IF(R461&lt;F461,O461+P461-Q461,0),IF(X461&lt;F461,U461+V461-W461,0),IF(AD461&lt;F461,AA461+AB461-AC461,0)))))</x:f>
        <x:v>0</x:v>
      </x:c>
      <x:c r="H461" s="6" t="n">
        <x:f>ROUND(MAX(0,C461+D461-E461-G461),2)</x:f>
        <x:v>0</x:v>
      </x:c>
      <x:c r="I461" s="6" t="n">
        <x:f>N460</x:f>
        <x:v>0</x:v>
      </x:c>
      <x:c r="J461" s="6" t="n">
        <x:f>ROUND(I461*'Debt strategy'!$D$10/12,2)</x:f>
        <x:v>0</x:v>
      </x:c>
      <x:c r="K461" s="6" t="n">
        <x:f>MIN(I461+J461,'Debt strategy'!$E$10)</x:f>
        <x:v>0</x:v>
      </x:c>
      <x:c r="L461" s="27" t="n">
        <x:f>IF(I461+J461-K461&lt;=0,99,1+SUM(IF(AND(C461+D461-E461&gt;0,OR('Debt strategy'!$D$9&gt;'Debt strategy'!$D$10,AND('Debt strategy'!$D$9='Debt strategy'!$D$10,0&lt;1))),1,0),IF(AND(O461+P461-Q461&gt;0,OR('Debt strategy'!$D$11&gt;'Debt strategy'!$D$10,AND('Debt strategy'!$D$11='Debt strategy'!$D$10,2&lt;1))),1,0),IF(AND(U461+V461-W461&gt;0,OR('Debt strategy'!$D$12&gt;'Debt strategy'!$D$10,AND('Debt strategy'!$D$12='Debt strategy'!$D$10,3&lt;1))),1,0),IF(AND(AA461+AB461-AC461&gt;0,OR('Debt strategy'!$D$13&gt;'Debt strategy'!$D$10,AND('Debt strategy'!$D$13='Debt strategy'!$D$10,4&lt;1))),1,0)))</x:f>
        <x:v>99</x:v>
      </x:c>
      <x:c r="M461" s="6" t="n">
        <x:f>IF('Debt strategy'!$C$16&gt;0,0,MIN(I461+J461-K461,MAX(0,'Debt strategy'!$C$5-SUM(E461,K461,Q461,W461,AC461)-SUM(IF(F461&lt;L461,C461+D461-E461,0),IF(R461&lt;L461,O461+P461-Q461,0),IF(X461&lt;L461,U461+V461-W461,0),IF(AD461&lt;L461,AA461+AB461-AC461,0)))))</x:f>
        <x:v>0</x:v>
      </x:c>
      <x:c r="N461" s="6" t="n">
        <x:f>ROUND(MAX(0,I461+J461-K461-M461),2)</x:f>
        <x:v>0</x:v>
      </x:c>
      <x:c r="O461" s="6" t="n">
        <x:f>T460</x:f>
        <x:v>0</x:v>
      </x:c>
      <x:c r="P461" s="6" t="n">
        <x:f>ROUND(O461*'Debt strategy'!$D$11/12,2)</x:f>
        <x:v>0</x:v>
      </x:c>
      <x:c r="Q461" s="6" t="n">
        <x:f>MIN(O461+P461,'Debt strategy'!$E$11)</x:f>
        <x:v>0</x:v>
      </x:c>
      <x:c r="R461" s="27" t="n">
        <x:f>IF(O461+P461-Q461&lt;=0,99,1+SUM(IF(AND(C461+D461-E461&gt;0,OR('Debt strategy'!$D$9&gt;'Debt strategy'!$D$11,AND('Debt strategy'!$D$9='Debt strategy'!$D$11,0&lt;2))),1,0),IF(AND(I461+J461-K461&gt;0,OR('Debt strategy'!$D$10&gt;'Debt strategy'!$D$11,AND('Debt strategy'!$D$10='Debt strategy'!$D$11,1&lt;2))),1,0),IF(AND(U461+V461-W461&gt;0,OR('Debt strategy'!$D$12&gt;'Debt strategy'!$D$11,AND('Debt strategy'!$D$12='Debt strategy'!$D$11,3&lt;2))),1,0),IF(AND(AA461+AB461-AC461&gt;0,OR('Debt strategy'!$D$13&gt;'Debt strategy'!$D$11,AND('Debt strategy'!$D$13='Debt strategy'!$D$11,4&lt;2))),1,0)))</x:f>
        <x:v>99</x:v>
      </x:c>
      <x:c r="S461" s="6" t="n">
        <x:f>IF('Debt strategy'!$C$16&gt;0,0,MIN(O461+P461-Q461,MAX(0,'Debt strategy'!$C$5-SUM(E461,K461,Q461,W461,AC461)-SUM(IF(F461&lt;R461,C461+D461-E461,0),IF(L461&lt;R461,I461+J461-K461,0),IF(X461&lt;R461,U461+V461-W461,0),IF(AD461&lt;R461,AA461+AB461-AC461,0)))))</x:f>
        <x:v>0</x:v>
      </x:c>
      <x:c r="T461" s="6" t="n">
        <x:f>ROUND(MAX(0,O461+P461-Q461-S461),2)</x:f>
        <x:v>0</x:v>
      </x:c>
      <x:c r="U461" s="6" t="n">
        <x:f>Z460</x:f>
        <x:v>0</x:v>
      </x:c>
      <x:c r="V461" s="6" t="n">
        <x:f>ROUND(U461*'Debt strategy'!$D$12/12,2)</x:f>
        <x:v>0</x:v>
      </x:c>
      <x:c r="W461" s="6" t="n">
        <x:f>MIN(U461+V461,'Debt strategy'!$E$12)</x:f>
        <x:v>0</x:v>
      </x:c>
      <x:c r="X461" s="27" t="n">
        <x:f>IF(U461+V461-W461&lt;=0,99,1+SUM(IF(AND(C461+D461-E461&gt;0,OR('Debt strategy'!$D$9&gt;'Debt strategy'!$D$12,AND('Debt strategy'!$D$9='Debt strategy'!$D$12,0&lt;3))),1,0),IF(AND(I461+J461-K461&gt;0,OR('Debt strategy'!$D$10&gt;'Debt strategy'!$D$12,AND('Debt strategy'!$D$10='Debt strategy'!$D$12,1&lt;3))),1,0),IF(AND(O461+P461-Q461&gt;0,OR('Debt strategy'!$D$11&gt;'Debt strategy'!$D$12,AND('Debt strategy'!$D$11='Debt strategy'!$D$12,2&lt;3))),1,0),IF(AND(AA461+AB461-AC461&gt;0,OR('Debt strategy'!$D$13&gt;'Debt strategy'!$D$12,AND('Debt strategy'!$D$13='Debt strategy'!$D$12,4&lt;3))),1,0)))</x:f>
        <x:v>99</x:v>
      </x:c>
      <x:c r="Y461" s="6" t="n">
        <x:f>IF('Debt strategy'!$C$16&gt;0,0,MIN(U461+V461-W461,MAX(0,'Debt strategy'!$C$5-SUM(E461,K461,Q461,W461,AC461)-SUM(IF(F461&lt;X461,C461+D461-E461,0),IF(L461&lt;X461,I461+J461-K461,0),IF(R461&lt;X461,O461+P461-Q461,0),IF(AD461&lt;X461,AA461+AB461-AC461,0)))))</x:f>
        <x:v>0</x:v>
      </x:c>
      <x:c r="Z461" s="6" t="n">
        <x:f>ROUND(MAX(0,U461+V461-W461-Y461),2)</x:f>
        <x:v>0</x:v>
      </x:c>
      <x:c r="AA461" s="6" t="n">
        <x:f>AF460</x:f>
        <x:v>0</x:v>
      </x:c>
      <x:c r="AB461" s="6" t="n">
        <x:f>ROUND(AA461*'Debt strategy'!$D$13/12,2)</x:f>
        <x:v>0</x:v>
      </x:c>
      <x:c r="AC461" s="6" t="n">
        <x:f>MIN(AA461+AB461,'Debt strategy'!$E$13)</x:f>
        <x:v>0</x:v>
      </x:c>
      <x:c r="AD461" s="27" t="n">
        <x:f>IF(AA461+AB461-AC461&lt;=0,99,1+SUM(IF(AND(C461+D461-E461&gt;0,OR('Debt strategy'!$D$9&gt;'Debt strategy'!$D$13,AND('Debt strategy'!$D$9='Debt strategy'!$D$13,0&lt;4))),1,0),IF(AND(I461+J461-K461&gt;0,OR('Debt strategy'!$D$10&gt;'Debt strategy'!$D$13,AND('Debt strategy'!$D$10='Debt strategy'!$D$13,1&lt;4))),1,0),IF(AND(O461+P461-Q461&gt;0,OR('Debt strategy'!$D$11&gt;'Debt strategy'!$D$13,AND('Debt strategy'!$D$11='Debt strategy'!$D$13,2&lt;4))),1,0),IF(AND(U461+V461-W461&gt;0,OR('Debt strategy'!$D$12&gt;'Debt strategy'!$D$13,AND('Debt strategy'!$D$12='Debt strategy'!$D$13,3&lt;4))),1,0)))</x:f>
        <x:v>99</x:v>
      </x:c>
      <x:c r="AE461" s="6" t="n">
        <x:f>IF('Debt strategy'!$C$16&gt;0,0,MIN(AA461+AB461-AC461,MAX(0,'Debt strategy'!$C$5-SUM(E461,K461,Q461,W461,AC461)-SUM(IF(F461&lt;AD461,C461+D461-E461,0),IF(L461&lt;AD461,I461+J461-K461,0),IF(R461&lt;AD461,O461+P461-Q461,0),IF(X461&lt;AD461,U461+V461-W461,0)))))</x:f>
        <x:v>0</x:v>
      </x:c>
      <x:c r="AF461" s="6" t="n">
        <x:f>ROUND(MAX(0,AA461+AB461-AC461-AE461),2)</x:f>
        <x:v>0</x:v>
      </x:c>
      <x:c r="AG461" s="6" t="n">
        <x:f>SUM(H461,N461,T461,Z461,AF461)</x:f>
        <x:v>0</x:v>
      </x:c>
      <x:c r="AH461" s="6" t="n">
        <x:f>SUM(D461,J461,P461,V461,AB461)+AH460</x:f>
        <x:v>1220.8400000000001</x:v>
      </x:c>
      <x:c r="AI461" s="2"/>
    </x:row>
    <x:row r="462" ht="23" customHeight="1">
      <x:c r="B462" s="2" t="n">
        <x:f>454</x:f>
        <x:v>454</x:v>
      </x:c>
      <x:c r="C462" s="6" t="n">
        <x:f>H461</x:f>
        <x:v>0</x:v>
      </x:c>
      <x:c r="D462" s="6" t="n">
        <x:f>ROUND(C462*'Debt strategy'!$D$9/12,2)</x:f>
        <x:v>0</x:v>
      </x:c>
      <x:c r="E462" s="6" t="n">
        <x:f>MIN(C462+D462,'Debt strategy'!$E$9)</x:f>
        <x:v>0</x:v>
      </x:c>
      <x:c r="F462" s="27" t="n">
        <x:f>IF(C462+D462-E462&lt;=0,99,1+SUM(IF(AND(I462+J462-K462&gt;0,OR('Debt strategy'!$D$10&gt;'Debt strategy'!$D$9,AND('Debt strategy'!$D$10='Debt strategy'!$D$9,1&lt;0))),1,0),IF(AND(O462+P462-Q462&gt;0,OR('Debt strategy'!$D$11&gt;'Debt strategy'!$D$9,AND('Debt strategy'!$D$11='Debt strategy'!$D$9,2&lt;0))),1,0),IF(AND(U462+V462-W462&gt;0,OR('Debt strategy'!$D$12&gt;'Debt strategy'!$D$9,AND('Debt strategy'!$D$12='Debt strategy'!$D$9,3&lt;0))),1,0),IF(AND(AA462+AB462-AC462&gt;0,OR('Debt strategy'!$D$13&gt;'Debt strategy'!$D$9,AND('Debt strategy'!$D$13='Debt strategy'!$D$9,4&lt;0))),1,0)))</x:f>
        <x:v>99</x:v>
      </x:c>
      <x:c r="G462" s="6" t="n">
        <x:f>IF('Debt strategy'!$C$16&gt;0,0,MIN(C462+D462-E462,MAX(0,'Debt strategy'!$C$5-SUM(E462,K462,Q462,W462,AC462)-SUM(IF(L462&lt;F462,I462+J462-K462,0),IF(R462&lt;F462,O462+P462-Q462,0),IF(X462&lt;F462,U462+V462-W462,0),IF(AD462&lt;F462,AA462+AB462-AC462,0)))))</x:f>
        <x:v>0</x:v>
      </x:c>
      <x:c r="H462" s="6" t="n">
        <x:f>ROUND(MAX(0,C462+D462-E462-G462),2)</x:f>
        <x:v>0</x:v>
      </x:c>
      <x:c r="I462" s="6" t="n">
        <x:f>N461</x:f>
        <x:v>0</x:v>
      </x:c>
      <x:c r="J462" s="6" t="n">
        <x:f>ROUND(I462*'Debt strategy'!$D$10/12,2)</x:f>
        <x:v>0</x:v>
      </x:c>
      <x:c r="K462" s="6" t="n">
        <x:f>MIN(I462+J462,'Debt strategy'!$E$10)</x:f>
        <x:v>0</x:v>
      </x:c>
      <x:c r="L462" s="27" t="n">
        <x:f>IF(I462+J462-K462&lt;=0,99,1+SUM(IF(AND(C462+D462-E462&gt;0,OR('Debt strategy'!$D$9&gt;'Debt strategy'!$D$10,AND('Debt strategy'!$D$9='Debt strategy'!$D$10,0&lt;1))),1,0),IF(AND(O462+P462-Q462&gt;0,OR('Debt strategy'!$D$11&gt;'Debt strategy'!$D$10,AND('Debt strategy'!$D$11='Debt strategy'!$D$10,2&lt;1))),1,0),IF(AND(U462+V462-W462&gt;0,OR('Debt strategy'!$D$12&gt;'Debt strategy'!$D$10,AND('Debt strategy'!$D$12='Debt strategy'!$D$10,3&lt;1))),1,0),IF(AND(AA462+AB462-AC462&gt;0,OR('Debt strategy'!$D$13&gt;'Debt strategy'!$D$10,AND('Debt strategy'!$D$13='Debt strategy'!$D$10,4&lt;1))),1,0)))</x:f>
        <x:v>99</x:v>
      </x:c>
      <x:c r="M462" s="6" t="n">
        <x:f>IF('Debt strategy'!$C$16&gt;0,0,MIN(I462+J462-K462,MAX(0,'Debt strategy'!$C$5-SUM(E462,K462,Q462,W462,AC462)-SUM(IF(F462&lt;L462,C462+D462-E462,0),IF(R462&lt;L462,O462+P462-Q462,0),IF(X462&lt;L462,U462+V462-W462,0),IF(AD462&lt;L462,AA462+AB462-AC462,0)))))</x:f>
        <x:v>0</x:v>
      </x:c>
      <x:c r="N462" s="6" t="n">
        <x:f>ROUND(MAX(0,I462+J462-K462-M462),2)</x:f>
        <x:v>0</x:v>
      </x:c>
      <x:c r="O462" s="6" t="n">
        <x:f>T461</x:f>
        <x:v>0</x:v>
      </x:c>
      <x:c r="P462" s="6" t="n">
        <x:f>ROUND(O462*'Debt strategy'!$D$11/12,2)</x:f>
        <x:v>0</x:v>
      </x:c>
      <x:c r="Q462" s="6" t="n">
        <x:f>MIN(O462+P462,'Debt strategy'!$E$11)</x:f>
        <x:v>0</x:v>
      </x:c>
      <x:c r="R462" s="27" t="n">
        <x:f>IF(O462+P462-Q462&lt;=0,99,1+SUM(IF(AND(C462+D462-E462&gt;0,OR('Debt strategy'!$D$9&gt;'Debt strategy'!$D$11,AND('Debt strategy'!$D$9='Debt strategy'!$D$11,0&lt;2))),1,0),IF(AND(I462+J462-K462&gt;0,OR('Debt strategy'!$D$10&gt;'Debt strategy'!$D$11,AND('Debt strategy'!$D$10='Debt strategy'!$D$11,1&lt;2))),1,0),IF(AND(U462+V462-W462&gt;0,OR('Debt strategy'!$D$12&gt;'Debt strategy'!$D$11,AND('Debt strategy'!$D$12='Debt strategy'!$D$11,3&lt;2))),1,0),IF(AND(AA462+AB462-AC462&gt;0,OR('Debt strategy'!$D$13&gt;'Debt strategy'!$D$11,AND('Debt strategy'!$D$13='Debt strategy'!$D$11,4&lt;2))),1,0)))</x:f>
        <x:v>99</x:v>
      </x:c>
      <x:c r="S462" s="6" t="n">
        <x:f>IF('Debt strategy'!$C$16&gt;0,0,MIN(O462+P462-Q462,MAX(0,'Debt strategy'!$C$5-SUM(E462,K462,Q462,W462,AC462)-SUM(IF(F462&lt;R462,C462+D462-E462,0),IF(L462&lt;R462,I462+J462-K462,0),IF(X462&lt;R462,U462+V462-W462,0),IF(AD462&lt;R462,AA462+AB462-AC462,0)))))</x:f>
        <x:v>0</x:v>
      </x:c>
      <x:c r="T462" s="6" t="n">
        <x:f>ROUND(MAX(0,O462+P462-Q462-S462),2)</x:f>
        <x:v>0</x:v>
      </x:c>
      <x:c r="U462" s="6" t="n">
        <x:f>Z461</x:f>
        <x:v>0</x:v>
      </x:c>
      <x:c r="V462" s="6" t="n">
        <x:f>ROUND(U462*'Debt strategy'!$D$12/12,2)</x:f>
        <x:v>0</x:v>
      </x:c>
      <x:c r="W462" s="6" t="n">
        <x:f>MIN(U462+V462,'Debt strategy'!$E$12)</x:f>
        <x:v>0</x:v>
      </x:c>
      <x:c r="X462" s="27" t="n">
        <x:f>IF(U462+V462-W462&lt;=0,99,1+SUM(IF(AND(C462+D462-E462&gt;0,OR('Debt strategy'!$D$9&gt;'Debt strategy'!$D$12,AND('Debt strategy'!$D$9='Debt strategy'!$D$12,0&lt;3))),1,0),IF(AND(I462+J462-K462&gt;0,OR('Debt strategy'!$D$10&gt;'Debt strategy'!$D$12,AND('Debt strategy'!$D$10='Debt strategy'!$D$12,1&lt;3))),1,0),IF(AND(O462+P462-Q462&gt;0,OR('Debt strategy'!$D$11&gt;'Debt strategy'!$D$12,AND('Debt strategy'!$D$11='Debt strategy'!$D$12,2&lt;3))),1,0),IF(AND(AA462+AB462-AC462&gt;0,OR('Debt strategy'!$D$13&gt;'Debt strategy'!$D$12,AND('Debt strategy'!$D$13='Debt strategy'!$D$12,4&lt;3))),1,0)))</x:f>
        <x:v>99</x:v>
      </x:c>
      <x:c r="Y462" s="6" t="n">
        <x:f>IF('Debt strategy'!$C$16&gt;0,0,MIN(U462+V462-W462,MAX(0,'Debt strategy'!$C$5-SUM(E462,K462,Q462,W462,AC462)-SUM(IF(F462&lt;X462,C462+D462-E462,0),IF(L462&lt;X462,I462+J462-K462,0),IF(R462&lt;X462,O462+P462-Q462,0),IF(AD462&lt;X462,AA462+AB462-AC462,0)))))</x:f>
        <x:v>0</x:v>
      </x:c>
      <x:c r="Z462" s="6" t="n">
        <x:f>ROUND(MAX(0,U462+V462-W462-Y462),2)</x:f>
        <x:v>0</x:v>
      </x:c>
      <x:c r="AA462" s="6" t="n">
        <x:f>AF461</x:f>
        <x:v>0</x:v>
      </x:c>
      <x:c r="AB462" s="6" t="n">
        <x:f>ROUND(AA462*'Debt strategy'!$D$13/12,2)</x:f>
        <x:v>0</x:v>
      </x:c>
      <x:c r="AC462" s="6" t="n">
        <x:f>MIN(AA462+AB462,'Debt strategy'!$E$13)</x:f>
        <x:v>0</x:v>
      </x:c>
      <x:c r="AD462" s="27" t="n">
        <x:f>IF(AA462+AB462-AC462&lt;=0,99,1+SUM(IF(AND(C462+D462-E462&gt;0,OR('Debt strategy'!$D$9&gt;'Debt strategy'!$D$13,AND('Debt strategy'!$D$9='Debt strategy'!$D$13,0&lt;4))),1,0),IF(AND(I462+J462-K462&gt;0,OR('Debt strategy'!$D$10&gt;'Debt strategy'!$D$13,AND('Debt strategy'!$D$10='Debt strategy'!$D$13,1&lt;4))),1,0),IF(AND(O462+P462-Q462&gt;0,OR('Debt strategy'!$D$11&gt;'Debt strategy'!$D$13,AND('Debt strategy'!$D$11='Debt strategy'!$D$13,2&lt;4))),1,0),IF(AND(U462+V462-W462&gt;0,OR('Debt strategy'!$D$12&gt;'Debt strategy'!$D$13,AND('Debt strategy'!$D$12='Debt strategy'!$D$13,3&lt;4))),1,0)))</x:f>
        <x:v>99</x:v>
      </x:c>
      <x:c r="AE462" s="6" t="n">
        <x:f>IF('Debt strategy'!$C$16&gt;0,0,MIN(AA462+AB462-AC462,MAX(0,'Debt strategy'!$C$5-SUM(E462,K462,Q462,W462,AC462)-SUM(IF(F462&lt;AD462,C462+D462-E462,0),IF(L462&lt;AD462,I462+J462-K462,0),IF(R462&lt;AD462,O462+P462-Q462,0),IF(X462&lt;AD462,U462+V462-W462,0)))))</x:f>
        <x:v>0</x:v>
      </x:c>
      <x:c r="AF462" s="6" t="n">
        <x:f>ROUND(MAX(0,AA462+AB462-AC462-AE462),2)</x:f>
        <x:v>0</x:v>
      </x:c>
      <x:c r="AG462" s="6" t="n">
        <x:f>SUM(H462,N462,T462,Z462,AF462)</x:f>
        <x:v>0</x:v>
      </x:c>
      <x:c r="AH462" s="6" t="n">
        <x:f>SUM(D462,J462,P462,V462,AB462)+AH461</x:f>
        <x:v>1220.8400000000001</x:v>
      </x:c>
      <x:c r="AI462" s="2"/>
    </x:row>
    <x:row r="463" ht="23" customHeight="1">
      <x:c r="B463" s="2" t="n">
        <x:f>455</x:f>
        <x:v>455</x:v>
      </x:c>
      <x:c r="C463" s="6" t="n">
        <x:f>H462</x:f>
        <x:v>0</x:v>
      </x:c>
      <x:c r="D463" s="6" t="n">
        <x:f>ROUND(C463*'Debt strategy'!$D$9/12,2)</x:f>
        <x:v>0</x:v>
      </x:c>
      <x:c r="E463" s="6" t="n">
        <x:f>MIN(C463+D463,'Debt strategy'!$E$9)</x:f>
        <x:v>0</x:v>
      </x:c>
      <x:c r="F463" s="27" t="n">
        <x:f>IF(C463+D463-E463&lt;=0,99,1+SUM(IF(AND(I463+J463-K463&gt;0,OR('Debt strategy'!$D$10&gt;'Debt strategy'!$D$9,AND('Debt strategy'!$D$10='Debt strategy'!$D$9,1&lt;0))),1,0),IF(AND(O463+P463-Q463&gt;0,OR('Debt strategy'!$D$11&gt;'Debt strategy'!$D$9,AND('Debt strategy'!$D$11='Debt strategy'!$D$9,2&lt;0))),1,0),IF(AND(U463+V463-W463&gt;0,OR('Debt strategy'!$D$12&gt;'Debt strategy'!$D$9,AND('Debt strategy'!$D$12='Debt strategy'!$D$9,3&lt;0))),1,0),IF(AND(AA463+AB463-AC463&gt;0,OR('Debt strategy'!$D$13&gt;'Debt strategy'!$D$9,AND('Debt strategy'!$D$13='Debt strategy'!$D$9,4&lt;0))),1,0)))</x:f>
        <x:v>99</x:v>
      </x:c>
      <x:c r="G463" s="6" t="n">
        <x:f>IF('Debt strategy'!$C$16&gt;0,0,MIN(C463+D463-E463,MAX(0,'Debt strategy'!$C$5-SUM(E463,K463,Q463,W463,AC463)-SUM(IF(L463&lt;F463,I463+J463-K463,0),IF(R463&lt;F463,O463+P463-Q463,0),IF(X463&lt;F463,U463+V463-W463,0),IF(AD463&lt;F463,AA463+AB463-AC463,0)))))</x:f>
        <x:v>0</x:v>
      </x:c>
      <x:c r="H463" s="6" t="n">
        <x:f>ROUND(MAX(0,C463+D463-E463-G463),2)</x:f>
        <x:v>0</x:v>
      </x:c>
      <x:c r="I463" s="6" t="n">
        <x:f>N462</x:f>
        <x:v>0</x:v>
      </x:c>
      <x:c r="J463" s="6" t="n">
        <x:f>ROUND(I463*'Debt strategy'!$D$10/12,2)</x:f>
        <x:v>0</x:v>
      </x:c>
      <x:c r="K463" s="6" t="n">
        <x:f>MIN(I463+J463,'Debt strategy'!$E$10)</x:f>
        <x:v>0</x:v>
      </x:c>
      <x:c r="L463" s="27" t="n">
        <x:f>IF(I463+J463-K463&lt;=0,99,1+SUM(IF(AND(C463+D463-E463&gt;0,OR('Debt strategy'!$D$9&gt;'Debt strategy'!$D$10,AND('Debt strategy'!$D$9='Debt strategy'!$D$10,0&lt;1))),1,0),IF(AND(O463+P463-Q463&gt;0,OR('Debt strategy'!$D$11&gt;'Debt strategy'!$D$10,AND('Debt strategy'!$D$11='Debt strategy'!$D$10,2&lt;1))),1,0),IF(AND(U463+V463-W463&gt;0,OR('Debt strategy'!$D$12&gt;'Debt strategy'!$D$10,AND('Debt strategy'!$D$12='Debt strategy'!$D$10,3&lt;1))),1,0),IF(AND(AA463+AB463-AC463&gt;0,OR('Debt strategy'!$D$13&gt;'Debt strategy'!$D$10,AND('Debt strategy'!$D$13='Debt strategy'!$D$10,4&lt;1))),1,0)))</x:f>
        <x:v>99</x:v>
      </x:c>
      <x:c r="M463" s="6" t="n">
        <x:f>IF('Debt strategy'!$C$16&gt;0,0,MIN(I463+J463-K463,MAX(0,'Debt strategy'!$C$5-SUM(E463,K463,Q463,W463,AC463)-SUM(IF(F463&lt;L463,C463+D463-E463,0),IF(R463&lt;L463,O463+P463-Q463,0),IF(X463&lt;L463,U463+V463-W463,0),IF(AD463&lt;L463,AA463+AB463-AC463,0)))))</x:f>
        <x:v>0</x:v>
      </x:c>
      <x:c r="N463" s="6" t="n">
        <x:f>ROUND(MAX(0,I463+J463-K463-M463),2)</x:f>
        <x:v>0</x:v>
      </x:c>
      <x:c r="O463" s="6" t="n">
        <x:f>T462</x:f>
        <x:v>0</x:v>
      </x:c>
      <x:c r="P463" s="6" t="n">
        <x:f>ROUND(O463*'Debt strategy'!$D$11/12,2)</x:f>
        <x:v>0</x:v>
      </x:c>
      <x:c r="Q463" s="6" t="n">
        <x:f>MIN(O463+P463,'Debt strategy'!$E$11)</x:f>
        <x:v>0</x:v>
      </x:c>
      <x:c r="R463" s="27" t="n">
        <x:f>IF(O463+P463-Q463&lt;=0,99,1+SUM(IF(AND(C463+D463-E463&gt;0,OR('Debt strategy'!$D$9&gt;'Debt strategy'!$D$11,AND('Debt strategy'!$D$9='Debt strategy'!$D$11,0&lt;2))),1,0),IF(AND(I463+J463-K463&gt;0,OR('Debt strategy'!$D$10&gt;'Debt strategy'!$D$11,AND('Debt strategy'!$D$10='Debt strategy'!$D$11,1&lt;2))),1,0),IF(AND(U463+V463-W463&gt;0,OR('Debt strategy'!$D$12&gt;'Debt strategy'!$D$11,AND('Debt strategy'!$D$12='Debt strategy'!$D$11,3&lt;2))),1,0),IF(AND(AA463+AB463-AC463&gt;0,OR('Debt strategy'!$D$13&gt;'Debt strategy'!$D$11,AND('Debt strategy'!$D$13='Debt strategy'!$D$11,4&lt;2))),1,0)))</x:f>
        <x:v>99</x:v>
      </x:c>
      <x:c r="S463" s="6" t="n">
        <x:f>IF('Debt strategy'!$C$16&gt;0,0,MIN(O463+P463-Q463,MAX(0,'Debt strategy'!$C$5-SUM(E463,K463,Q463,W463,AC463)-SUM(IF(F463&lt;R463,C463+D463-E463,0),IF(L463&lt;R463,I463+J463-K463,0),IF(X463&lt;R463,U463+V463-W463,0),IF(AD463&lt;R463,AA463+AB463-AC463,0)))))</x:f>
        <x:v>0</x:v>
      </x:c>
      <x:c r="T463" s="6" t="n">
        <x:f>ROUND(MAX(0,O463+P463-Q463-S463),2)</x:f>
        <x:v>0</x:v>
      </x:c>
      <x:c r="U463" s="6" t="n">
        <x:f>Z462</x:f>
        <x:v>0</x:v>
      </x:c>
      <x:c r="V463" s="6" t="n">
        <x:f>ROUND(U463*'Debt strategy'!$D$12/12,2)</x:f>
        <x:v>0</x:v>
      </x:c>
      <x:c r="W463" s="6" t="n">
        <x:f>MIN(U463+V463,'Debt strategy'!$E$12)</x:f>
        <x:v>0</x:v>
      </x:c>
      <x:c r="X463" s="27" t="n">
        <x:f>IF(U463+V463-W463&lt;=0,99,1+SUM(IF(AND(C463+D463-E463&gt;0,OR('Debt strategy'!$D$9&gt;'Debt strategy'!$D$12,AND('Debt strategy'!$D$9='Debt strategy'!$D$12,0&lt;3))),1,0),IF(AND(I463+J463-K463&gt;0,OR('Debt strategy'!$D$10&gt;'Debt strategy'!$D$12,AND('Debt strategy'!$D$10='Debt strategy'!$D$12,1&lt;3))),1,0),IF(AND(O463+P463-Q463&gt;0,OR('Debt strategy'!$D$11&gt;'Debt strategy'!$D$12,AND('Debt strategy'!$D$11='Debt strategy'!$D$12,2&lt;3))),1,0),IF(AND(AA463+AB463-AC463&gt;0,OR('Debt strategy'!$D$13&gt;'Debt strategy'!$D$12,AND('Debt strategy'!$D$13='Debt strategy'!$D$12,4&lt;3))),1,0)))</x:f>
        <x:v>99</x:v>
      </x:c>
      <x:c r="Y463" s="6" t="n">
        <x:f>IF('Debt strategy'!$C$16&gt;0,0,MIN(U463+V463-W463,MAX(0,'Debt strategy'!$C$5-SUM(E463,K463,Q463,W463,AC463)-SUM(IF(F463&lt;X463,C463+D463-E463,0),IF(L463&lt;X463,I463+J463-K463,0),IF(R463&lt;X463,O463+P463-Q463,0),IF(AD463&lt;X463,AA463+AB463-AC463,0)))))</x:f>
        <x:v>0</x:v>
      </x:c>
      <x:c r="Z463" s="6" t="n">
        <x:f>ROUND(MAX(0,U463+V463-W463-Y463),2)</x:f>
        <x:v>0</x:v>
      </x:c>
      <x:c r="AA463" s="6" t="n">
        <x:f>AF462</x:f>
        <x:v>0</x:v>
      </x:c>
      <x:c r="AB463" s="6" t="n">
        <x:f>ROUND(AA463*'Debt strategy'!$D$13/12,2)</x:f>
        <x:v>0</x:v>
      </x:c>
      <x:c r="AC463" s="6" t="n">
        <x:f>MIN(AA463+AB463,'Debt strategy'!$E$13)</x:f>
        <x:v>0</x:v>
      </x:c>
      <x:c r="AD463" s="27" t="n">
        <x:f>IF(AA463+AB463-AC463&lt;=0,99,1+SUM(IF(AND(C463+D463-E463&gt;0,OR('Debt strategy'!$D$9&gt;'Debt strategy'!$D$13,AND('Debt strategy'!$D$9='Debt strategy'!$D$13,0&lt;4))),1,0),IF(AND(I463+J463-K463&gt;0,OR('Debt strategy'!$D$10&gt;'Debt strategy'!$D$13,AND('Debt strategy'!$D$10='Debt strategy'!$D$13,1&lt;4))),1,0),IF(AND(O463+P463-Q463&gt;0,OR('Debt strategy'!$D$11&gt;'Debt strategy'!$D$13,AND('Debt strategy'!$D$11='Debt strategy'!$D$13,2&lt;4))),1,0),IF(AND(U463+V463-W463&gt;0,OR('Debt strategy'!$D$12&gt;'Debt strategy'!$D$13,AND('Debt strategy'!$D$12='Debt strategy'!$D$13,3&lt;4))),1,0)))</x:f>
        <x:v>99</x:v>
      </x:c>
      <x:c r="AE463" s="6" t="n">
        <x:f>IF('Debt strategy'!$C$16&gt;0,0,MIN(AA463+AB463-AC463,MAX(0,'Debt strategy'!$C$5-SUM(E463,K463,Q463,W463,AC463)-SUM(IF(F463&lt;AD463,C463+D463-E463,0),IF(L463&lt;AD463,I463+J463-K463,0),IF(R463&lt;AD463,O463+P463-Q463,0),IF(X463&lt;AD463,U463+V463-W463,0)))))</x:f>
        <x:v>0</x:v>
      </x:c>
      <x:c r="AF463" s="6" t="n">
        <x:f>ROUND(MAX(0,AA463+AB463-AC463-AE463),2)</x:f>
        <x:v>0</x:v>
      </x:c>
      <x:c r="AG463" s="6" t="n">
        <x:f>SUM(H463,N463,T463,Z463,AF463)</x:f>
        <x:v>0</x:v>
      </x:c>
      <x:c r="AH463" s="6" t="n">
        <x:f>SUM(D463,J463,P463,V463,AB463)+AH462</x:f>
        <x:v>1220.8400000000001</x:v>
      </x:c>
      <x:c r="AI463" s="2"/>
    </x:row>
    <x:row r="464" ht="23" customHeight="1">
      <x:c r="B464" s="2" t="n">
        <x:f>456</x:f>
        <x:v>456</x:v>
      </x:c>
      <x:c r="C464" s="6" t="n">
        <x:f>H463</x:f>
        <x:v>0</x:v>
      </x:c>
      <x:c r="D464" s="6" t="n">
        <x:f>ROUND(C464*'Debt strategy'!$D$9/12,2)</x:f>
        <x:v>0</x:v>
      </x:c>
      <x:c r="E464" s="6" t="n">
        <x:f>MIN(C464+D464,'Debt strategy'!$E$9)</x:f>
        <x:v>0</x:v>
      </x:c>
      <x:c r="F464" s="27" t="n">
        <x:f>IF(C464+D464-E464&lt;=0,99,1+SUM(IF(AND(I464+J464-K464&gt;0,OR('Debt strategy'!$D$10&gt;'Debt strategy'!$D$9,AND('Debt strategy'!$D$10='Debt strategy'!$D$9,1&lt;0))),1,0),IF(AND(O464+P464-Q464&gt;0,OR('Debt strategy'!$D$11&gt;'Debt strategy'!$D$9,AND('Debt strategy'!$D$11='Debt strategy'!$D$9,2&lt;0))),1,0),IF(AND(U464+V464-W464&gt;0,OR('Debt strategy'!$D$12&gt;'Debt strategy'!$D$9,AND('Debt strategy'!$D$12='Debt strategy'!$D$9,3&lt;0))),1,0),IF(AND(AA464+AB464-AC464&gt;0,OR('Debt strategy'!$D$13&gt;'Debt strategy'!$D$9,AND('Debt strategy'!$D$13='Debt strategy'!$D$9,4&lt;0))),1,0)))</x:f>
        <x:v>99</x:v>
      </x:c>
      <x:c r="G464" s="6" t="n">
        <x:f>IF('Debt strategy'!$C$16&gt;0,0,MIN(C464+D464-E464,MAX(0,'Debt strategy'!$C$5-SUM(E464,K464,Q464,W464,AC464)-SUM(IF(L464&lt;F464,I464+J464-K464,0),IF(R464&lt;F464,O464+P464-Q464,0),IF(X464&lt;F464,U464+V464-W464,0),IF(AD464&lt;F464,AA464+AB464-AC464,0)))))</x:f>
        <x:v>0</x:v>
      </x:c>
      <x:c r="H464" s="6" t="n">
        <x:f>ROUND(MAX(0,C464+D464-E464-G464),2)</x:f>
        <x:v>0</x:v>
      </x:c>
      <x:c r="I464" s="6" t="n">
        <x:f>N463</x:f>
        <x:v>0</x:v>
      </x:c>
      <x:c r="J464" s="6" t="n">
        <x:f>ROUND(I464*'Debt strategy'!$D$10/12,2)</x:f>
        <x:v>0</x:v>
      </x:c>
      <x:c r="K464" s="6" t="n">
        <x:f>MIN(I464+J464,'Debt strategy'!$E$10)</x:f>
        <x:v>0</x:v>
      </x:c>
      <x:c r="L464" s="27" t="n">
        <x:f>IF(I464+J464-K464&lt;=0,99,1+SUM(IF(AND(C464+D464-E464&gt;0,OR('Debt strategy'!$D$9&gt;'Debt strategy'!$D$10,AND('Debt strategy'!$D$9='Debt strategy'!$D$10,0&lt;1))),1,0),IF(AND(O464+P464-Q464&gt;0,OR('Debt strategy'!$D$11&gt;'Debt strategy'!$D$10,AND('Debt strategy'!$D$11='Debt strategy'!$D$10,2&lt;1))),1,0),IF(AND(U464+V464-W464&gt;0,OR('Debt strategy'!$D$12&gt;'Debt strategy'!$D$10,AND('Debt strategy'!$D$12='Debt strategy'!$D$10,3&lt;1))),1,0),IF(AND(AA464+AB464-AC464&gt;0,OR('Debt strategy'!$D$13&gt;'Debt strategy'!$D$10,AND('Debt strategy'!$D$13='Debt strategy'!$D$10,4&lt;1))),1,0)))</x:f>
        <x:v>99</x:v>
      </x:c>
      <x:c r="M464" s="6" t="n">
        <x:f>IF('Debt strategy'!$C$16&gt;0,0,MIN(I464+J464-K464,MAX(0,'Debt strategy'!$C$5-SUM(E464,K464,Q464,W464,AC464)-SUM(IF(F464&lt;L464,C464+D464-E464,0),IF(R464&lt;L464,O464+P464-Q464,0),IF(X464&lt;L464,U464+V464-W464,0),IF(AD464&lt;L464,AA464+AB464-AC464,0)))))</x:f>
        <x:v>0</x:v>
      </x:c>
      <x:c r="N464" s="6" t="n">
        <x:f>ROUND(MAX(0,I464+J464-K464-M464),2)</x:f>
        <x:v>0</x:v>
      </x:c>
      <x:c r="O464" s="6" t="n">
        <x:f>T463</x:f>
        <x:v>0</x:v>
      </x:c>
      <x:c r="P464" s="6" t="n">
        <x:f>ROUND(O464*'Debt strategy'!$D$11/12,2)</x:f>
        <x:v>0</x:v>
      </x:c>
      <x:c r="Q464" s="6" t="n">
        <x:f>MIN(O464+P464,'Debt strategy'!$E$11)</x:f>
        <x:v>0</x:v>
      </x:c>
      <x:c r="R464" s="27" t="n">
        <x:f>IF(O464+P464-Q464&lt;=0,99,1+SUM(IF(AND(C464+D464-E464&gt;0,OR('Debt strategy'!$D$9&gt;'Debt strategy'!$D$11,AND('Debt strategy'!$D$9='Debt strategy'!$D$11,0&lt;2))),1,0),IF(AND(I464+J464-K464&gt;0,OR('Debt strategy'!$D$10&gt;'Debt strategy'!$D$11,AND('Debt strategy'!$D$10='Debt strategy'!$D$11,1&lt;2))),1,0),IF(AND(U464+V464-W464&gt;0,OR('Debt strategy'!$D$12&gt;'Debt strategy'!$D$11,AND('Debt strategy'!$D$12='Debt strategy'!$D$11,3&lt;2))),1,0),IF(AND(AA464+AB464-AC464&gt;0,OR('Debt strategy'!$D$13&gt;'Debt strategy'!$D$11,AND('Debt strategy'!$D$13='Debt strategy'!$D$11,4&lt;2))),1,0)))</x:f>
        <x:v>99</x:v>
      </x:c>
      <x:c r="S464" s="6" t="n">
        <x:f>IF('Debt strategy'!$C$16&gt;0,0,MIN(O464+P464-Q464,MAX(0,'Debt strategy'!$C$5-SUM(E464,K464,Q464,W464,AC464)-SUM(IF(F464&lt;R464,C464+D464-E464,0),IF(L464&lt;R464,I464+J464-K464,0),IF(X464&lt;R464,U464+V464-W464,0),IF(AD464&lt;R464,AA464+AB464-AC464,0)))))</x:f>
        <x:v>0</x:v>
      </x:c>
      <x:c r="T464" s="6" t="n">
        <x:f>ROUND(MAX(0,O464+P464-Q464-S464),2)</x:f>
        <x:v>0</x:v>
      </x:c>
      <x:c r="U464" s="6" t="n">
        <x:f>Z463</x:f>
        <x:v>0</x:v>
      </x:c>
      <x:c r="V464" s="6" t="n">
        <x:f>ROUND(U464*'Debt strategy'!$D$12/12,2)</x:f>
        <x:v>0</x:v>
      </x:c>
      <x:c r="W464" s="6" t="n">
        <x:f>MIN(U464+V464,'Debt strategy'!$E$12)</x:f>
        <x:v>0</x:v>
      </x:c>
      <x:c r="X464" s="27" t="n">
        <x:f>IF(U464+V464-W464&lt;=0,99,1+SUM(IF(AND(C464+D464-E464&gt;0,OR('Debt strategy'!$D$9&gt;'Debt strategy'!$D$12,AND('Debt strategy'!$D$9='Debt strategy'!$D$12,0&lt;3))),1,0),IF(AND(I464+J464-K464&gt;0,OR('Debt strategy'!$D$10&gt;'Debt strategy'!$D$12,AND('Debt strategy'!$D$10='Debt strategy'!$D$12,1&lt;3))),1,0),IF(AND(O464+P464-Q464&gt;0,OR('Debt strategy'!$D$11&gt;'Debt strategy'!$D$12,AND('Debt strategy'!$D$11='Debt strategy'!$D$12,2&lt;3))),1,0),IF(AND(AA464+AB464-AC464&gt;0,OR('Debt strategy'!$D$13&gt;'Debt strategy'!$D$12,AND('Debt strategy'!$D$13='Debt strategy'!$D$12,4&lt;3))),1,0)))</x:f>
        <x:v>99</x:v>
      </x:c>
      <x:c r="Y464" s="6" t="n">
        <x:f>IF('Debt strategy'!$C$16&gt;0,0,MIN(U464+V464-W464,MAX(0,'Debt strategy'!$C$5-SUM(E464,K464,Q464,W464,AC464)-SUM(IF(F464&lt;X464,C464+D464-E464,0),IF(L464&lt;X464,I464+J464-K464,0),IF(R464&lt;X464,O464+P464-Q464,0),IF(AD464&lt;X464,AA464+AB464-AC464,0)))))</x:f>
        <x:v>0</x:v>
      </x:c>
      <x:c r="Z464" s="6" t="n">
        <x:f>ROUND(MAX(0,U464+V464-W464-Y464),2)</x:f>
        <x:v>0</x:v>
      </x:c>
      <x:c r="AA464" s="6" t="n">
        <x:f>AF463</x:f>
        <x:v>0</x:v>
      </x:c>
      <x:c r="AB464" s="6" t="n">
        <x:f>ROUND(AA464*'Debt strategy'!$D$13/12,2)</x:f>
        <x:v>0</x:v>
      </x:c>
      <x:c r="AC464" s="6" t="n">
        <x:f>MIN(AA464+AB464,'Debt strategy'!$E$13)</x:f>
        <x:v>0</x:v>
      </x:c>
      <x:c r="AD464" s="27" t="n">
        <x:f>IF(AA464+AB464-AC464&lt;=0,99,1+SUM(IF(AND(C464+D464-E464&gt;0,OR('Debt strategy'!$D$9&gt;'Debt strategy'!$D$13,AND('Debt strategy'!$D$9='Debt strategy'!$D$13,0&lt;4))),1,0),IF(AND(I464+J464-K464&gt;0,OR('Debt strategy'!$D$10&gt;'Debt strategy'!$D$13,AND('Debt strategy'!$D$10='Debt strategy'!$D$13,1&lt;4))),1,0),IF(AND(O464+P464-Q464&gt;0,OR('Debt strategy'!$D$11&gt;'Debt strategy'!$D$13,AND('Debt strategy'!$D$11='Debt strategy'!$D$13,2&lt;4))),1,0),IF(AND(U464+V464-W464&gt;0,OR('Debt strategy'!$D$12&gt;'Debt strategy'!$D$13,AND('Debt strategy'!$D$12='Debt strategy'!$D$13,3&lt;4))),1,0)))</x:f>
        <x:v>99</x:v>
      </x:c>
      <x:c r="AE464" s="6" t="n">
        <x:f>IF('Debt strategy'!$C$16&gt;0,0,MIN(AA464+AB464-AC464,MAX(0,'Debt strategy'!$C$5-SUM(E464,K464,Q464,W464,AC464)-SUM(IF(F464&lt;AD464,C464+D464-E464,0),IF(L464&lt;AD464,I464+J464-K464,0),IF(R464&lt;AD464,O464+P464-Q464,0),IF(X464&lt;AD464,U464+V464-W464,0)))))</x:f>
        <x:v>0</x:v>
      </x:c>
      <x:c r="AF464" s="6" t="n">
        <x:f>ROUND(MAX(0,AA464+AB464-AC464-AE464),2)</x:f>
        <x:v>0</x:v>
      </x:c>
      <x:c r="AG464" s="6" t="n">
        <x:f>SUM(H464,N464,T464,Z464,AF464)</x:f>
        <x:v>0</x:v>
      </x:c>
      <x:c r="AH464" s="6" t="n">
        <x:f>SUM(D464,J464,P464,V464,AB464)+AH463</x:f>
        <x:v>1220.8400000000001</x:v>
      </x:c>
      <x:c r="AI464" s="2"/>
    </x:row>
    <x:row r="465" ht="23" customHeight="1">
      <x:c r="B465" s="2" t="n">
        <x:f>457</x:f>
        <x:v>457</x:v>
      </x:c>
      <x:c r="C465" s="6" t="n">
        <x:f>H464</x:f>
        <x:v>0</x:v>
      </x:c>
      <x:c r="D465" s="6" t="n">
        <x:f>ROUND(C465*'Debt strategy'!$D$9/12,2)</x:f>
        <x:v>0</x:v>
      </x:c>
      <x:c r="E465" s="6" t="n">
        <x:f>MIN(C465+D465,'Debt strategy'!$E$9)</x:f>
        <x:v>0</x:v>
      </x:c>
      <x:c r="F465" s="27" t="n">
        <x:f>IF(C465+D465-E465&lt;=0,99,1+SUM(IF(AND(I465+J465-K465&gt;0,OR('Debt strategy'!$D$10&gt;'Debt strategy'!$D$9,AND('Debt strategy'!$D$10='Debt strategy'!$D$9,1&lt;0))),1,0),IF(AND(O465+P465-Q465&gt;0,OR('Debt strategy'!$D$11&gt;'Debt strategy'!$D$9,AND('Debt strategy'!$D$11='Debt strategy'!$D$9,2&lt;0))),1,0),IF(AND(U465+V465-W465&gt;0,OR('Debt strategy'!$D$12&gt;'Debt strategy'!$D$9,AND('Debt strategy'!$D$12='Debt strategy'!$D$9,3&lt;0))),1,0),IF(AND(AA465+AB465-AC465&gt;0,OR('Debt strategy'!$D$13&gt;'Debt strategy'!$D$9,AND('Debt strategy'!$D$13='Debt strategy'!$D$9,4&lt;0))),1,0)))</x:f>
        <x:v>99</x:v>
      </x:c>
      <x:c r="G465" s="6" t="n">
        <x:f>IF('Debt strategy'!$C$16&gt;0,0,MIN(C465+D465-E465,MAX(0,'Debt strategy'!$C$5-SUM(E465,K465,Q465,W465,AC465)-SUM(IF(L465&lt;F465,I465+J465-K465,0),IF(R465&lt;F465,O465+P465-Q465,0),IF(X465&lt;F465,U465+V465-W465,0),IF(AD465&lt;F465,AA465+AB465-AC465,0)))))</x:f>
        <x:v>0</x:v>
      </x:c>
      <x:c r="H465" s="6" t="n">
        <x:f>ROUND(MAX(0,C465+D465-E465-G465),2)</x:f>
        <x:v>0</x:v>
      </x:c>
      <x:c r="I465" s="6" t="n">
        <x:f>N464</x:f>
        <x:v>0</x:v>
      </x:c>
      <x:c r="J465" s="6" t="n">
        <x:f>ROUND(I465*'Debt strategy'!$D$10/12,2)</x:f>
        <x:v>0</x:v>
      </x:c>
      <x:c r="K465" s="6" t="n">
        <x:f>MIN(I465+J465,'Debt strategy'!$E$10)</x:f>
        <x:v>0</x:v>
      </x:c>
      <x:c r="L465" s="27" t="n">
        <x:f>IF(I465+J465-K465&lt;=0,99,1+SUM(IF(AND(C465+D465-E465&gt;0,OR('Debt strategy'!$D$9&gt;'Debt strategy'!$D$10,AND('Debt strategy'!$D$9='Debt strategy'!$D$10,0&lt;1))),1,0),IF(AND(O465+P465-Q465&gt;0,OR('Debt strategy'!$D$11&gt;'Debt strategy'!$D$10,AND('Debt strategy'!$D$11='Debt strategy'!$D$10,2&lt;1))),1,0),IF(AND(U465+V465-W465&gt;0,OR('Debt strategy'!$D$12&gt;'Debt strategy'!$D$10,AND('Debt strategy'!$D$12='Debt strategy'!$D$10,3&lt;1))),1,0),IF(AND(AA465+AB465-AC465&gt;0,OR('Debt strategy'!$D$13&gt;'Debt strategy'!$D$10,AND('Debt strategy'!$D$13='Debt strategy'!$D$10,4&lt;1))),1,0)))</x:f>
        <x:v>99</x:v>
      </x:c>
      <x:c r="M465" s="6" t="n">
        <x:f>IF('Debt strategy'!$C$16&gt;0,0,MIN(I465+J465-K465,MAX(0,'Debt strategy'!$C$5-SUM(E465,K465,Q465,W465,AC465)-SUM(IF(F465&lt;L465,C465+D465-E465,0),IF(R465&lt;L465,O465+P465-Q465,0),IF(X465&lt;L465,U465+V465-W465,0),IF(AD465&lt;L465,AA465+AB465-AC465,0)))))</x:f>
        <x:v>0</x:v>
      </x:c>
      <x:c r="N465" s="6" t="n">
        <x:f>ROUND(MAX(0,I465+J465-K465-M465),2)</x:f>
        <x:v>0</x:v>
      </x:c>
      <x:c r="O465" s="6" t="n">
        <x:f>T464</x:f>
        <x:v>0</x:v>
      </x:c>
      <x:c r="P465" s="6" t="n">
        <x:f>ROUND(O465*'Debt strategy'!$D$11/12,2)</x:f>
        <x:v>0</x:v>
      </x:c>
      <x:c r="Q465" s="6" t="n">
        <x:f>MIN(O465+P465,'Debt strategy'!$E$11)</x:f>
        <x:v>0</x:v>
      </x:c>
      <x:c r="R465" s="27" t="n">
        <x:f>IF(O465+P465-Q465&lt;=0,99,1+SUM(IF(AND(C465+D465-E465&gt;0,OR('Debt strategy'!$D$9&gt;'Debt strategy'!$D$11,AND('Debt strategy'!$D$9='Debt strategy'!$D$11,0&lt;2))),1,0),IF(AND(I465+J465-K465&gt;0,OR('Debt strategy'!$D$10&gt;'Debt strategy'!$D$11,AND('Debt strategy'!$D$10='Debt strategy'!$D$11,1&lt;2))),1,0),IF(AND(U465+V465-W465&gt;0,OR('Debt strategy'!$D$12&gt;'Debt strategy'!$D$11,AND('Debt strategy'!$D$12='Debt strategy'!$D$11,3&lt;2))),1,0),IF(AND(AA465+AB465-AC465&gt;0,OR('Debt strategy'!$D$13&gt;'Debt strategy'!$D$11,AND('Debt strategy'!$D$13='Debt strategy'!$D$11,4&lt;2))),1,0)))</x:f>
        <x:v>99</x:v>
      </x:c>
      <x:c r="S465" s="6" t="n">
        <x:f>IF('Debt strategy'!$C$16&gt;0,0,MIN(O465+P465-Q465,MAX(0,'Debt strategy'!$C$5-SUM(E465,K465,Q465,W465,AC465)-SUM(IF(F465&lt;R465,C465+D465-E465,0),IF(L465&lt;R465,I465+J465-K465,0),IF(X465&lt;R465,U465+V465-W465,0),IF(AD465&lt;R465,AA465+AB465-AC465,0)))))</x:f>
        <x:v>0</x:v>
      </x:c>
      <x:c r="T465" s="6" t="n">
        <x:f>ROUND(MAX(0,O465+P465-Q465-S465),2)</x:f>
        <x:v>0</x:v>
      </x:c>
      <x:c r="U465" s="6" t="n">
        <x:f>Z464</x:f>
        <x:v>0</x:v>
      </x:c>
      <x:c r="V465" s="6" t="n">
        <x:f>ROUND(U465*'Debt strategy'!$D$12/12,2)</x:f>
        <x:v>0</x:v>
      </x:c>
      <x:c r="W465" s="6" t="n">
        <x:f>MIN(U465+V465,'Debt strategy'!$E$12)</x:f>
        <x:v>0</x:v>
      </x:c>
      <x:c r="X465" s="27" t="n">
        <x:f>IF(U465+V465-W465&lt;=0,99,1+SUM(IF(AND(C465+D465-E465&gt;0,OR('Debt strategy'!$D$9&gt;'Debt strategy'!$D$12,AND('Debt strategy'!$D$9='Debt strategy'!$D$12,0&lt;3))),1,0),IF(AND(I465+J465-K465&gt;0,OR('Debt strategy'!$D$10&gt;'Debt strategy'!$D$12,AND('Debt strategy'!$D$10='Debt strategy'!$D$12,1&lt;3))),1,0),IF(AND(O465+P465-Q465&gt;0,OR('Debt strategy'!$D$11&gt;'Debt strategy'!$D$12,AND('Debt strategy'!$D$11='Debt strategy'!$D$12,2&lt;3))),1,0),IF(AND(AA465+AB465-AC465&gt;0,OR('Debt strategy'!$D$13&gt;'Debt strategy'!$D$12,AND('Debt strategy'!$D$13='Debt strategy'!$D$12,4&lt;3))),1,0)))</x:f>
        <x:v>99</x:v>
      </x:c>
      <x:c r="Y465" s="6" t="n">
        <x:f>IF('Debt strategy'!$C$16&gt;0,0,MIN(U465+V465-W465,MAX(0,'Debt strategy'!$C$5-SUM(E465,K465,Q465,W465,AC465)-SUM(IF(F465&lt;X465,C465+D465-E465,0),IF(L465&lt;X465,I465+J465-K465,0),IF(R465&lt;X465,O465+P465-Q465,0),IF(AD465&lt;X465,AA465+AB465-AC465,0)))))</x:f>
        <x:v>0</x:v>
      </x:c>
      <x:c r="Z465" s="6" t="n">
        <x:f>ROUND(MAX(0,U465+V465-W465-Y465),2)</x:f>
        <x:v>0</x:v>
      </x:c>
      <x:c r="AA465" s="6" t="n">
        <x:f>AF464</x:f>
        <x:v>0</x:v>
      </x:c>
      <x:c r="AB465" s="6" t="n">
        <x:f>ROUND(AA465*'Debt strategy'!$D$13/12,2)</x:f>
        <x:v>0</x:v>
      </x:c>
      <x:c r="AC465" s="6" t="n">
        <x:f>MIN(AA465+AB465,'Debt strategy'!$E$13)</x:f>
        <x:v>0</x:v>
      </x:c>
      <x:c r="AD465" s="27" t="n">
        <x:f>IF(AA465+AB465-AC465&lt;=0,99,1+SUM(IF(AND(C465+D465-E465&gt;0,OR('Debt strategy'!$D$9&gt;'Debt strategy'!$D$13,AND('Debt strategy'!$D$9='Debt strategy'!$D$13,0&lt;4))),1,0),IF(AND(I465+J465-K465&gt;0,OR('Debt strategy'!$D$10&gt;'Debt strategy'!$D$13,AND('Debt strategy'!$D$10='Debt strategy'!$D$13,1&lt;4))),1,0),IF(AND(O465+P465-Q465&gt;0,OR('Debt strategy'!$D$11&gt;'Debt strategy'!$D$13,AND('Debt strategy'!$D$11='Debt strategy'!$D$13,2&lt;4))),1,0),IF(AND(U465+V465-W465&gt;0,OR('Debt strategy'!$D$12&gt;'Debt strategy'!$D$13,AND('Debt strategy'!$D$12='Debt strategy'!$D$13,3&lt;4))),1,0)))</x:f>
        <x:v>99</x:v>
      </x:c>
      <x:c r="AE465" s="6" t="n">
        <x:f>IF('Debt strategy'!$C$16&gt;0,0,MIN(AA465+AB465-AC465,MAX(0,'Debt strategy'!$C$5-SUM(E465,K465,Q465,W465,AC465)-SUM(IF(F465&lt;AD465,C465+D465-E465,0),IF(L465&lt;AD465,I465+J465-K465,0),IF(R465&lt;AD465,O465+P465-Q465,0),IF(X465&lt;AD465,U465+V465-W465,0)))))</x:f>
        <x:v>0</x:v>
      </x:c>
      <x:c r="AF465" s="6" t="n">
        <x:f>ROUND(MAX(0,AA465+AB465-AC465-AE465),2)</x:f>
        <x:v>0</x:v>
      </x:c>
      <x:c r="AG465" s="6" t="n">
        <x:f>SUM(H465,N465,T465,Z465,AF465)</x:f>
        <x:v>0</x:v>
      </x:c>
      <x:c r="AH465" s="6" t="n">
        <x:f>SUM(D465,J465,P465,V465,AB465)+AH464</x:f>
        <x:v>1220.8400000000001</x:v>
      </x:c>
      <x:c r="AI465" s="2"/>
    </x:row>
    <x:row r="466" ht="23" customHeight="1">
      <x:c r="B466" s="2" t="n">
        <x:f>458</x:f>
        <x:v>458</x:v>
      </x:c>
      <x:c r="C466" s="6" t="n">
        <x:f>H465</x:f>
        <x:v>0</x:v>
      </x:c>
      <x:c r="D466" s="6" t="n">
        <x:f>ROUND(C466*'Debt strategy'!$D$9/12,2)</x:f>
        <x:v>0</x:v>
      </x:c>
      <x:c r="E466" s="6" t="n">
        <x:f>MIN(C466+D466,'Debt strategy'!$E$9)</x:f>
        <x:v>0</x:v>
      </x:c>
      <x:c r="F466" s="27" t="n">
        <x:f>IF(C466+D466-E466&lt;=0,99,1+SUM(IF(AND(I466+J466-K466&gt;0,OR('Debt strategy'!$D$10&gt;'Debt strategy'!$D$9,AND('Debt strategy'!$D$10='Debt strategy'!$D$9,1&lt;0))),1,0),IF(AND(O466+P466-Q466&gt;0,OR('Debt strategy'!$D$11&gt;'Debt strategy'!$D$9,AND('Debt strategy'!$D$11='Debt strategy'!$D$9,2&lt;0))),1,0),IF(AND(U466+V466-W466&gt;0,OR('Debt strategy'!$D$12&gt;'Debt strategy'!$D$9,AND('Debt strategy'!$D$12='Debt strategy'!$D$9,3&lt;0))),1,0),IF(AND(AA466+AB466-AC466&gt;0,OR('Debt strategy'!$D$13&gt;'Debt strategy'!$D$9,AND('Debt strategy'!$D$13='Debt strategy'!$D$9,4&lt;0))),1,0)))</x:f>
        <x:v>99</x:v>
      </x:c>
      <x:c r="G466" s="6" t="n">
        <x:f>IF('Debt strategy'!$C$16&gt;0,0,MIN(C466+D466-E466,MAX(0,'Debt strategy'!$C$5-SUM(E466,K466,Q466,W466,AC466)-SUM(IF(L466&lt;F466,I466+J466-K466,0),IF(R466&lt;F466,O466+P466-Q466,0),IF(X466&lt;F466,U466+V466-W466,0),IF(AD466&lt;F466,AA466+AB466-AC466,0)))))</x:f>
        <x:v>0</x:v>
      </x:c>
      <x:c r="H466" s="6" t="n">
        <x:f>ROUND(MAX(0,C466+D466-E466-G466),2)</x:f>
        <x:v>0</x:v>
      </x:c>
      <x:c r="I466" s="6" t="n">
        <x:f>N465</x:f>
        <x:v>0</x:v>
      </x:c>
      <x:c r="J466" s="6" t="n">
        <x:f>ROUND(I466*'Debt strategy'!$D$10/12,2)</x:f>
        <x:v>0</x:v>
      </x:c>
      <x:c r="K466" s="6" t="n">
        <x:f>MIN(I466+J466,'Debt strategy'!$E$10)</x:f>
        <x:v>0</x:v>
      </x:c>
      <x:c r="L466" s="27" t="n">
        <x:f>IF(I466+J466-K466&lt;=0,99,1+SUM(IF(AND(C466+D466-E466&gt;0,OR('Debt strategy'!$D$9&gt;'Debt strategy'!$D$10,AND('Debt strategy'!$D$9='Debt strategy'!$D$10,0&lt;1))),1,0),IF(AND(O466+P466-Q466&gt;0,OR('Debt strategy'!$D$11&gt;'Debt strategy'!$D$10,AND('Debt strategy'!$D$11='Debt strategy'!$D$10,2&lt;1))),1,0),IF(AND(U466+V466-W466&gt;0,OR('Debt strategy'!$D$12&gt;'Debt strategy'!$D$10,AND('Debt strategy'!$D$12='Debt strategy'!$D$10,3&lt;1))),1,0),IF(AND(AA466+AB466-AC466&gt;0,OR('Debt strategy'!$D$13&gt;'Debt strategy'!$D$10,AND('Debt strategy'!$D$13='Debt strategy'!$D$10,4&lt;1))),1,0)))</x:f>
        <x:v>99</x:v>
      </x:c>
      <x:c r="M466" s="6" t="n">
        <x:f>IF('Debt strategy'!$C$16&gt;0,0,MIN(I466+J466-K466,MAX(0,'Debt strategy'!$C$5-SUM(E466,K466,Q466,W466,AC466)-SUM(IF(F466&lt;L466,C466+D466-E466,0),IF(R466&lt;L466,O466+P466-Q466,0),IF(X466&lt;L466,U466+V466-W466,0),IF(AD466&lt;L466,AA466+AB466-AC466,0)))))</x:f>
        <x:v>0</x:v>
      </x:c>
      <x:c r="N466" s="6" t="n">
        <x:f>ROUND(MAX(0,I466+J466-K466-M466),2)</x:f>
        <x:v>0</x:v>
      </x:c>
      <x:c r="O466" s="6" t="n">
        <x:f>T465</x:f>
        <x:v>0</x:v>
      </x:c>
      <x:c r="P466" s="6" t="n">
        <x:f>ROUND(O466*'Debt strategy'!$D$11/12,2)</x:f>
        <x:v>0</x:v>
      </x:c>
      <x:c r="Q466" s="6" t="n">
        <x:f>MIN(O466+P466,'Debt strategy'!$E$11)</x:f>
        <x:v>0</x:v>
      </x:c>
      <x:c r="R466" s="27" t="n">
        <x:f>IF(O466+P466-Q466&lt;=0,99,1+SUM(IF(AND(C466+D466-E466&gt;0,OR('Debt strategy'!$D$9&gt;'Debt strategy'!$D$11,AND('Debt strategy'!$D$9='Debt strategy'!$D$11,0&lt;2))),1,0),IF(AND(I466+J466-K466&gt;0,OR('Debt strategy'!$D$10&gt;'Debt strategy'!$D$11,AND('Debt strategy'!$D$10='Debt strategy'!$D$11,1&lt;2))),1,0),IF(AND(U466+V466-W466&gt;0,OR('Debt strategy'!$D$12&gt;'Debt strategy'!$D$11,AND('Debt strategy'!$D$12='Debt strategy'!$D$11,3&lt;2))),1,0),IF(AND(AA466+AB466-AC466&gt;0,OR('Debt strategy'!$D$13&gt;'Debt strategy'!$D$11,AND('Debt strategy'!$D$13='Debt strategy'!$D$11,4&lt;2))),1,0)))</x:f>
        <x:v>99</x:v>
      </x:c>
      <x:c r="S466" s="6" t="n">
        <x:f>IF('Debt strategy'!$C$16&gt;0,0,MIN(O466+P466-Q466,MAX(0,'Debt strategy'!$C$5-SUM(E466,K466,Q466,W466,AC466)-SUM(IF(F466&lt;R466,C466+D466-E466,0),IF(L466&lt;R466,I466+J466-K466,0),IF(X466&lt;R466,U466+V466-W466,0),IF(AD466&lt;R466,AA466+AB466-AC466,0)))))</x:f>
        <x:v>0</x:v>
      </x:c>
      <x:c r="T466" s="6" t="n">
        <x:f>ROUND(MAX(0,O466+P466-Q466-S466),2)</x:f>
        <x:v>0</x:v>
      </x:c>
      <x:c r="U466" s="6" t="n">
        <x:f>Z465</x:f>
        <x:v>0</x:v>
      </x:c>
      <x:c r="V466" s="6" t="n">
        <x:f>ROUND(U466*'Debt strategy'!$D$12/12,2)</x:f>
        <x:v>0</x:v>
      </x:c>
      <x:c r="W466" s="6" t="n">
        <x:f>MIN(U466+V466,'Debt strategy'!$E$12)</x:f>
        <x:v>0</x:v>
      </x:c>
      <x:c r="X466" s="27" t="n">
        <x:f>IF(U466+V466-W466&lt;=0,99,1+SUM(IF(AND(C466+D466-E466&gt;0,OR('Debt strategy'!$D$9&gt;'Debt strategy'!$D$12,AND('Debt strategy'!$D$9='Debt strategy'!$D$12,0&lt;3))),1,0),IF(AND(I466+J466-K466&gt;0,OR('Debt strategy'!$D$10&gt;'Debt strategy'!$D$12,AND('Debt strategy'!$D$10='Debt strategy'!$D$12,1&lt;3))),1,0),IF(AND(O466+P466-Q466&gt;0,OR('Debt strategy'!$D$11&gt;'Debt strategy'!$D$12,AND('Debt strategy'!$D$11='Debt strategy'!$D$12,2&lt;3))),1,0),IF(AND(AA466+AB466-AC466&gt;0,OR('Debt strategy'!$D$13&gt;'Debt strategy'!$D$12,AND('Debt strategy'!$D$13='Debt strategy'!$D$12,4&lt;3))),1,0)))</x:f>
        <x:v>99</x:v>
      </x:c>
      <x:c r="Y466" s="6" t="n">
        <x:f>IF('Debt strategy'!$C$16&gt;0,0,MIN(U466+V466-W466,MAX(0,'Debt strategy'!$C$5-SUM(E466,K466,Q466,W466,AC466)-SUM(IF(F466&lt;X466,C466+D466-E466,0),IF(L466&lt;X466,I466+J466-K466,0),IF(R466&lt;X466,O466+P466-Q466,0),IF(AD466&lt;X466,AA466+AB466-AC466,0)))))</x:f>
        <x:v>0</x:v>
      </x:c>
      <x:c r="Z466" s="6" t="n">
        <x:f>ROUND(MAX(0,U466+V466-W466-Y466),2)</x:f>
        <x:v>0</x:v>
      </x:c>
      <x:c r="AA466" s="6" t="n">
        <x:f>AF465</x:f>
        <x:v>0</x:v>
      </x:c>
      <x:c r="AB466" s="6" t="n">
        <x:f>ROUND(AA466*'Debt strategy'!$D$13/12,2)</x:f>
        <x:v>0</x:v>
      </x:c>
      <x:c r="AC466" s="6" t="n">
        <x:f>MIN(AA466+AB466,'Debt strategy'!$E$13)</x:f>
        <x:v>0</x:v>
      </x:c>
      <x:c r="AD466" s="27" t="n">
        <x:f>IF(AA466+AB466-AC466&lt;=0,99,1+SUM(IF(AND(C466+D466-E466&gt;0,OR('Debt strategy'!$D$9&gt;'Debt strategy'!$D$13,AND('Debt strategy'!$D$9='Debt strategy'!$D$13,0&lt;4))),1,0),IF(AND(I466+J466-K466&gt;0,OR('Debt strategy'!$D$10&gt;'Debt strategy'!$D$13,AND('Debt strategy'!$D$10='Debt strategy'!$D$13,1&lt;4))),1,0),IF(AND(O466+P466-Q466&gt;0,OR('Debt strategy'!$D$11&gt;'Debt strategy'!$D$13,AND('Debt strategy'!$D$11='Debt strategy'!$D$13,2&lt;4))),1,0),IF(AND(U466+V466-W466&gt;0,OR('Debt strategy'!$D$12&gt;'Debt strategy'!$D$13,AND('Debt strategy'!$D$12='Debt strategy'!$D$13,3&lt;4))),1,0)))</x:f>
        <x:v>99</x:v>
      </x:c>
      <x:c r="AE466" s="6" t="n">
        <x:f>IF('Debt strategy'!$C$16&gt;0,0,MIN(AA466+AB466-AC466,MAX(0,'Debt strategy'!$C$5-SUM(E466,K466,Q466,W466,AC466)-SUM(IF(F466&lt;AD466,C466+D466-E466,0),IF(L466&lt;AD466,I466+J466-K466,0),IF(R466&lt;AD466,O466+P466-Q466,0),IF(X466&lt;AD466,U466+V466-W466,0)))))</x:f>
        <x:v>0</x:v>
      </x:c>
      <x:c r="AF466" s="6" t="n">
        <x:f>ROUND(MAX(0,AA466+AB466-AC466-AE466),2)</x:f>
        <x:v>0</x:v>
      </x:c>
      <x:c r="AG466" s="6" t="n">
        <x:f>SUM(H466,N466,T466,Z466,AF466)</x:f>
        <x:v>0</x:v>
      </x:c>
      <x:c r="AH466" s="6" t="n">
        <x:f>SUM(D466,J466,P466,V466,AB466)+AH465</x:f>
        <x:v>1220.8400000000001</x:v>
      </x:c>
      <x:c r="AI466" s="2"/>
    </x:row>
    <x:row r="467" ht="23" customHeight="1">
      <x:c r="B467" s="2" t="n">
        <x:f>459</x:f>
        <x:v>459</x:v>
      </x:c>
      <x:c r="C467" s="6" t="n">
        <x:f>H466</x:f>
        <x:v>0</x:v>
      </x:c>
      <x:c r="D467" s="6" t="n">
        <x:f>ROUND(C467*'Debt strategy'!$D$9/12,2)</x:f>
        <x:v>0</x:v>
      </x:c>
      <x:c r="E467" s="6" t="n">
        <x:f>MIN(C467+D467,'Debt strategy'!$E$9)</x:f>
        <x:v>0</x:v>
      </x:c>
      <x:c r="F467" s="27" t="n">
        <x:f>IF(C467+D467-E467&lt;=0,99,1+SUM(IF(AND(I467+J467-K467&gt;0,OR('Debt strategy'!$D$10&gt;'Debt strategy'!$D$9,AND('Debt strategy'!$D$10='Debt strategy'!$D$9,1&lt;0))),1,0),IF(AND(O467+P467-Q467&gt;0,OR('Debt strategy'!$D$11&gt;'Debt strategy'!$D$9,AND('Debt strategy'!$D$11='Debt strategy'!$D$9,2&lt;0))),1,0),IF(AND(U467+V467-W467&gt;0,OR('Debt strategy'!$D$12&gt;'Debt strategy'!$D$9,AND('Debt strategy'!$D$12='Debt strategy'!$D$9,3&lt;0))),1,0),IF(AND(AA467+AB467-AC467&gt;0,OR('Debt strategy'!$D$13&gt;'Debt strategy'!$D$9,AND('Debt strategy'!$D$13='Debt strategy'!$D$9,4&lt;0))),1,0)))</x:f>
        <x:v>99</x:v>
      </x:c>
      <x:c r="G467" s="6" t="n">
        <x:f>IF('Debt strategy'!$C$16&gt;0,0,MIN(C467+D467-E467,MAX(0,'Debt strategy'!$C$5-SUM(E467,K467,Q467,W467,AC467)-SUM(IF(L467&lt;F467,I467+J467-K467,0),IF(R467&lt;F467,O467+P467-Q467,0),IF(X467&lt;F467,U467+V467-W467,0),IF(AD467&lt;F467,AA467+AB467-AC467,0)))))</x:f>
        <x:v>0</x:v>
      </x:c>
      <x:c r="H467" s="6" t="n">
        <x:f>ROUND(MAX(0,C467+D467-E467-G467),2)</x:f>
        <x:v>0</x:v>
      </x:c>
      <x:c r="I467" s="6" t="n">
        <x:f>N466</x:f>
        <x:v>0</x:v>
      </x:c>
      <x:c r="J467" s="6" t="n">
        <x:f>ROUND(I467*'Debt strategy'!$D$10/12,2)</x:f>
        <x:v>0</x:v>
      </x:c>
      <x:c r="K467" s="6" t="n">
        <x:f>MIN(I467+J467,'Debt strategy'!$E$10)</x:f>
        <x:v>0</x:v>
      </x:c>
      <x:c r="L467" s="27" t="n">
        <x:f>IF(I467+J467-K467&lt;=0,99,1+SUM(IF(AND(C467+D467-E467&gt;0,OR('Debt strategy'!$D$9&gt;'Debt strategy'!$D$10,AND('Debt strategy'!$D$9='Debt strategy'!$D$10,0&lt;1))),1,0),IF(AND(O467+P467-Q467&gt;0,OR('Debt strategy'!$D$11&gt;'Debt strategy'!$D$10,AND('Debt strategy'!$D$11='Debt strategy'!$D$10,2&lt;1))),1,0),IF(AND(U467+V467-W467&gt;0,OR('Debt strategy'!$D$12&gt;'Debt strategy'!$D$10,AND('Debt strategy'!$D$12='Debt strategy'!$D$10,3&lt;1))),1,0),IF(AND(AA467+AB467-AC467&gt;0,OR('Debt strategy'!$D$13&gt;'Debt strategy'!$D$10,AND('Debt strategy'!$D$13='Debt strategy'!$D$10,4&lt;1))),1,0)))</x:f>
        <x:v>99</x:v>
      </x:c>
      <x:c r="M467" s="6" t="n">
        <x:f>IF('Debt strategy'!$C$16&gt;0,0,MIN(I467+J467-K467,MAX(0,'Debt strategy'!$C$5-SUM(E467,K467,Q467,W467,AC467)-SUM(IF(F467&lt;L467,C467+D467-E467,0),IF(R467&lt;L467,O467+P467-Q467,0),IF(X467&lt;L467,U467+V467-W467,0),IF(AD467&lt;L467,AA467+AB467-AC467,0)))))</x:f>
        <x:v>0</x:v>
      </x:c>
      <x:c r="N467" s="6" t="n">
        <x:f>ROUND(MAX(0,I467+J467-K467-M467),2)</x:f>
        <x:v>0</x:v>
      </x:c>
      <x:c r="O467" s="6" t="n">
        <x:f>T466</x:f>
        <x:v>0</x:v>
      </x:c>
      <x:c r="P467" s="6" t="n">
        <x:f>ROUND(O467*'Debt strategy'!$D$11/12,2)</x:f>
        <x:v>0</x:v>
      </x:c>
      <x:c r="Q467" s="6" t="n">
        <x:f>MIN(O467+P467,'Debt strategy'!$E$11)</x:f>
        <x:v>0</x:v>
      </x:c>
      <x:c r="R467" s="27" t="n">
        <x:f>IF(O467+P467-Q467&lt;=0,99,1+SUM(IF(AND(C467+D467-E467&gt;0,OR('Debt strategy'!$D$9&gt;'Debt strategy'!$D$11,AND('Debt strategy'!$D$9='Debt strategy'!$D$11,0&lt;2))),1,0),IF(AND(I467+J467-K467&gt;0,OR('Debt strategy'!$D$10&gt;'Debt strategy'!$D$11,AND('Debt strategy'!$D$10='Debt strategy'!$D$11,1&lt;2))),1,0),IF(AND(U467+V467-W467&gt;0,OR('Debt strategy'!$D$12&gt;'Debt strategy'!$D$11,AND('Debt strategy'!$D$12='Debt strategy'!$D$11,3&lt;2))),1,0),IF(AND(AA467+AB467-AC467&gt;0,OR('Debt strategy'!$D$13&gt;'Debt strategy'!$D$11,AND('Debt strategy'!$D$13='Debt strategy'!$D$11,4&lt;2))),1,0)))</x:f>
        <x:v>99</x:v>
      </x:c>
      <x:c r="S467" s="6" t="n">
        <x:f>IF('Debt strategy'!$C$16&gt;0,0,MIN(O467+P467-Q467,MAX(0,'Debt strategy'!$C$5-SUM(E467,K467,Q467,W467,AC467)-SUM(IF(F467&lt;R467,C467+D467-E467,0),IF(L467&lt;R467,I467+J467-K467,0),IF(X467&lt;R467,U467+V467-W467,0),IF(AD467&lt;R467,AA467+AB467-AC467,0)))))</x:f>
        <x:v>0</x:v>
      </x:c>
      <x:c r="T467" s="6" t="n">
        <x:f>ROUND(MAX(0,O467+P467-Q467-S467),2)</x:f>
        <x:v>0</x:v>
      </x:c>
      <x:c r="U467" s="6" t="n">
        <x:f>Z466</x:f>
        <x:v>0</x:v>
      </x:c>
      <x:c r="V467" s="6" t="n">
        <x:f>ROUND(U467*'Debt strategy'!$D$12/12,2)</x:f>
        <x:v>0</x:v>
      </x:c>
      <x:c r="W467" s="6" t="n">
        <x:f>MIN(U467+V467,'Debt strategy'!$E$12)</x:f>
        <x:v>0</x:v>
      </x:c>
      <x:c r="X467" s="27" t="n">
        <x:f>IF(U467+V467-W467&lt;=0,99,1+SUM(IF(AND(C467+D467-E467&gt;0,OR('Debt strategy'!$D$9&gt;'Debt strategy'!$D$12,AND('Debt strategy'!$D$9='Debt strategy'!$D$12,0&lt;3))),1,0),IF(AND(I467+J467-K467&gt;0,OR('Debt strategy'!$D$10&gt;'Debt strategy'!$D$12,AND('Debt strategy'!$D$10='Debt strategy'!$D$12,1&lt;3))),1,0),IF(AND(O467+P467-Q467&gt;0,OR('Debt strategy'!$D$11&gt;'Debt strategy'!$D$12,AND('Debt strategy'!$D$11='Debt strategy'!$D$12,2&lt;3))),1,0),IF(AND(AA467+AB467-AC467&gt;0,OR('Debt strategy'!$D$13&gt;'Debt strategy'!$D$12,AND('Debt strategy'!$D$13='Debt strategy'!$D$12,4&lt;3))),1,0)))</x:f>
        <x:v>99</x:v>
      </x:c>
      <x:c r="Y467" s="6" t="n">
        <x:f>IF('Debt strategy'!$C$16&gt;0,0,MIN(U467+V467-W467,MAX(0,'Debt strategy'!$C$5-SUM(E467,K467,Q467,W467,AC467)-SUM(IF(F467&lt;X467,C467+D467-E467,0),IF(L467&lt;X467,I467+J467-K467,0),IF(R467&lt;X467,O467+P467-Q467,0),IF(AD467&lt;X467,AA467+AB467-AC467,0)))))</x:f>
        <x:v>0</x:v>
      </x:c>
      <x:c r="Z467" s="6" t="n">
        <x:f>ROUND(MAX(0,U467+V467-W467-Y467),2)</x:f>
        <x:v>0</x:v>
      </x:c>
      <x:c r="AA467" s="6" t="n">
        <x:f>AF466</x:f>
        <x:v>0</x:v>
      </x:c>
      <x:c r="AB467" s="6" t="n">
        <x:f>ROUND(AA467*'Debt strategy'!$D$13/12,2)</x:f>
        <x:v>0</x:v>
      </x:c>
      <x:c r="AC467" s="6" t="n">
        <x:f>MIN(AA467+AB467,'Debt strategy'!$E$13)</x:f>
        <x:v>0</x:v>
      </x:c>
      <x:c r="AD467" s="27" t="n">
        <x:f>IF(AA467+AB467-AC467&lt;=0,99,1+SUM(IF(AND(C467+D467-E467&gt;0,OR('Debt strategy'!$D$9&gt;'Debt strategy'!$D$13,AND('Debt strategy'!$D$9='Debt strategy'!$D$13,0&lt;4))),1,0),IF(AND(I467+J467-K467&gt;0,OR('Debt strategy'!$D$10&gt;'Debt strategy'!$D$13,AND('Debt strategy'!$D$10='Debt strategy'!$D$13,1&lt;4))),1,0),IF(AND(O467+P467-Q467&gt;0,OR('Debt strategy'!$D$11&gt;'Debt strategy'!$D$13,AND('Debt strategy'!$D$11='Debt strategy'!$D$13,2&lt;4))),1,0),IF(AND(U467+V467-W467&gt;0,OR('Debt strategy'!$D$12&gt;'Debt strategy'!$D$13,AND('Debt strategy'!$D$12='Debt strategy'!$D$13,3&lt;4))),1,0)))</x:f>
        <x:v>99</x:v>
      </x:c>
      <x:c r="AE467" s="6" t="n">
        <x:f>IF('Debt strategy'!$C$16&gt;0,0,MIN(AA467+AB467-AC467,MAX(0,'Debt strategy'!$C$5-SUM(E467,K467,Q467,W467,AC467)-SUM(IF(F467&lt;AD467,C467+D467-E467,0),IF(L467&lt;AD467,I467+J467-K467,0),IF(R467&lt;AD467,O467+P467-Q467,0),IF(X467&lt;AD467,U467+V467-W467,0)))))</x:f>
        <x:v>0</x:v>
      </x:c>
      <x:c r="AF467" s="6" t="n">
        <x:f>ROUND(MAX(0,AA467+AB467-AC467-AE467),2)</x:f>
        <x:v>0</x:v>
      </x:c>
      <x:c r="AG467" s="6" t="n">
        <x:f>SUM(H467,N467,T467,Z467,AF467)</x:f>
        <x:v>0</x:v>
      </x:c>
      <x:c r="AH467" s="6" t="n">
        <x:f>SUM(D467,J467,P467,V467,AB467)+AH466</x:f>
        <x:v>1220.8400000000001</x:v>
      </x:c>
      <x:c r="AI467" s="2"/>
    </x:row>
    <x:row r="468" ht="23" customHeight="1">
      <x:c r="B468" s="2" t="n">
        <x:f>460</x:f>
        <x:v>460</x:v>
      </x:c>
      <x:c r="C468" s="6" t="n">
        <x:f>H467</x:f>
        <x:v>0</x:v>
      </x:c>
      <x:c r="D468" s="6" t="n">
        <x:f>ROUND(C468*'Debt strategy'!$D$9/12,2)</x:f>
        <x:v>0</x:v>
      </x:c>
      <x:c r="E468" s="6" t="n">
        <x:f>MIN(C468+D468,'Debt strategy'!$E$9)</x:f>
        <x:v>0</x:v>
      </x:c>
      <x:c r="F468" s="27" t="n">
        <x:f>IF(C468+D468-E468&lt;=0,99,1+SUM(IF(AND(I468+J468-K468&gt;0,OR('Debt strategy'!$D$10&gt;'Debt strategy'!$D$9,AND('Debt strategy'!$D$10='Debt strategy'!$D$9,1&lt;0))),1,0),IF(AND(O468+P468-Q468&gt;0,OR('Debt strategy'!$D$11&gt;'Debt strategy'!$D$9,AND('Debt strategy'!$D$11='Debt strategy'!$D$9,2&lt;0))),1,0),IF(AND(U468+V468-W468&gt;0,OR('Debt strategy'!$D$12&gt;'Debt strategy'!$D$9,AND('Debt strategy'!$D$12='Debt strategy'!$D$9,3&lt;0))),1,0),IF(AND(AA468+AB468-AC468&gt;0,OR('Debt strategy'!$D$13&gt;'Debt strategy'!$D$9,AND('Debt strategy'!$D$13='Debt strategy'!$D$9,4&lt;0))),1,0)))</x:f>
        <x:v>99</x:v>
      </x:c>
      <x:c r="G468" s="6" t="n">
        <x:f>IF('Debt strategy'!$C$16&gt;0,0,MIN(C468+D468-E468,MAX(0,'Debt strategy'!$C$5-SUM(E468,K468,Q468,W468,AC468)-SUM(IF(L468&lt;F468,I468+J468-K468,0),IF(R468&lt;F468,O468+P468-Q468,0),IF(X468&lt;F468,U468+V468-W468,0),IF(AD468&lt;F468,AA468+AB468-AC468,0)))))</x:f>
        <x:v>0</x:v>
      </x:c>
      <x:c r="H468" s="6" t="n">
        <x:f>ROUND(MAX(0,C468+D468-E468-G468),2)</x:f>
        <x:v>0</x:v>
      </x:c>
      <x:c r="I468" s="6" t="n">
        <x:f>N467</x:f>
        <x:v>0</x:v>
      </x:c>
      <x:c r="J468" s="6" t="n">
        <x:f>ROUND(I468*'Debt strategy'!$D$10/12,2)</x:f>
        <x:v>0</x:v>
      </x:c>
      <x:c r="K468" s="6" t="n">
        <x:f>MIN(I468+J468,'Debt strategy'!$E$10)</x:f>
        <x:v>0</x:v>
      </x:c>
      <x:c r="L468" s="27" t="n">
        <x:f>IF(I468+J468-K468&lt;=0,99,1+SUM(IF(AND(C468+D468-E468&gt;0,OR('Debt strategy'!$D$9&gt;'Debt strategy'!$D$10,AND('Debt strategy'!$D$9='Debt strategy'!$D$10,0&lt;1))),1,0),IF(AND(O468+P468-Q468&gt;0,OR('Debt strategy'!$D$11&gt;'Debt strategy'!$D$10,AND('Debt strategy'!$D$11='Debt strategy'!$D$10,2&lt;1))),1,0),IF(AND(U468+V468-W468&gt;0,OR('Debt strategy'!$D$12&gt;'Debt strategy'!$D$10,AND('Debt strategy'!$D$12='Debt strategy'!$D$10,3&lt;1))),1,0),IF(AND(AA468+AB468-AC468&gt;0,OR('Debt strategy'!$D$13&gt;'Debt strategy'!$D$10,AND('Debt strategy'!$D$13='Debt strategy'!$D$10,4&lt;1))),1,0)))</x:f>
        <x:v>99</x:v>
      </x:c>
      <x:c r="M468" s="6" t="n">
        <x:f>IF('Debt strategy'!$C$16&gt;0,0,MIN(I468+J468-K468,MAX(0,'Debt strategy'!$C$5-SUM(E468,K468,Q468,W468,AC468)-SUM(IF(F468&lt;L468,C468+D468-E468,0),IF(R468&lt;L468,O468+P468-Q468,0),IF(X468&lt;L468,U468+V468-W468,0),IF(AD468&lt;L468,AA468+AB468-AC468,0)))))</x:f>
        <x:v>0</x:v>
      </x:c>
      <x:c r="N468" s="6" t="n">
        <x:f>ROUND(MAX(0,I468+J468-K468-M468),2)</x:f>
        <x:v>0</x:v>
      </x:c>
      <x:c r="O468" s="6" t="n">
        <x:f>T467</x:f>
        <x:v>0</x:v>
      </x:c>
      <x:c r="P468" s="6" t="n">
        <x:f>ROUND(O468*'Debt strategy'!$D$11/12,2)</x:f>
        <x:v>0</x:v>
      </x:c>
      <x:c r="Q468" s="6" t="n">
        <x:f>MIN(O468+P468,'Debt strategy'!$E$11)</x:f>
        <x:v>0</x:v>
      </x:c>
      <x:c r="R468" s="27" t="n">
        <x:f>IF(O468+P468-Q468&lt;=0,99,1+SUM(IF(AND(C468+D468-E468&gt;0,OR('Debt strategy'!$D$9&gt;'Debt strategy'!$D$11,AND('Debt strategy'!$D$9='Debt strategy'!$D$11,0&lt;2))),1,0),IF(AND(I468+J468-K468&gt;0,OR('Debt strategy'!$D$10&gt;'Debt strategy'!$D$11,AND('Debt strategy'!$D$10='Debt strategy'!$D$11,1&lt;2))),1,0),IF(AND(U468+V468-W468&gt;0,OR('Debt strategy'!$D$12&gt;'Debt strategy'!$D$11,AND('Debt strategy'!$D$12='Debt strategy'!$D$11,3&lt;2))),1,0),IF(AND(AA468+AB468-AC468&gt;0,OR('Debt strategy'!$D$13&gt;'Debt strategy'!$D$11,AND('Debt strategy'!$D$13='Debt strategy'!$D$11,4&lt;2))),1,0)))</x:f>
        <x:v>99</x:v>
      </x:c>
      <x:c r="S468" s="6" t="n">
        <x:f>IF('Debt strategy'!$C$16&gt;0,0,MIN(O468+P468-Q468,MAX(0,'Debt strategy'!$C$5-SUM(E468,K468,Q468,W468,AC468)-SUM(IF(F468&lt;R468,C468+D468-E468,0),IF(L468&lt;R468,I468+J468-K468,0),IF(X468&lt;R468,U468+V468-W468,0),IF(AD468&lt;R468,AA468+AB468-AC468,0)))))</x:f>
        <x:v>0</x:v>
      </x:c>
      <x:c r="T468" s="6" t="n">
        <x:f>ROUND(MAX(0,O468+P468-Q468-S468),2)</x:f>
        <x:v>0</x:v>
      </x:c>
      <x:c r="U468" s="6" t="n">
        <x:f>Z467</x:f>
        <x:v>0</x:v>
      </x:c>
      <x:c r="V468" s="6" t="n">
        <x:f>ROUND(U468*'Debt strategy'!$D$12/12,2)</x:f>
        <x:v>0</x:v>
      </x:c>
      <x:c r="W468" s="6" t="n">
        <x:f>MIN(U468+V468,'Debt strategy'!$E$12)</x:f>
        <x:v>0</x:v>
      </x:c>
      <x:c r="X468" s="27" t="n">
        <x:f>IF(U468+V468-W468&lt;=0,99,1+SUM(IF(AND(C468+D468-E468&gt;0,OR('Debt strategy'!$D$9&gt;'Debt strategy'!$D$12,AND('Debt strategy'!$D$9='Debt strategy'!$D$12,0&lt;3))),1,0),IF(AND(I468+J468-K468&gt;0,OR('Debt strategy'!$D$10&gt;'Debt strategy'!$D$12,AND('Debt strategy'!$D$10='Debt strategy'!$D$12,1&lt;3))),1,0),IF(AND(O468+P468-Q468&gt;0,OR('Debt strategy'!$D$11&gt;'Debt strategy'!$D$12,AND('Debt strategy'!$D$11='Debt strategy'!$D$12,2&lt;3))),1,0),IF(AND(AA468+AB468-AC468&gt;0,OR('Debt strategy'!$D$13&gt;'Debt strategy'!$D$12,AND('Debt strategy'!$D$13='Debt strategy'!$D$12,4&lt;3))),1,0)))</x:f>
        <x:v>99</x:v>
      </x:c>
      <x:c r="Y468" s="6" t="n">
        <x:f>IF('Debt strategy'!$C$16&gt;0,0,MIN(U468+V468-W468,MAX(0,'Debt strategy'!$C$5-SUM(E468,K468,Q468,W468,AC468)-SUM(IF(F468&lt;X468,C468+D468-E468,0),IF(L468&lt;X468,I468+J468-K468,0),IF(R468&lt;X468,O468+P468-Q468,0),IF(AD468&lt;X468,AA468+AB468-AC468,0)))))</x:f>
        <x:v>0</x:v>
      </x:c>
      <x:c r="Z468" s="6" t="n">
        <x:f>ROUND(MAX(0,U468+V468-W468-Y468),2)</x:f>
        <x:v>0</x:v>
      </x:c>
      <x:c r="AA468" s="6" t="n">
        <x:f>AF467</x:f>
        <x:v>0</x:v>
      </x:c>
      <x:c r="AB468" s="6" t="n">
        <x:f>ROUND(AA468*'Debt strategy'!$D$13/12,2)</x:f>
        <x:v>0</x:v>
      </x:c>
      <x:c r="AC468" s="6" t="n">
        <x:f>MIN(AA468+AB468,'Debt strategy'!$E$13)</x:f>
        <x:v>0</x:v>
      </x:c>
      <x:c r="AD468" s="27" t="n">
        <x:f>IF(AA468+AB468-AC468&lt;=0,99,1+SUM(IF(AND(C468+D468-E468&gt;0,OR('Debt strategy'!$D$9&gt;'Debt strategy'!$D$13,AND('Debt strategy'!$D$9='Debt strategy'!$D$13,0&lt;4))),1,0),IF(AND(I468+J468-K468&gt;0,OR('Debt strategy'!$D$10&gt;'Debt strategy'!$D$13,AND('Debt strategy'!$D$10='Debt strategy'!$D$13,1&lt;4))),1,0),IF(AND(O468+P468-Q468&gt;0,OR('Debt strategy'!$D$11&gt;'Debt strategy'!$D$13,AND('Debt strategy'!$D$11='Debt strategy'!$D$13,2&lt;4))),1,0),IF(AND(U468+V468-W468&gt;0,OR('Debt strategy'!$D$12&gt;'Debt strategy'!$D$13,AND('Debt strategy'!$D$12='Debt strategy'!$D$13,3&lt;4))),1,0)))</x:f>
        <x:v>99</x:v>
      </x:c>
      <x:c r="AE468" s="6" t="n">
        <x:f>IF('Debt strategy'!$C$16&gt;0,0,MIN(AA468+AB468-AC468,MAX(0,'Debt strategy'!$C$5-SUM(E468,K468,Q468,W468,AC468)-SUM(IF(F468&lt;AD468,C468+D468-E468,0),IF(L468&lt;AD468,I468+J468-K468,0),IF(R468&lt;AD468,O468+P468-Q468,0),IF(X468&lt;AD468,U468+V468-W468,0)))))</x:f>
        <x:v>0</x:v>
      </x:c>
      <x:c r="AF468" s="6" t="n">
        <x:f>ROUND(MAX(0,AA468+AB468-AC468-AE468),2)</x:f>
        <x:v>0</x:v>
      </x:c>
      <x:c r="AG468" s="6" t="n">
        <x:f>SUM(H468,N468,T468,Z468,AF468)</x:f>
        <x:v>0</x:v>
      </x:c>
      <x:c r="AH468" s="6" t="n">
        <x:f>SUM(D468,J468,P468,V468,AB468)+AH467</x:f>
        <x:v>1220.8400000000001</x:v>
      </x:c>
      <x:c r="AI468" s="2"/>
    </x:row>
    <x:row r="469" ht="23" customHeight="1">
      <x:c r="B469" s="2" t="n">
        <x:f>461</x:f>
        <x:v>461</x:v>
      </x:c>
      <x:c r="C469" s="6" t="n">
        <x:f>H468</x:f>
        <x:v>0</x:v>
      </x:c>
      <x:c r="D469" s="6" t="n">
        <x:f>ROUND(C469*'Debt strategy'!$D$9/12,2)</x:f>
        <x:v>0</x:v>
      </x:c>
      <x:c r="E469" s="6" t="n">
        <x:f>MIN(C469+D469,'Debt strategy'!$E$9)</x:f>
        <x:v>0</x:v>
      </x:c>
      <x:c r="F469" s="27" t="n">
        <x:f>IF(C469+D469-E469&lt;=0,99,1+SUM(IF(AND(I469+J469-K469&gt;0,OR('Debt strategy'!$D$10&gt;'Debt strategy'!$D$9,AND('Debt strategy'!$D$10='Debt strategy'!$D$9,1&lt;0))),1,0),IF(AND(O469+P469-Q469&gt;0,OR('Debt strategy'!$D$11&gt;'Debt strategy'!$D$9,AND('Debt strategy'!$D$11='Debt strategy'!$D$9,2&lt;0))),1,0),IF(AND(U469+V469-W469&gt;0,OR('Debt strategy'!$D$12&gt;'Debt strategy'!$D$9,AND('Debt strategy'!$D$12='Debt strategy'!$D$9,3&lt;0))),1,0),IF(AND(AA469+AB469-AC469&gt;0,OR('Debt strategy'!$D$13&gt;'Debt strategy'!$D$9,AND('Debt strategy'!$D$13='Debt strategy'!$D$9,4&lt;0))),1,0)))</x:f>
        <x:v>99</x:v>
      </x:c>
      <x:c r="G469" s="6" t="n">
        <x:f>IF('Debt strategy'!$C$16&gt;0,0,MIN(C469+D469-E469,MAX(0,'Debt strategy'!$C$5-SUM(E469,K469,Q469,W469,AC469)-SUM(IF(L469&lt;F469,I469+J469-K469,0),IF(R469&lt;F469,O469+P469-Q469,0),IF(X469&lt;F469,U469+V469-W469,0),IF(AD469&lt;F469,AA469+AB469-AC469,0)))))</x:f>
        <x:v>0</x:v>
      </x:c>
      <x:c r="H469" s="6" t="n">
        <x:f>ROUND(MAX(0,C469+D469-E469-G469),2)</x:f>
        <x:v>0</x:v>
      </x:c>
      <x:c r="I469" s="6" t="n">
        <x:f>N468</x:f>
        <x:v>0</x:v>
      </x:c>
      <x:c r="J469" s="6" t="n">
        <x:f>ROUND(I469*'Debt strategy'!$D$10/12,2)</x:f>
        <x:v>0</x:v>
      </x:c>
      <x:c r="K469" s="6" t="n">
        <x:f>MIN(I469+J469,'Debt strategy'!$E$10)</x:f>
        <x:v>0</x:v>
      </x:c>
      <x:c r="L469" s="27" t="n">
        <x:f>IF(I469+J469-K469&lt;=0,99,1+SUM(IF(AND(C469+D469-E469&gt;0,OR('Debt strategy'!$D$9&gt;'Debt strategy'!$D$10,AND('Debt strategy'!$D$9='Debt strategy'!$D$10,0&lt;1))),1,0),IF(AND(O469+P469-Q469&gt;0,OR('Debt strategy'!$D$11&gt;'Debt strategy'!$D$10,AND('Debt strategy'!$D$11='Debt strategy'!$D$10,2&lt;1))),1,0),IF(AND(U469+V469-W469&gt;0,OR('Debt strategy'!$D$12&gt;'Debt strategy'!$D$10,AND('Debt strategy'!$D$12='Debt strategy'!$D$10,3&lt;1))),1,0),IF(AND(AA469+AB469-AC469&gt;0,OR('Debt strategy'!$D$13&gt;'Debt strategy'!$D$10,AND('Debt strategy'!$D$13='Debt strategy'!$D$10,4&lt;1))),1,0)))</x:f>
        <x:v>99</x:v>
      </x:c>
      <x:c r="M469" s="6" t="n">
        <x:f>IF('Debt strategy'!$C$16&gt;0,0,MIN(I469+J469-K469,MAX(0,'Debt strategy'!$C$5-SUM(E469,K469,Q469,W469,AC469)-SUM(IF(F469&lt;L469,C469+D469-E469,0),IF(R469&lt;L469,O469+P469-Q469,0),IF(X469&lt;L469,U469+V469-W469,0),IF(AD469&lt;L469,AA469+AB469-AC469,0)))))</x:f>
        <x:v>0</x:v>
      </x:c>
      <x:c r="N469" s="6" t="n">
        <x:f>ROUND(MAX(0,I469+J469-K469-M469),2)</x:f>
        <x:v>0</x:v>
      </x:c>
      <x:c r="O469" s="6" t="n">
        <x:f>T468</x:f>
        <x:v>0</x:v>
      </x:c>
      <x:c r="P469" s="6" t="n">
        <x:f>ROUND(O469*'Debt strategy'!$D$11/12,2)</x:f>
        <x:v>0</x:v>
      </x:c>
      <x:c r="Q469" s="6" t="n">
        <x:f>MIN(O469+P469,'Debt strategy'!$E$11)</x:f>
        <x:v>0</x:v>
      </x:c>
      <x:c r="R469" s="27" t="n">
        <x:f>IF(O469+P469-Q469&lt;=0,99,1+SUM(IF(AND(C469+D469-E469&gt;0,OR('Debt strategy'!$D$9&gt;'Debt strategy'!$D$11,AND('Debt strategy'!$D$9='Debt strategy'!$D$11,0&lt;2))),1,0),IF(AND(I469+J469-K469&gt;0,OR('Debt strategy'!$D$10&gt;'Debt strategy'!$D$11,AND('Debt strategy'!$D$10='Debt strategy'!$D$11,1&lt;2))),1,0),IF(AND(U469+V469-W469&gt;0,OR('Debt strategy'!$D$12&gt;'Debt strategy'!$D$11,AND('Debt strategy'!$D$12='Debt strategy'!$D$11,3&lt;2))),1,0),IF(AND(AA469+AB469-AC469&gt;0,OR('Debt strategy'!$D$13&gt;'Debt strategy'!$D$11,AND('Debt strategy'!$D$13='Debt strategy'!$D$11,4&lt;2))),1,0)))</x:f>
        <x:v>99</x:v>
      </x:c>
      <x:c r="S469" s="6" t="n">
        <x:f>IF('Debt strategy'!$C$16&gt;0,0,MIN(O469+P469-Q469,MAX(0,'Debt strategy'!$C$5-SUM(E469,K469,Q469,W469,AC469)-SUM(IF(F469&lt;R469,C469+D469-E469,0),IF(L469&lt;R469,I469+J469-K469,0),IF(X469&lt;R469,U469+V469-W469,0),IF(AD469&lt;R469,AA469+AB469-AC469,0)))))</x:f>
        <x:v>0</x:v>
      </x:c>
      <x:c r="T469" s="6" t="n">
        <x:f>ROUND(MAX(0,O469+P469-Q469-S469),2)</x:f>
        <x:v>0</x:v>
      </x:c>
      <x:c r="U469" s="6" t="n">
        <x:f>Z468</x:f>
        <x:v>0</x:v>
      </x:c>
      <x:c r="V469" s="6" t="n">
        <x:f>ROUND(U469*'Debt strategy'!$D$12/12,2)</x:f>
        <x:v>0</x:v>
      </x:c>
      <x:c r="W469" s="6" t="n">
        <x:f>MIN(U469+V469,'Debt strategy'!$E$12)</x:f>
        <x:v>0</x:v>
      </x:c>
      <x:c r="X469" s="27" t="n">
        <x:f>IF(U469+V469-W469&lt;=0,99,1+SUM(IF(AND(C469+D469-E469&gt;0,OR('Debt strategy'!$D$9&gt;'Debt strategy'!$D$12,AND('Debt strategy'!$D$9='Debt strategy'!$D$12,0&lt;3))),1,0),IF(AND(I469+J469-K469&gt;0,OR('Debt strategy'!$D$10&gt;'Debt strategy'!$D$12,AND('Debt strategy'!$D$10='Debt strategy'!$D$12,1&lt;3))),1,0),IF(AND(O469+P469-Q469&gt;0,OR('Debt strategy'!$D$11&gt;'Debt strategy'!$D$12,AND('Debt strategy'!$D$11='Debt strategy'!$D$12,2&lt;3))),1,0),IF(AND(AA469+AB469-AC469&gt;0,OR('Debt strategy'!$D$13&gt;'Debt strategy'!$D$12,AND('Debt strategy'!$D$13='Debt strategy'!$D$12,4&lt;3))),1,0)))</x:f>
        <x:v>99</x:v>
      </x:c>
      <x:c r="Y469" s="6" t="n">
        <x:f>IF('Debt strategy'!$C$16&gt;0,0,MIN(U469+V469-W469,MAX(0,'Debt strategy'!$C$5-SUM(E469,K469,Q469,W469,AC469)-SUM(IF(F469&lt;X469,C469+D469-E469,0),IF(L469&lt;X469,I469+J469-K469,0),IF(R469&lt;X469,O469+P469-Q469,0),IF(AD469&lt;X469,AA469+AB469-AC469,0)))))</x:f>
        <x:v>0</x:v>
      </x:c>
      <x:c r="Z469" s="6" t="n">
        <x:f>ROUND(MAX(0,U469+V469-W469-Y469),2)</x:f>
        <x:v>0</x:v>
      </x:c>
      <x:c r="AA469" s="6" t="n">
        <x:f>AF468</x:f>
        <x:v>0</x:v>
      </x:c>
      <x:c r="AB469" s="6" t="n">
        <x:f>ROUND(AA469*'Debt strategy'!$D$13/12,2)</x:f>
        <x:v>0</x:v>
      </x:c>
      <x:c r="AC469" s="6" t="n">
        <x:f>MIN(AA469+AB469,'Debt strategy'!$E$13)</x:f>
        <x:v>0</x:v>
      </x:c>
      <x:c r="AD469" s="27" t="n">
        <x:f>IF(AA469+AB469-AC469&lt;=0,99,1+SUM(IF(AND(C469+D469-E469&gt;0,OR('Debt strategy'!$D$9&gt;'Debt strategy'!$D$13,AND('Debt strategy'!$D$9='Debt strategy'!$D$13,0&lt;4))),1,0),IF(AND(I469+J469-K469&gt;0,OR('Debt strategy'!$D$10&gt;'Debt strategy'!$D$13,AND('Debt strategy'!$D$10='Debt strategy'!$D$13,1&lt;4))),1,0),IF(AND(O469+P469-Q469&gt;0,OR('Debt strategy'!$D$11&gt;'Debt strategy'!$D$13,AND('Debt strategy'!$D$11='Debt strategy'!$D$13,2&lt;4))),1,0),IF(AND(U469+V469-W469&gt;0,OR('Debt strategy'!$D$12&gt;'Debt strategy'!$D$13,AND('Debt strategy'!$D$12='Debt strategy'!$D$13,3&lt;4))),1,0)))</x:f>
        <x:v>99</x:v>
      </x:c>
      <x:c r="AE469" s="6" t="n">
        <x:f>IF('Debt strategy'!$C$16&gt;0,0,MIN(AA469+AB469-AC469,MAX(0,'Debt strategy'!$C$5-SUM(E469,K469,Q469,W469,AC469)-SUM(IF(F469&lt;AD469,C469+D469-E469,0),IF(L469&lt;AD469,I469+J469-K469,0),IF(R469&lt;AD469,O469+P469-Q469,0),IF(X469&lt;AD469,U469+V469-W469,0)))))</x:f>
        <x:v>0</x:v>
      </x:c>
      <x:c r="AF469" s="6" t="n">
        <x:f>ROUND(MAX(0,AA469+AB469-AC469-AE469),2)</x:f>
        <x:v>0</x:v>
      </x:c>
      <x:c r="AG469" s="6" t="n">
        <x:f>SUM(H469,N469,T469,Z469,AF469)</x:f>
        <x:v>0</x:v>
      </x:c>
      <x:c r="AH469" s="6" t="n">
        <x:f>SUM(D469,J469,P469,V469,AB469)+AH468</x:f>
        <x:v>1220.8400000000001</x:v>
      </x:c>
      <x:c r="AI469" s="2"/>
    </x:row>
    <x:row r="470" ht="23" customHeight="1">
      <x:c r="B470" s="2" t="n">
        <x:f>462</x:f>
        <x:v>462</x:v>
      </x:c>
      <x:c r="C470" s="6" t="n">
        <x:f>H469</x:f>
        <x:v>0</x:v>
      </x:c>
      <x:c r="D470" s="6" t="n">
        <x:f>ROUND(C470*'Debt strategy'!$D$9/12,2)</x:f>
        <x:v>0</x:v>
      </x:c>
      <x:c r="E470" s="6" t="n">
        <x:f>MIN(C470+D470,'Debt strategy'!$E$9)</x:f>
        <x:v>0</x:v>
      </x:c>
      <x:c r="F470" s="27" t="n">
        <x:f>IF(C470+D470-E470&lt;=0,99,1+SUM(IF(AND(I470+J470-K470&gt;0,OR('Debt strategy'!$D$10&gt;'Debt strategy'!$D$9,AND('Debt strategy'!$D$10='Debt strategy'!$D$9,1&lt;0))),1,0),IF(AND(O470+P470-Q470&gt;0,OR('Debt strategy'!$D$11&gt;'Debt strategy'!$D$9,AND('Debt strategy'!$D$11='Debt strategy'!$D$9,2&lt;0))),1,0),IF(AND(U470+V470-W470&gt;0,OR('Debt strategy'!$D$12&gt;'Debt strategy'!$D$9,AND('Debt strategy'!$D$12='Debt strategy'!$D$9,3&lt;0))),1,0),IF(AND(AA470+AB470-AC470&gt;0,OR('Debt strategy'!$D$13&gt;'Debt strategy'!$D$9,AND('Debt strategy'!$D$13='Debt strategy'!$D$9,4&lt;0))),1,0)))</x:f>
        <x:v>99</x:v>
      </x:c>
      <x:c r="G470" s="6" t="n">
        <x:f>IF('Debt strategy'!$C$16&gt;0,0,MIN(C470+D470-E470,MAX(0,'Debt strategy'!$C$5-SUM(E470,K470,Q470,W470,AC470)-SUM(IF(L470&lt;F470,I470+J470-K470,0),IF(R470&lt;F470,O470+P470-Q470,0),IF(X470&lt;F470,U470+V470-W470,0),IF(AD470&lt;F470,AA470+AB470-AC470,0)))))</x:f>
        <x:v>0</x:v>
      </x:c>
      <x:c r="H470" s="6" t="n">
        <x:f>ROUND(MAX(0,C470+D470-E470-G470),2)</x:f>
        <x:v>0</x:v>
      </x:c>
      <x:c r="I470" s="6" t="n">
        <x:f>N469</x:f>
        <x:v>0</x:v>
      </x:c>
      <x:c r="J470" s="6" t="n">
        <x:f>ROUND(I470*'Debt strategy'!$D$10/12,2)</x:f>
        <x:v>0</x:v>
      </x:c>
      <x:c r="K470" s="6" t="n">
        <x:f>MIN(I470+J470,'Debt strategy'!$E$10)</x:f>
        <x:v>0</x:v>
      </x:c>
      <x:c r="L470" s="27" t="n">
        <x:f>IF(I470+J470-K470&lt;=0,99,1+SUM(IF(AND(C470+D470-E470&gt;0,OR('Debt strategy'!$D$9&gt;'Debt strategy'!$D$10,AND('Debt strategy'!$D$9='Debt strategy'!$D$10,0&lt;1))),1,0),IF(AND(O470+P470-Q470&gt;0,OR('Debt strategy'!$D$11&gt;'Debt strategy'!$D$10,AND('Debt strategy'!$D$11='Debt strategy'!$D$10,2&lt;1))),1,0),IF(AND(U470+V470-W470&gt;0,OR('Debt strategy'!$D$12&gt;'Debt strategy'!$D$10,AND('Debt strategy'!$D$12='Debt strategy'!$D$10,3&lt;1))),1,0),IF(AND(AA470+AB470-AC470&gt;0,OR('Debt strategy'!$D$13&gt;'Debt strategy'!$D$10,AND('Debt strategy'!$D$13='Debt strategy'!$D$10,4&lt;1))),1,0)))</x:f>
        <x:v>99</x:v>
      </x:c>
      <x:c r="M470" s="6" t="n">
        <x:f>IF('Debt strategy'!$C$16&gt;0,0,MIN(I470+J470-K470,MAX(0,'Debt strategy'!$C$5-SUM(E470,K470,Q470,W470,AC470)-SUM(IF(F470&lt;L470,C470+D470-E470,0),IF(R470&lt;L470,O470+P470-Q470,0),IF(X470&lt;L470,U470+V470-W470,0),IF(AD470&lt;L470,AA470+AB470-AC470,0)))))</x:f>
        <x:v>0</x:v>
      </x:c>
      <x:c r="N470" s="6" t="n">
        <x:f>ROUND(MAX(0,I470+J470-K470-M470),2)</x:f>
        <x:v>0</x:v>
      </x:c>
      <x:c r="O470" s="6" t="n">
        <x:f>T469</x:f>
        <x:v>0</x:v>
      </x:c>
      <x:c r="P470" s="6" t="n">
        <x:f>ROUND(O470*'Debt strategy'!$D$11/12,2)</x:f>
        <x:v>0</x:v>
      </x:c>
      <x:c r="Q470" s="6" t="n">
        <x:f>MIN(O470+P470,'Debt strategy'!$E$11)</x:f>
        <x:v>0</x:v>
      </x:c>
      <x:c r="R470" s="27" t="n">
        <x:f>IF(O470+P470-Q470&lt;=0,99,1+SUM(IF(AND(C470+D470-E470&gt;0,OR('Debt strategy'!$D$9&gt;'Debt strategy'!$D$11,AND('Debt strategy'!$D$9='Debt strategy'!$D$11,0&lt;2))),1,0),IF(AND(I470+J470-K470&gt;0,OR('Debt strategy'!$D$10&gt;'Debt strategy'!$D$11,AND('Debt strategy'!$D$10='Debt strategy'!$D$11,1&lt;2))),1,0),IF(AND(U470+V470-W470&gt;0,OR('Debt strategy'!$D$12&gt;'Debt strategy'!$D$11,AND('Debt strategy'!$D$12='Debt strategy'!$D$11,3&lt;2))),1,0),IF(AND(AA470+AB470-AC470&gt;0,OR('Debt strategy'!$D$13&gt;'Debt strategy'!$D$11,AND('Debt strategy'!$D$13='Debt strategy'!$D$11,4&lt;2))),1,0)))</x:f>
        <x:v>99</x:v>
      </x:c>
      <x:c r="S470" s="6" t="n">
        <x:f>IF('Debt strategy'!$C$16&gt;0,0,MIN(O470+P470-Q470,MAX(0,'Debt strategy'!$C$5-SUM(E470,K470,Q470,W470,AC470)-SUM(IF(F470&lt;R470,C470+D470-E470,0),IF(L470&lt;R470,I470+J470-K470,0),IF(X470&lt;R470,U470+V470-W470,0),IF(AD470&lt;R470,AA470+AB470-AC470,0)))))</x:f>
        <x:v>0</x:v>
      </x:c>
      <x:c r="T470" s="6" t="n">
        <x:f>ROUND(MAX(0,O470+P470-Q470-S470),2)</x:f>
        <x:v>0</x:v>
      </x:c>
      <x:c r="U470" s="6" t="n">
        <x:f>Z469</x:f>
        <x:v>0</x:v>
      </x:c>
      <x:c r="V470" s="6" t="n">
        <x:f>ROUND(U470*'Debt strategy'!$D$12/12,2)</x:f>
        <x:v>0</x:v>
      </x:c>
      <x:c r="W470" s="6" t="n">
        <x:f>MIN(U470+V470,'Debt strategy'!$E$12)</x:f>
        <x:v>0</x:v>
      </x:c>
      <x:c r="X470" s="27" t="n">
        <x:f>IF(U470+V470-W470&lt;=0,99,1+SUM(IF(AND(C470+D470-E470&gt;0,OR('Debt strategy'!$D$9&gt;'Debt strategy'!$D$12,AND('Debt strategy'!$D$9='Debt strategy'!$D$12,0&lt;3))),1,0),IF(AND(I470+J470-K470&gt;0,OR('Debt strategy'!$D$10&gt;'Debt strategy'!$D$12,AND('Debt strategy'!$D$10='Debt strategy'!$D$12,1&lt;3))),1,0),IF(AND(O470+P470-Q470&gt;0,OR('Debt strategy'!$D$11&gt;'Debt strategy'!$D$12,AND('Debt strategy'!$D$11='Debt strategy'!$D$12,2&lt;3))),1,0),IF(AND(AA470+AB470-AC470&gt;0,OR('Debt strategy'!$D$13&gt;'Debt strategy'!$D$12,AND('Debt strategy'!$D$13='Debt strategy'!$D$12,4&lt;3))),1,0)))</x:f>
        <x:v>99</x:v>
      </x:c>
      <x:c r="Y470" s="6" t="n">
        <x:f>IF('Debt strategy'!$C$16&gt;0,0,MIN(U470+V470-W470,MAX(0,'Debt strategy'!$C$5-SUM(E470,K470,Q470,W470,AC470)-SUM(IF(F470&lt;X470,C470+D470-E470,0),IF(L470&lt;X470,I470+J470-K470,0),IF(R470&lt;X470,O470+P470-Q470,0),IF(AD470&lt;X470,AA470+AB470-AC470,0)))))</x:f>
        <x:v>0</x:v>
      </x:c>
      <x:c r="Z470" s="6" t="n">
        <x:f>ROUND(MAX(0,U470+V470-W470-Y470),2)</x:f>
        <x:v>0</x:v>
      </x:c>
      <x:c r="AA470" s="6" t="n">
        <x:f>AF469</x:f>
        <x:v>0</x:v>
      </x:c>
      <x:c r="AB470" s="6" t="n">
        <x:f>ROUND(AA470*'Debt strategy'!$D$13/12,2)</x:f>
        <x:v>0</x:v>
      </x:c>
      <x:c r="AC470" s="6" t="n">
        <x:f>MIN(AA470+AB470,'Debt strategy'!$E$13)</x:f>
        <x:v>0</x:v>
      </x:c>
      <x:c r="AD470" s="27" t="n">
        <x:f>IF(AA470+AB470-AC470&lt;=0,99,1+SUM(IF(AND(C470+D470-E470&gt;0,OR('Debt strategy'!$D$9&gt;'Debt strategy'!$D$13,AND('Debt strategy'!$D$9='Debt strategy'!$D$13,0&lt;4))),1,0),IF(AND(I470+J470-K470&gt;0,OR('Debt strategy'!$D$10&gt;'Debt strategy'!$D$13,AND('Debt strategy'!$D$10='Debt strategy'!$D$13,1&lt;4))),1,0),IF(AND(O470+P470-Q470&gt;0,OR('Debt strategy'!$D$11&gt;'Debt strategy'!$D$13,AND('Debt strategy'!$D$11='Debt strategy'!$D$13,2&lt;4))),1,0),IF(AND(U470+V470-W470&gt;0,OR('Debt strategy'!$D$12&gt;'Debt strategy'!$D$13,AND('Debt strategy'!$D$12='Debt strategy'!$D$13,3&lt;4))),1,0)))</x:f>
        <x:v>99</x:v>
      </x:c>
      <x:c r="AE470" s="6" t="n">
        <x:f>IF('Debt strategy'!$C$16&gt;0,0,MIN(AA470+AB470-AC470,MAX(0,'Debt strategy'!$C$5-SUM(E470,K470,Q470,W470,AC470)-SUM(IF(F470&lt;AD470,C470+D470-E470,0),IF(L470&lt;AD470,I470+J470-K470,0),IF(R470&lt;AD470,O470+P470-Q470,0),IF(X470&lt;AD470,U470+V470-W470,0)))))</x:f>
        <x:v>0</x:v>
      </x:c>
      <x:c r="AF470" s="6" t="n">
        <x:f>ROUND(MAX(0,AA470+AB470-AC470-AE470),2)</x:f>
        <x:v>0</x:v>
      </x:c>
      <x:c r="AG470" s="6" t="n">
        <x:f>SUM(H470,N470,T470,Z470,AF470)</x:f>
        <x:v>0</x:v>
      </x:c>
      <x:c r="AH470" s="6" t="n">
        <x:f>SUM(D470,J470,P470,V470,AB470)+AH469</x:f>
        <x:v>1220.8400000000001</x:v>
      </x:c>
      <x:c r="AI470" s="2"/>
    </x:row>
    <x:row r="471" ht="23" customHeight="1">
      <x:c r="B471" s="2" t="n">
        <x:f>463</x:f>
        <x:v>463</x:v>
      </x:c>
      <x:c r="C471" s="6" t="n">
        <x:f>H470</x:f>
        <x:v>0</x:v>
      </x:c>
      <x:c r="D471" s="6" t="n">
        <x:f>ROUND(C471*'Debt strategy'!$D$9/12,2)</x:f>
        <x:v>0</x:v>
      </x:c>
      <x:c r="E471" s="6" t="n">
        <x:f>MIN(C471+D471,'Debt strategy'!$E$9)</x:f>
        <x:v>0</x:v>
      </x:c>
      <x:c r="F471" s="27" t="n">
        <x:f>IF(C471+D471-E471&lt;=0,99,1+SUM(IF(AND(I471+J471-K471&gt;0,OR('Debt strategy'!$D$10&gt;'Debt strategy'!$D$9,AND('Debt strategy'!$D$10='Debt strategy'!$D$9,1&lt;0))),1,0),IF(AND(O471+P471-Q471&gt;0,OR('Debt strategy'!$D$11&gt;'Debt strategy'!$D$9,AND('Debt strategy'!$D$11='Debt strategy'!$D$9,2&lt;0))),1,0),IF(AND(U471+V471-W471&gt;0,OR('Debt strategy'!$D$12&gt;'Debt strategy'!$D$9,AND('Debt strategy'!$D$12='Debt strategy'!$D$9,3&lt;0))),1,0),IF(AND(AA471+AB471-AC471&gt;0,OR('Debt strategy'!$D$13&gt;'Debt strategy'!$D$9,AND('Debt strategy'!$D$13='Debt strategy'!$D$9,4&lt;0))),1,0)))</x:f>
        <x:v>99</x:v>
      </x:c>
      <x:c r="G471" s="6" t="n">
        <x:f>IF('Debt strategy'!$C$16&gt;0,0,MIN(C471+D471-E471,MAX(0,'Debt strategy'!$C$5-SUM(E471,K471,Q471,W471,AC471)-SUM(IF(L471&lt;F471,I471+J471-K471,0),IF(R471&lt;F471,O471+P471-Q471,0),IF(X471&lt;F471,U471+V471-W471,0),IF(AD471&lt;F471,AA471+AB471-AC471,0)))))</x:f>
        <x:v>0</x:v>
      </x:c>
      <x:c r="H471" s="6" t="n">
        <x:f>ROUND(MAX(0,C471+D471-E471-G471),2)</x:f>
        <x:v>0</x:v>
      </x:c>
      <x:c r="I471" s="6" t="n">
        <x:f>N470</x:f>
        <x:v>0</x:v>
      </x:c>
      <x:c r="J471" s="6" t="n">
        <x:f>ROUND(I471*'Debt strategy'!$D$10/12,2)</x:f>
        <x:v>0</x:v>
      </x:c>
      <x:c r="K471" s="6" t="n">
        <x:f>MIN(I471+J471,'Debt strategy'!$E$10)</x:f>
        <x:v>0</x:v>
      </x:c>
      <x:c r="L471" s="27" t="n">
        <x:f>IF(I471+J471-K471&lt;=0,99,1+SUM(IF(AND(C471+D471-E471&gt;0,OR('Debt strategy'!$D$9&gt;'Debt strategy'!$D$10,AND('Debt strategy'!$D$9='Debt strategy'!$D$10,0&lt;1))),1,0),IF(AND(O471+P471-Q471&gt;0,OR('Debt strategy'!$D$11&gt;'Debt strategy'!$D$10,AND('Debt strategy'!$D$11='Debt strategy'!$D$10,2&lt;1))),1,0),IF(AND(U471+V471-W471&gt;0,OR('Debt strategy'!$D$12&gt;'Debt strategy'!$D$10,AND('Debt strategy'!$D$12='Debt strategy'!$D$10,3&lt;1))),1,0),IF(AND(AA471+AB471-AC471&gt;0,OR('Debt strategy'!$D$13&gt;'Debt strategy'!$D$10,AND('Debt strategy'!$D$13='Debt strategy'!$D$10,4&lt;1))),1,0)))</x:f>
        <x:v>99</x:v>
      </x:c>
      <x:c r="M471" s="6" t="n">
        <x:f>IF('Debt strategy'!$C$16&gt;0,0,MIN(I471+J471-K471,MAX(0,'Debt strategy'!$C$5-SUM(E471,K471,Q471,W471,AC471)-SUM(IF(F471&lt;L471,C471+D471-E471,0),IF(R471&lt;L471,O471+P471-Q471,0),IF(X471&lt;L471,U471+V471-W471,0),IF(AD471&lt;L471,AA471+AB471-AC471,0)))))</x:f>
        <x:v>0</x:v>
      </x:c>
      <x:c r="N471" s="6" t="n">
        <x:f>ROUND(MAX(0,I471+J471-K471-M471),2)</x:f>
        <x:v>0</x:v>
      </x:c>
      <x:c r="O471" s="6" t="n">
        <x:f>T470</x:f>
        <x:v>0</x:v>
      </x:c>
      <x:c r="P471" s="6" t="n">
        <x:f>ROUND(O471*'Debt strategy'!$D$11/12,2)</x:f>
        <x:v>0</x:v>
      </x:c>
      <x:c r="Q471" s="6" t="n">
        <x:f>MIN(O471+P471,'Debt strategy'!$E$11)</x:f>
        <x:v>0</x:v>
      </x:c>
      <x:c r="R471" s="27" t="n">
        <x:f>IF(O471+P471-Q471&lt;=0,99,1+SUM(IF(AND(C471+D471-E471&gt;0,OR('Debt strategy'!$D$9&gt;'Debt strategy'!$D$11,AND('Debt strategy'!$D$9='Debt strategy'!$D$11,0&lt;2))),1,0),IF(AND(I471+J471-K471&gt;0,OR('Debt strategy'!$D$10&gt;'Debt strategy'!$D$11,AND('Debt strategy'!$D$10='Debt strategy'!$D$11,1&lt;2))),1,0),IF(AND(U471+V471-W471&gt;0,OR('Debt strategy'!$D$12&gt;'Debt strategy'!$D$11,AND('Debt strategy'!$D$12='Debt strategy'!$D$11,3&lt;2))),1,0),IF(AND(AA471+AB471-AC471&gt;0,OR('Debt strategy'!$D$13&gt;'Debt strategy'!$D$11,AND('Debt strategy'!$D$13='Debt strategy'!$D$11,4&lt;2))),1,0)))</x:f>
        <x:v>99</x:v>
      </x:c>
      <x:c r="S471" s="6" t="n">
        <x:f>IF('Debt strategy'!$C$16&gt;0,0,MIN(O471+P471-Q471,MAX(0,'Debt strategy'!$C$5-SUM(E471,K471,Q471,W471,AC471)-SUM(IF(F471&lt;R471,C471+D471-E471,0),IF(L471&lt;R471,I471+J471-K471,0),IF(X471&lt;R471,U471+V471-W471,0),IF(AD471&lt;R471,AA471+AB471-AC471,0)))))</x:f>
        <x:v>0</x:v>
      </x:c>
      <x:c r="T471" s="6" t="n">
        <x:f>ROUND(MAX(0,O471+P471-Q471-S471),2)</x:f>
        <x:v>0</x:v>
      </x:c>
      <x:c r="U471" s="6" t="n">
        <x:f>Z470</x:f>
        <x:v>0</x:v>
      </x:c>
      <x:c r="V471" s="6" t="n">
        <x:f>ROUND(U471*'Debt strategy'!$D$12/12,2)</x:f>
        <x:v>0</x:v>
      </x:c>
      <x:c r="W471" s="6" t="n">
        <x:f>MIN(U471+V471,'Debt strategy'!$E$12)</x:f>
        <x:v>0</x:v>
      </x:c>
      <x:c r="X471" s="27" t="n">
        <x:f>IF(U471+V471-W471&lt;=0,99,1+SUM(IF(AND(C471+D471-E471&gt;0,OR('Debt strategy'!$D$9&gt;'Debt strategy'!$D$12,AND('Debt strategy'!$D$9='Debt strategy'!$D$12,0&lt;3))),1,0),IF(AND(I471+J471-K471&gt;0,OR('Debt strategy'!$D$10&gt;'Debt strategy'!$D$12,AND('Debt strategy'!$D$10='Debt strategy'!$D$12,1&lt;3))),1,0),IF(AND(O471+P471-Q471&gt;0,OR('Debt strategy'!$D$11&gt;'Debt strategy'!$D$12,AND('Debt strategy'!$D$11='Debt strategy'!$D$12,2&lt;3))),1,0),IF(AND(AA471+AB471-AC471&gt;0,OR('Debt strategy'!$D$13&gt;'Debt strategy'!$D$12,AND('Debt strategy'!$D$13='Debt strategy'!$D$12,4&lt;3))),1,0)))</x:f>
        <x:v>99</x:v>
      </x:c>
      <x:c r="Y471" s="6" t="n">
        <x:f>IF('Debt strategy'!$C$16&gt;0,0,MIN(U471+V471-W471,MAX(0,'Debt strategy'!$C$5-SUM(E471,K471,Q471,W471,AC471)-SUM(IF(F471&lt;X471,C471+D471-E471,0),IF(L471&lt;X471,I471+J471-K471,0),IF(R471&lt;X471,O471+P471-Q471,0),IF(AD471&lt;X471,AA471+AB471-AC471,0)))))</x:f>
        <x:v>0</x:v>
      </x:c>
      <x:c r="Z471" s="6" t="n">
        <x:f>ROUND(MAX(0,U471+V471-W471-Y471),2)</x:f>
        <x:v>0</x:v>
      </x:c>
      <x:c r="AA471" s="6" t="n">
        <x:f>AF470</x:f>
        <x:v>0</x:v>
      </x:c>
      <x:c r="AB471" s="6" t="n">
        <x:f>ROUND(AA471*'Debt strategy'!$D$13/12,2)</x:f>
        <x:v>0</x:v>
      </x:c>
      <x:c r="AC471" s="6" t="n">
        <x:f>MIN(AA471+AB471,'Debt strategy'!$E$13)</x:f>
        <x:v>0</x:v>
      </x:c>
      <x:c r="AD471" s="27" t="n">
        <x:f>IF(AA471+AB471-AC471&lt;=0,99,1+SUM(IF(AND(C471+D471-E471&gt;0,OR('Debt strategy'!$D$9&gt;'Debt strategy'!$D$13,AND('Debt strategy'!$D$9='Debt strategy'!$D$13,0&lt;4))),1,0),IF(AND(I471+J471-K471&gt;0,OR('Debt strategy'!$D$10&gt;'Debt strategy'!$D$13,AND('Debt strategy'!$D$10='Debt strategy'!$D$13,1&lt;4))),1,0),IF(AND(O471+P471-Q471&gt;0,OR('Debt strategy'!$D$11&gt;'Debt strategy'!$D$13,AND('Debt strategy'!$D$11='Debt strategy'!$D$13,2&lt;4))),1,0),IF(AND(U471+V471-W471&gt;0,OR('Debt strategy'!$D$12&gt;'Debt strategy'!$D$13,AND('Debt strategy'!$D$12='Debt strategy'!$D$13,3&lt;4))),1,0)))</x:f>
        <x:v>99</x:v>
      </x:c>
      <x:c r="AE471" s="6" t="n">
        <x:f>IF('Debt strategy'!$C$16&gt;0,0,MIN(AA471+AB471-AC471,MAX(0,'Debt strategy'!$C$5-SUM(E471,K471,Q471,W471,AC471)-SUM(IF(F471&lt;AD471,C471+D471-E471,0),IF(L471&lt;AD471,I471+J471-K471,0),IF(R471&lt;AD471,O471+P471-Q471,0),IF(X471&lt;AD471,U471+V471-W471,0)))))</x:f>
        <x:v>0</x:v>
      </x:c>
      <x:c r="AF471" s="6" t="n">
        <x:f>ROUND(MAX(0,AA471+AB471-AC471-AE471),2)</x:f>
        <x:v>0</x:v>
      </x:c>
      <x:c r="AG471" s="6" t="n">
        <x:f>SUM(H471,N471,T471,Z471,AF471)</x:f>
        <x:v>0</x:v>
      </x:c>
      <x:c r="AH471" s="6" t="n">
        <x:f>SUM(D471,J471,P471,V471,AB471)+AH470</x:f>
        <x:v>1220.8400000000001</x:v>
      </x:c>
      <x:c r="AI471" s="2"/>
    </x:row>
    <x:row r="472" ht="23" customHeight="1">
      <x:c r="B472" s="2" t="n">
        <x:f>464</x:f>
        <x:v>464</x:v>
      </x:c>
      <x:c r="C472" s="6" t="n">
        <x:f>H471</x:f>
        <x:v>0</x:v>
      </x:c>
      <x:c r="D472" s="6" t="n">
        <x:f>ROUND(C472*'Debt strategy'!$D$9/12,2)</x:f>
        <x:v>0</x:v>
      </x:c>
      <x:c r="E472" s="6" t="n">
        <x:f>MIN(C472+D472,'Debt strategy'!$E$9)</x:f>
        <x:v>0</x:v>
      </x:c>
      <x:c r="F472" s="27" t="n">
        <x:f>IF(C472+D472-E472&lt;=0,99,1+SUM(IF(AND(I472+J472-K472&gt;0,OR('Debt strategy'!$D$10&gt;'Debt strategy'!$D$9,AND('Debt strategy'!$D$10='Debt strategy'!$D$9,1&lt;0))),1,0),IF(AND(O472+P472-Q472&gt;0,OR('Debt strategy'!$D$11&gt;'Debt strategy'!$D$9,AND('Debt strategy'!$D$11='Debt strategy'!$D$9,2&lt;0))),1,0),IF(AND(U472+V472-W472&gt;0,OR('Debt strategy'!$D$12&gt;'Debt strategy'!$D$9,AND('Debt strategy'!$D$12='Debt strategy'!$D$9,3&lt;0))),1,0),IF(AND(AA472+AB472-AC472&gt;0,OR('Debt strategy'!$D$13&gt;'Debt strategy'!$D$9,AND('Debt strategy'!$D$13='Debt strategy'!$D$9,4&lt;0))),1,0)))</x:f>
        <x:v>99</x:v>
      </x:c>
      <x:c r="G472" s="6" t="n">
        <x:f>IF('Debt strategy'!$C$16&gt;0,0,MIN(C472+D472-E472,MAX(0,'Debt strategy'!$C$5-SUM(E472,K472,Q472,W472,AC472)-SUM(IF(L472&lt;F472,I472+J472-K472,0),IF(R472&lt;F472,O472+P472-Q472,0),IF(X472&lt;F472,U472+V472-W472,0),IF(AD472&lt;F472,AA472+AB472-AC472,0)))))</x:f>
        <x:v>0</x:v>
      </x:c>
      <x:c r="H472" s="6" t="n">
        <x:f>ROUND(MAX(0,C472+D472-E472-G472),2)</x:f>
        <x:v>0</x:v>
      </x:c>
      <x:c r="I472" s="6" t="n">
        <x:f>N471</x:f>
        <x:v>0</x:v>
      </x:c>
      <x:c r="J472" s="6" t="n">
        <x:f>ROUND(I472*'Debt strategy'!$D$10/12,2)</x:f>
        <x:v>0</x:v>
      </x:c>
      <x:c r="K472" s="6" t="n">
        <x:f>MIN(I472+J472,'Debt strategy'!$E$10)</x:f>
        <x:v>0</x:v>
      </x:c>
      <x:c r="L472" s="27" t="n">
        <x:f>IF(I472+J472-K472&lt;=0,99,1+SUM(IF(AND(C472+D472-E472&gt;0,OR('Debt strategy'!$D$9&gt;'Debt strategy'!$D$10,AND('Debt strategy'!$D$9='Debt strategy'!$D$10,0&lt;1))),1,0),IF(AND(O472+P472-Q472&gt;0,OR('Debt strategy'!$D$11&gt;'Debt strategy'!$D$10,AND('Debt strategy'!$D$11='Debt strategy'!$D$10,2&lt;1))),1,0),IF(AND(U472+V472-W472&gt;0,OR('Debt strategy'!$D$12&gt;'Debt strategy'!$D$10,AND('Debt strategy'!$D$12='Debt strategy'!$D$10,3&lt;1))),1,0),IF(AND(AA472+AB472-AC472&gt;0,OR('Debt strategy'!$D$13&gt;'Debt strategy'!$D$10,AND('Debt strategy'!$D$13='Debt strategy'!$D$10,4&lt;1))),1,0)))</x:f>
        <x:v>99</x:v>
      </x:c>
      <x:c r="M472" s="6" t="n">
        <x:f>IF('Debt strategy'!$C$16&gt;0,0,MIN(I472+J472-K472,MAX(0,'Debt strategy'!$C$5-SUM(E472,K472,Q472,W472,AC472)-SUM(IF(F472&lt;L472,C472+D472-E472,0),IF(R472&lt;L472,O472+P472-Q472,0),IF(X472&lt;L472,U472+V472-W472,0),IF(AD472&lt;L472,AA472+AB472-AC472,0)))))</x:f>
        <x:v>0</x:v>
      </x:c>
      <x:c r="N472" s="6" t="n">
        <x:f>ROUND(MAX(0,I472+J472-K472-M472),2)</x:f>
        <x:v>0</x:v>
      </x:c>
      <x:c r="O472" s="6" t="n">
        <x:f>T471</x:f>
        <x:v>0</x:v>
      </x:c>
      <x:c r="P472" s="6" t="n">
        <x:f>ROUND(O472*'Debt strategy'!$D$11/12,2)</x:f>
        <x:v>0</x:v>
      </x:c>
      <x:c r="Q472" s="6" t="n">
        <x:f>MIN(O472+P472,'Debt strategy'!$E$11)</x:f>
        <x:v>0</x:v>
      </x:c>
      <x:c r="R472" s="27" t="n">
        <x:f>IF(O472+P472-Q472&lt;=0,99,1+SUM(IF(AND(C472+D472-E472&gt;0,OR('Debt strategy'!$D$9&gt;'Debt strategy'!$D$11,AND('Debt strategy'!$D$9='Debt strategy'!$D$11,0&lt;2))),1,0),IF(AND(I472+J472-K472&gt;0,OR('Debt strategy'!$D$10&gt;'Debt strategy'!$D$11,AND('Debt strategy'!$D$10='Debt strategy'!$D$11,1&lt;2))),1,0),IF(AND(U472+V472-W472&gt;0,OR('Debt strategy'!$D$12&gt;'Debt strategy'!$D$11,AND('Debt strategy'!$D$12='Debt strategy'!$D$11,3&lt;2))),1,0),IF(AND(AA472+AB472-AC472&gt;0,OR('Debt strategy'!$D$13&gt;'Debt strategy'!$D$11,AND('Debt strategy'!$D$13='Debt strategy'!$D$11,4&lt;2))),1,0)))</x:f>
        <x:v>99</x:v>
      </x:c>
      <x:c r="S472" s="6" t="n">
        <x:f>IF('Debt strategy'!$C$16&gt;0,0,MIN(O472+P472-Q472,MAX(0,'Debt strategy'!$C$5-SUM(E472,K472,Q472,W472,AC472)-SUM(IF(F472&lt;R472,C472+D472-E472,0),IF(L472&lt;R472,I472+J472-K472,0),IF(X472&lt;R472,U472+V472-W472,0),IF(AD472&lt;R472,AA472+AB472-AC472,0)))))</x:f>
        <x:v>0</x:v>
      </x:c>
      <x:c r="T472" s="6" t="n">
        <x:f>ROUND(MAX(0,O472+P472-Q472-S472),2)</x:f>
        <x:v>0</x:v>
      </x:c>
      <x:c r="U472" s="6" t="n">
        <x:f>Z471</x:f>
        <x:v>0</x:v>
      </x:c>
      <x:c r="V472" s="6" t="n">
        <x:f>ROUND(U472*'Debt strategy'!$D$12/12,2)</x:f>
        <x:v>0</x:v>
      </x:c>
      <x:c r="W472" s="6" t="n">
        <x:f>MIN(U472+V472,'Debt strategy'!$E$12)</x:f>
        <x:v>0</x:v>
      </x:c>
      <x:c r="X472" s="27" t="n">
        <x:f>IF(U472+V472-W472&lt;=0,99,1+SUM(IF(AND(C472+D472-E472&gt;0,OR('Debt strategy'!$D$9&gt;'Debt strategy'!$D$12,AND('Debt strategy'!$D$9='Debt strategy'!$D$12,0&lt;3))),1,0),IF(AND(I472+J472-K472&gt;0,OR('Debt strategy'!$D$10&gt;'Debt strategy'!$D$12,AND('Debt strategy'!$D$10='Debt strategy'!$D$12,1&lt;3))),1,0),IF(AND(O472+P472-Q472&gt;0,OR('Debt strategy'!$D$11&gt;'Debt strategy'!$D$12,AND('Debt strategy'!$D$11='Debt strategy'!$D$12,2&lt;3))),1,0),IF(AND(AA472+AB472-AC472&gt;0,OR('Debt strategy'!$D$13&gt;'Debt strategy'!$D$12,AND('Debt strategy'!$D$13='Debt strategy'!$D$12,4&lt;3))),1,0)))</x:f>
        <x:v>99</x:v>
      </x:c>
      <x:c r="Y472" s="6" t="n">
        <x:f>IF('Debt strategy'!$C$16&gt;0,0,MIN(U472+V472-W472,MAX(0,'Debt strategy'!$C$5-SUM(E472,K472,Q472,W472,AC472)-SUM(IF(F472&lt;X472,C472+D472-E472,0),IF(L472&lt;X472,I472+J472-K472,0),IF(R472&lt;X472,O472+P472-Q472,0),IF(AD472&lt;X472,AA472+AB472-AC472,0)))))</x:f>
        <x:v>0</x:v>
      </x:c>
      <x:c r="Z472" s="6" t="n">
        <x:f>ROUND(MAX(0,U472+V472-W472-Y472),2)</x:f>
        <x:v>0</x:v>
      </x:c>
      <x:c r="AA472" s="6" t="n">
        <x:f>AF471</x:f>
        <x:v>0</x:v>
      </x:c>
      <x:c r="AB472" s="6" t="n">
        <x:f>ROUND(AA472*'Debt strategy'!$D$13/12,2)</x:f>
        <x:v>0</x:v>
      </x:c>
      <x:c r="AC472" s="6" t="n">
        <x:f>MIN(AA472+AB472,'Debt strategy'!$E$13)</x:f>
        <x:v>0</x:v>
      </x:c>
      <x:c r="AD472" s="27" t="n">
        <x:f>IF(AA472+AB472-AC472&lt;=0,99,1+SUM(IF(AND(C472+D472-E472&gt;0,OR('Debt strategy'!$D$9&gt;'Debt strategy'!$D$13,AND('Debt strategy'!$D$9='Debt strategy'!$D$13,0&lt;4))),1,0),IF(AND(I472+J472-K472&gt;0,OR('Debt strategy'!$D$10&gt;'Debt strategy'!$D$13,AND('Debt strategy'!$D$10='Debt strategy'!$D$13,1&lt;4))),1,0),IF(AND(O472+P472-Q472&gt;0,OR('Debt strategy'!$D$11&gt;'Debt strategy'!$D$13,AND('Debt strategy'!$D$11='Debt strategy'!$D$13,2&lt;4))),1,0),IF(AND(U472+V472-W472&gt;0,OR('Debt strategy'!$D$12&gt;'Debt strategy'!$D$13,AND('Debt strategy'!$D$12='Debt strategy'!$D$13,3&lt;4))),1,0)))</x:f>
        <x:v>99</x:v>
      </x:c>
      <x:c r="AE472" s="6" t="n">
        <x:f>IF('Debt strategy'!$C$16&gt;0,0,MIN(AA472+AB472-AC472,MAX(0,'Debt strategy'!$C$5-SUM(E472,K472,Q472,W472,AC472)-SUM(IF(F472&lt;AD472,C472+D472-E472,0),IF(L472&lt;AD472,I472+J472-K472,0),IF(R472&lt;AD472,O472+P472-Q472,0),IF(X472&lt;AD472,U472+V472-W472,0)))))</x:f>
        <x:v>0</x:v>
      </x:c>
      <x:c r="AF472" s="6" t="n">
        <x:f>ROUND(MAX(0,AA472+AB472-AC472-AE472),2)</x:f>
        <x:v>0</x:v>
      </x:c>
      <x:c r="AG472" s="6" t="n">
        <x:f>SUM(H472,N472,T472,Z472,AF472)</x:f>
        <x:v>0</x:v>
      </x:c>
      <x:c r="AH472" s="6" t="n">
        <x:f>SUM(D472,J472,P472,V472,AB472)+AH471</x:f>
        <x:v>1220.8400000000001</x:v>
      </x:c>
      <x:c r="AI472" s="2"/>
    </x:row>
    <x:row r="473" ht="23" customHeight="1">
      <x:c r="B473" s="2" t="n">
        <x:f>465</x:f>
        <x:v>465</x:v>
      </x:c>
      <x:c r="C473" s="6" t="n">
        <x:f>H472</x:f>
        <x:v>0</x:v>
      </x:c>
      <x:c r="D473" s="6" t="n">
        <x:f>ROUND(C473*'Debt strategy'!$D$9/12,2)</x:f>
        <x:v>0</x:v>
      </x:c>
      <x:c r="E473" s="6" t="n">
        <x:f>MIN(C473+D473,'Debt strategy'!$E$9)</x:f>
        <x:v>0</x:v>
      </x:c>
      <x:c r="F473" s="27" t="n">
        <x:f>IF(C473+D473-E473&lt;=0,99,1+SUM(IF(AND(I473+J473-K473&gt;0,OR('Debt strategy'!$D$10&gt;'Debt strategy'!$D$9,AND('Debt strategy'!$D$10='Debt strategy'!$D$9,1&lt;0))),1,0),IF(AND(O473+P473-Q473&gt;0,OR('Debt strategy'!$D$11&gt;'Debt strategy'!$D$9,AND('Debt strategy'!$D$11='Debt strategy'!$D$9,2&lt;0))),1,0),IF(AND(U473+V473-W473&gt;0,OR('Debt strategy'!$D$12&gt;'Debt strategy'!$D$9,AND('Debt strategy'!$D$12='Debt strategy'!$D$9,3&lt;0))),1,0),IF(AND(AA473+AB473-AC473&gt;0,OR('Debt strategy'!$D$13&gt;'Debt strategy'!$D$9,AND('Debt strategy'!$D$13='Debt strategy'!$D$9,4&lt;0))),1,0)))</x:f>
        <x:v>99</x:v>
      </x:c>
      <x:c r="G473" s="6" t="n">
        <x:f>IF('Debt strategy'!$C$16&gt;0,0,MIN(C473+D473-E473,MAX(0,'Debt strategy'!$C$5-SUM(E473,K473,Q473,W473,AC473)-SUM(IF(L473&lt;F473,I473+J473-K473,0),IF(R473&lt;F473,O473+P473-Q473,0),IF(X473&lt;F473,U473+V473-W473,0),IF(AD473&lt;F473,AA473+AB473-AC473,0)))))</x:f>
        <x:v>0</x:v>
      </x:c>
      <x:c r="H473" s="6" t="n">
        <x:f>ROUND(MAX(0,C473+D473-E473-G473),2)</x:f>
        <x:v>0</x:v>
      </x:c>
      <x:c r="I473" s="6" t="n">
        <x:f>N472</x:f>
        <x:v>0</x:v>
      </x:c>
      <x:c r="J473" s="6" t="n">
        <x:f>ROUND(I473*'Debt strategy'!$D$10/12,2)</x:f>
        <x:v>0</x:v>
      </x:c>
      <x:c r="K473" s="6" t="n">
        <x:f>MIN(I473+J473,'Debt strategy'!$E$10)</x:f>
        <x:v>0</x:v>
      </x:c>
      <x:c r="L473" s="27" t="n">
        <x:f>IF(I473+J473-K473&lt;=0,99,1+SUM(IF(AND(C473+D473-E473&gt;0,OR('Debt strategy'!$D$9&gt;'Debt strategy'!$D$10,AND('Debt strategy'!$D$9='Debt strategy'!$D$10,0&lt;1))),1,0),IF(AND(O473+P473-Q473&gt;0,OR('Debt strategy'!$D$11&gt;'Debt strategy'!$D$10,AND('Debt strategy'!$D$11='Debt strategy'!$D$10,2&lt;1))),1,0),IF(AND(U473+V473-W473&gt;0,OR('Debt strategy'!$D$12&gt;'Debt strategy'!$D$10,AND('Debt strategy'!$D$12='Debt strategy'!$D$10,3&lt;1))),1,0),IF(AND(AA473+AB473-AC473&gt;0,OR('Debt strategy'!$D$13&gt;'Debt strategy'!$D$10,AND('Debt strategy'!$D$13='Debt strategy'!$D$10,4&lt;1))),1,0)))</x:f>
        <x:v>99</x:v>
      </x:c>
      <x:c r="M473" s="6" t="n">
        <x:f>IF('Debt strategy'!$C$16&gt;0,0,MIN(I473+J473-K473,MAX(0,'Debt strategy'!$C$5-SUM(E473,K473,Q473,W473,AC473)-SUM(IF(F473&lt;L473,C473+D473-E473,0),IF(R473&lt;L473,O473+P473-Q473,0),IF(X473&lt;L473,U473+V473-W473,0),IF(AD473&lt;L473,AA473+AB473-AC473,0)))))</x:f>
        <x:v>0</x:v>
      </x:c>
      <x:c r="N473" s="6" t="n">
        <x:f>ROUND(MAX(0,I473+J473-K473-M473),2)</x:f>
        <x:v>0</x:v>
      </x:c>
      <x:c r="O473" s="6" t="n">
        <x:f>T472</x:f>
        <x:v>0</x:v>
      </x:c>
      <x:c r="P473" s="6" t="n">
        <x:f>ROUND(O473*'Debt strategy'!$D$11/12,2)</x:f>
        <x:v>0</x:v>
      </x:c>
      <x:c r="Q473" s="6" t="n">
        <x:f>MIN(O473+P473,'Debt strategy'!$E$11)</x:f>
        <x:v>0</x:v>
      </x:c>
      <x:c r="R473" s="27" t="n">
        <x:f>IF(O473+P473-Q473&lt;=0,99,1+SUM(IF(AND(C473+D473-E473&gt;0,OR('Debt strategy'!$D$9&gt;'Debt strategy'!$D$11,AND('Debt strategy'!$D$9='Debt strategy'!$D$11,0&lt;2))),1,0),IF(AND(I473+J473-K473&gt;0,OR('Debt strategy'!$D$10&gt;'Debt strategy'!$D$11,AND('Debt strategy'!$D$10='Debt strategy'!$D$11,1&lt;2))),1,0),IF(AND(U473+V473-W473&gt;0,OR('Debt strategy'!$D$12&gt;'Debt strategy'!$D$11,AND('Debt strategy'!$D$12='Debt strategy'!$D$11,3&lt;2))),1,0),IF(AND(AA473+AB473-AC473&gt;0,OR('Debt strategy'!$D$13&gt;'Debt strategy'!$D$11,AND('Debt strategy'!$D$13='Debt strategy'!$D$11,4&lt;2))),1,0)))</x:f>
        <x:v>99</x:v>
      </x:c>
      <x:c r="S473" s="6" t="n">
        <x:f>IF('Debt strategy'!$C$16&gt;0,0,MIN(O473+P473-Q473,MAX(0,'Debt strategy'!$C$5-SUM(E473,K473,Q473,W473,AC473)-SUM(IF(F473&lt;R473,C473+D473-E473,0),IF(L473&lt;R473,I473+J473-K473,0),IF(X473&lt;R473,U473+V473-W473,0),IF(AD473&lt;R473,AA473+AB473-AC473,0)))))</x:f>
        <x:v>0</x:v>
      </x:c>
      <x:c r="T473" s="6" t="n">
        <x:f>ROUND(MAX(0,O473+P473-Q473-S473),2)</x:f>
        <x:v>0</x:v>
      </x:c>
      <x:c r="U473" s="6" t="n">
        <x:f>Z472</x:f>
        <x:v>0</x:v>
      </x:c>
      <x:c r="V473" s="6" t="n">
        <x:f>ROUND(U473*'Debt strategy'!$D$12/12,2)</x:f>
        <x:v>0</x:v>
      </x:c>
      <x:c r="W473" s="6" t="n">
        <x:f>MIN(U473+V473,'Debt strategy'!$E$12)</x:f>
        <x:v>0</x:v>
      </x:c>
      <x:c r="X473" s="27" t="n">
        <x:f>IF(U473+V473-W473&lt;=0,99,1+SUM(IF(AND(C473+D473-E473&gt;0,OR('Debt strategy'!$D$9&gt;'Debt strategy'!$D$12,AND('Debt strategy'!$D$9='Debt strategy'!$D$12,0&lt;3))),1,0),IF(AND(I473+J473-K473&gt;0,OR('Debt strategy'!$D$10&gt;'Debt strategy'!$D$12,AND('Debt strategy'!$D$10='Debt strategy'!$D$12,1&lt;3))),1,0),IF(AND(O473+P473-Q473&gt;0,OR('Debt strategy'!$D$11&gt;'Debt strategy'!$D$12,AND('Debt strategy'!$D$11='Debt strategy'!$D$12,2&lt;3))),1,0),IF(AND(AA473+AB473-AC473&gt;0,OR('Debt strategy'!$D$13&gt;'Debt strategy'!$D$12,AND('Debt strategy'!$D$13='Debt strategy'!$D$12,4&lt;3))),1,0)))</x:f>
        <x:v>99</x:v>
      </x:c>
      <x:c r="Y473" s="6" t="n">
        <x:f>IF('Debt strategy'!$C$16&gt;0,0,MIN(U473+V473-W473,MAX(0,'Debt strategy'!$C$5-SUM(E473,K473,Q473,W473,AC473)-SUM(IF(F473&lt;X473,C473+D473-E473,0),IF(L473&lt;X473,I473+J473-K473,0),IF(R473&lt;X473,O473+P473-Q473,0),IF(AD473&lt;X473,AA473+AB473-AC473,0)))))</x:f>
        <x:v>0</x:v>
      </x:c>
      <x:c r="Z473" s="6" t="n">
        <x:f>ROUND(MAX(0,U473+V473-W473-Y473),2)</x:f>
        <x:v>0</x:v>
      </x:c>
      <x:c r="AA473" s="6" t="n">
        <x:f>AF472</x:f>
        <x:v>0</x:v>
      </x:c>
      <x:c r="AB473" s="6" t="n">
        <x:f>ROUND(AA473*'Debt strategy'!$D$13/12,2)</x:f>
        <x:v>0</x:v>
      </x:c>
      <x:c r="AC473" s="6" t="n">
        <x:f>MIN(AA473+AB473,'Debt strategy'!$E$13)</x:f>
        <x:v>0</x:v>
      </x:c>
      <x:c r="AD473" s="27" t="n">
        <x:f>IF(AA473+AB473-AC473&lt;=0,99,1+SUM(IF(AND(C473+D473-E473&gt;0,OR('Debt strategy'!$D$9&gt;'Debt strategy'!$D$13,AND('Debt strategy'!$D$9='Debt strategy'!$D$13,0&lt;4))),1,0),IF(AND(I473+J473-K473&gt;0,OR('Debt strategy'!$D$10&gt;'Debt strategy'!$D$13,AND('Debt strategy'!$D$10='Debt strategy'!$D$13,1&lt;4))),1,0),IF(AND(O473+P473-Q473&gt;0,OR('Debt strategy'!$D$11&gt;'Debt strategy'!$D$13,AND('Debt strategy'!$D$11='Debt strategy'!$D$13,2&lt;4))),1,0),IF(AND(U473+V473-W473&gt;0,OR('Debt strategy'!$D$12&gt;'Debt strategy'!$D$13,AND('Debt strategy'!$D$12='Debt strategy'!$D$13,3&lt;4))),1,0)))</x:f>
        <x:v>99</x:v>
      </x:c>
      <x:c r="AE473" s="6" t="n">
        <x:f>IF('Debt strategy'!$C$16&gt;0,0,MIN(AA473+AB473-AC473,MAX(0,'Debt strategy'!$C$5-SUM(E473,K473,Q473,W473,AC473)-SUM(IF(F473&lt;AD473,C473+D473-E473,0),IF(L473&lt;AD473,I473+J473-K473,0),IF(R473&lt;AD473,O473+P473-Q473,0),IF(X473&lt;AD473,U473+V473-W473,0)))))</x:f>
        <x:v>0</x:v>
      </x:c>
      <x:c r="AF473" s="6" t="n">
        <x:f>ROUND(MAX(0,AA473+AB473-AC473-AE473),2)</x:f>
        <x:v>0</x:v>
      </x:c>
      <x:c r="AG473" s="6" t="n">
        <x:f>SUM(H473,N473,T473,Z473,AF473)</x:f>
        <x:v>0</x:v>
      </x:c>
      <x:c r="AH473" s="6" t="n">
        <x:f>SUM(D473,J473,P473,V473,AB473)+AH472</x:f>
        <x:v>1220.8400000000001</x:v>
      </x:c>
      <x:c r="AI473" s="2"/>
    </x:row>
    <x:row r="474" ht="23" customHeight="1">
      <x:c r="B474" s="2" t="n">
        <x:f>466</x:f>
        <x:v>466</x:v>
      </x:c>
      <x:c r="C474" s="6" t="n">
        <x:f>H473</x:f>
        <x:v>0</x:v>
      </x:c>
      <x:c r="D474" s="6" t="n">
        <x:f>ROUND(C474*'Debt strategy'!$D$9/12,2)</x:f>
        <x:v>0</x:v>
      </x:c>
      <x:c r="E474" s="6" t="n">
        <x:f>MIN(C474+D474,'Debt strategy'!$E$9)</x:f>
        <x:v>0</x:v>
      </x:c>
      <x:c r="F474" s="27" t="n">
        <x:f>IF(C474+D474-E474&lt;=0,99,1+SUM(IF(AND(I474+J474-K474&gt;0,OR('Debt strategy'!$D$10&gt;'Debt strategy'!$D$9,AND('Debt strategy'!$D$10='Debt strategy'!$D$9,1&lt;0))),1,0),IF(AND(O474+P474-Q474&gt;0,OR('Debt strategy'!$D$11&gt;'Debt strategy'!$D$9,AND('Debt strategy'!$D$11='Debt strategy'!$D$9,2&lt;0))),1,0),IF(AND(U474+V474-W474&gt;0,OR('Debt strategy'!$D$12&gt;'Debt strategy'!$D$9,AND('Debt strategy'!$D$12='Debt strategy'!$D$9,3&lt;0))),1,0),IF(AND(AA474+AB474-AC474&gt;0,OR('Debt strategy'!$D$13&gt;'Debt strategy'!$D$9,AND('Debt strategy'!$D$13='Debt strategy'!$D$9,4&lt;0))),1,0)))</x:f>
        <x:v>99</x:v>
      </x:c>
      <x:c r="G474" s="6" t="n">
        <x:f>IF('Debt strategy'!$C$16&gt;0,0,MIN(C474+D474-E474,MAX(0,'Debt strategy'!$C$5-SUM(E474,K474,Q474,W474,AC474)-SUM(IF(L474&lt;F474,I474+J474-K474,0),IF(R474&lt;F474,O474+P474-Q474,0),IF(X474&lt;F474,U474+V474-W474,0),IF(AD474&lt;F474,AA474+AB474-AC474,0)))))</x:f>
        <x:v>0</x:v>
      </x:c>
      <x:c r="H474" s="6" t="n">
        <x:f>ROUND(MAX(0,C474+D474-E474-G474),2)</x:f>
        <x:v>0</x:v>
      </x:c>
      <x:c r="I474" s="6" t="n">
        <x:f>N473</x:f>
        <x:v>0</x:v>
      </x:c>
      <x:c r="J474" s="6" t="n">
        <x:f>ROUND(I474*'Debt strategy'!$D$10/12,2)</x:f>
        <x:v>0</x:v>
      </x:c>
      <x:c r="K474" s="6" t="n">
        <x:f>MIN(I474+J474,'Debt strategy'!$E$10)</x:f>
        <x:v>0</x:v>
      </x:c>
      <x:c r="L474" s="27" t="n">
        <x:f>IF(I474+J474-K474&lt;=0,99,1+SUM(IF(AND(C474+D474-E474&gt;0,OR('Debt strategy'!$D$9&gt;'Debt strategy'!$D$10,AND('Debt strategy'!$D$9='Debt strategy'!$D$10,0&lt;1))),1,0),IF(AND(O474+P474-Q474&gt;0,OR('Debt strategy'!$D$11&gt;'Debt strategy'!$D$10,AND('Debt strategy'!$D$11='Debt strategy'!$D$10,2&lt;1))),1,0),IF(AND(U474+V474-W474&gt;0,OR('Debt strategy'!$D$12&gt;'Debt strategy'!$D$10,AND('Debt strategy'!$D$12='Debt strategy'!$D$10,3&lt;1))),1,0),IF(AND(AA474+AB474-AC474&gt;0,OR('Debt strategy'!$D$13&gt;'Debt strategy'!$D$10,AND('Debt strategy'!$D$13='Debt strategy'!$D$10,4&lt;1))),1,0)))</x:f>
        <x:v>99</x:v>
      </x:c>
      <x:c r="M474" s="6" t="n">
        <x:f>IF('Debt strategy'!$C$16&gt;0,0,MIN(I474+J474-K474,MAX(0,'Debt strategy'!$C$5-SUM(E474,K474,Q474,W474,AC474)-SUM(IF(F474&lt;L474,C474+D474-E474,0),IF(R474&lt;L474,O474+P474-Q474,0),IF(X474&lt;L474,U474+V474-W474,0),IF(AD474&lt;L474,AA474+AB474-AC474,0)))))</x:f>
        <x:v>0</x:v>
      </x:c>
      <x:c r="N474" s="6" t="n">
        <x:f>ROUND(MAX(0,I474+J474-K474-M474),2)</x:f>
        <x:v>0</x:v>
      </x:c>
      <x:c r="O474" s="6" t="n">
        <x:f>T473</x:f>
        <x:v>0</x:v>
      </x:c>
      <x:c r="P474" s="6" t="n">
        <x:f>ROUND(O474*'Debt strategy'!$D$11/12,2)</x:f>
        <x:v>0</x:v>
      </x:c>
      <x:c r="Q474" s="6" t="n">
        <x:f>MIN(O474+P474,'Debt strategy'!$E$11)</x:f>
        <x:v>0</x:v>
      </x:c>
      <x:c r="R474" s="27" t="n">
        <x:f>IF(O474+P474-Q474&lt;=0,99,1+SUM(IF(AND(C474+D474-E474&gt;0,OR('Debt strategy'!$D$9&gt;'Debt strategy'!$D$11,AND('Debt strategy'!$D$9='Debt strategy'!$D$11,0&lt;2))),1,0),IF(AND(I474+J474-K474&gt;0,OR('Debt strategy'!$D$10&gt;'Debt strategy'!$D$11,AND('Debt strategy'!$D$10='Debt strategy'!$D$11,1&lt;2))),1,0),IF(AND(U474+V474-W474&gt;0,OR('Debt strategy'!$D$12&gt;'Debt strategy'!$D$11,AND('Debt strategy'!$D$12='Debt strategy'!$D$11,3&lt;2))),1,0),IF(AND(AA474+AB474-AC474&gt;0,OR('Debt strategy'!$D$13&gt;'Debt strategy'!$D$11,AND('Debt strategy'!$D$13='Debt strategy'!$D$11,4&lt;2))),1,0)))</x:f>
        <x:v>99</x:v>
      </x:c>
      <x:c r="S474" s="6" t="n">
        <x:f>IF('Debt strategy'!$C$16&gt;0,0,MIN(O474+P474-Q474,MAX(0,'Debt strategy'!$C$5-SUM(E474,K474,Q474,W474,AC474)-SUM(IF(F474&lt;R474,C474+D474-E474,0),IF(L474&lt;R474,I474+J474-K474,0),IF(X474&lt;R474,U474+V474-W474,0),IF(AD474&lt;R474,AA474+AB474-AC474,0)))))</x:f>
        <x:v>0</x:v>
      </x:c>
      <x:c r="T474" s="6" t="n">
        <x:f>ROUND(MAX(0,O474+P474-Q474-S474),2)</x:f>
        <x:v>0</x:v>
      </x:c>
      <x:c r="U474" s="6" t="n">
        <x:f>Z473</x:f>
        <x:v>0</x:v>
      </x:c>
      <x:c r="V474" s="6" t="n">
        <x:f>ROUND(U474*'Debt strategy'!$D$12/12,2)</x:f>
        <x:v>0</x:v>
      </x:c>
      <x:c r="W474" s="6" t="n">
        <x:f>MIN(U474+V474,'Debt strategy'!$E$12)</x:f>
        <x:v>0</x:v>
      </x:c>
      <x:c r="X474" s="27" t="n">
        <x:f>IF(U474+V474-W474&lt;=0,99,1+SUM(IF(AND(C474+D474-E474&gt;0,OR('Debt strategy'!$D$9&gt;'Debt strategy'!$D$12,AND('Debt strategy'!$D$9='Debt strategy'!$D$12,0&lt;3))),1,0),IF(AND(I474+J474-K474&gt;0,OR('Debt strategy'!$D$10&gt;'Debt strategy'!$D$12,AND('Debt strategy'!$D$10='Debt strategy'!$D$12,1&lt;3))),1,0),IF(AND(O474+P474-Q474&gt;0,OR('Debt strategy'!$D$11&gt;'Debt strategy'!$D$12,AND('Debt strategy'!$D$11='Debt strategy'!$D$12,2&lt;3))),1,0),IF(AND(AA474+AB474-AC474&gt;0,OR('Debt strategy'!$D$13&gt;'Debt strategy'!$D$12,AND('Debt strategy'!$D$13='Debt strategy'!$D$12,4&lt;3))),1,0)))</x:f>
        <x:v>99</x:v>
      </x:c>
      <x:c r="Y474" s="6" t="n">
        <x:f>IF('Debt strategy'!$C$16&gt;0,0,MIN(U474+V474-W474,MAX(0,'Debt strategy'!$C$5-SUM(E474,K474,Q474,W474,AC474)-SUM(IF(F474&lt;X474,C474+D474-E474,0),IF(L474&lt;X474,I474+J474-K474,0),IF(R474&lt;X474,O474+P474-Q474,0),IF(AD474&lt;X474,AA474+AB474-AC474,0)))))</x:f>
        <x:v>0</x:v>
      </x:c>
      <x:c r="Z474" s="6" t="n">
        <x:f>ROUND(MAX(0,U474+V474-W474-Y474),2)</x:f>
        <x:v>0</x:v>
      </x:c>
      <x:c r="AA474" s="6" t="n">
        <x:f>AF473</x:f>
        <x:v>0</x:v>
      </x:c>
      <x:c r="AB474" s="6" t="n">
        <x:f>ROUND(AA474*'Debt strategy'!$D$13/12,2)</x:f>
        <x:v>0</x:v>
      </x:c>
      <x:c r="AC474" s="6" t="n">
        <x:f>MIN(AA474+AB474,'Debt strategy'!$E$13)</x:f>
        <x:v>0</x:v>
      </x:c>
      <x:c r="AD474" s="27" t="n">
        <x:f>IF(AA474+AB474-AC474&lt;=0,99,1+SUM(IF(AND(C474+D474-E474&gt;0,OR('Debt strategy'!$D$9&gt;'Debt strategy'!$D$13,AND('Debt strategy'!$D$9='Debt strategy'!$D$13,0&lt;4))),1,0),IF(AND(I474+J474-K474&gt;0,OR('Debt strategy'!$D$10&gt;'Debt strategy'!$D$13,AND('Debt strategy'!$D$10='Debt strategy'!$D$13,1&lt;4))),1,0),IF(AND(O474+P474-Q474&gt;0,OR('Debt strategy'!$D$11&gt;'Debt strategy'!$D$13,AND('Debt strategy'!$D$11='Debt strategy'!$D$13,2&lt;4))),1,0),IF(AND(U474+V474-W474&gt;0,OR('Debt strategy'!$D$12&gt;'Debt strategy'!$D$13,AND('Debt strategy'!$D$12='Debt strategy'!$D$13,3&lt;4))),1,0)))</x:f>
        <x:v>99</x:v>
      </x:c>
      <x:c r="AE474" s="6" t="n">
        <x:f>IF('Debt strategy'!$C$16&gt;0,0,MIN(AA474+AB474-AC474,MAX(0,'Debt strategy'!$C$5-SUM(E474,K474,Q474,W474,AC474)-SUM(IF(F474&lt;AD474,C474+D474-E474,0),IF(L474&lt;AD474,I474+J474-K474,0),IF(R474&lt;AD474,O474+P474-Q474,0),IF(X474&lt;AD474,U474+V474-W474,0)))))</x:f>
        <x:v>0</x:v>
      </x:c>
      <x:c r="AF474" s="6" t="n">
        <x:f>ROUND(MAX(0,AA474+AB474-AC474-AE474),2)</x:f>
        <x:v>0</x:v>
      </x:c>
      <x:c r="AG474" s="6" t="n">
        <x:f>SUM(H474,N474,T474,Z474,AF474)</x:f>
        <x:v>0</x:v>
      </x:c>
      <x:c r="AH474" s="6" t="n">
        <x:f>SUM(D474,J474,P474,V474,AB474)+AH473</x:f>
        <x:v>1220.8400000000001</x:v>
      </x:c>
      <x:c r="AI474" s="2"/>
    </x:row>
    <x:row r="475" ht="23" customHeight="1">
      <x:c r="B475" s="2" t="n">
        <x:f>467</x:f>
        <x:v>467</x:v>
      </x:c>
      <x:c r="C475" s="6" t="n">
        <x:f>H474</x:f>
        <x:v>0</x:v>
      </x:c>
      <x:c r="D475" s="6" t="n">
        <x:f>ROUND(C475*'Debt strategy'!$D$9/12,2)</x:f>
        <x:v>0</x:v>
      </x:c>
      <x:c r="E475" s="6" t="n">
        <x:f>MIN(C475+D475,'Debt strategy'!$E$9)</x:f>
        <x:v>0</x:v>
      </x:c>
      <x:c r="F475" s="27" t="n">
        <x:f>IF(C475+D475-E475&lt;=0,99,1+SUM(IF(AND(I475+J475-K475&gt;0,OR('Debt strategy'!$D$10&gt;'Debt strategy'!$D$9,AND('Debt strategy'!$D$10='Debt strategy'!$D$9,1&lt;0))),1,0),IF(AND(O475+P475-Q475&gt;0,OR('Debt strategy'!$D$11&gt;'Debt strategy'!$D$9,AND('Debt strategy'!$D$11='Debt strategy'!$D$9,2&lt;0))),1,0),IF(AND(U475+V475-W475&gt;0,OR('Debt strategy'!$D$12&gt;'Debt strategy'!$D$9,AND('Debt strategy'!$D$12='Debt strategy'!$D$9,3&lt;0))),1,0),IF(AND(AA475+AB475-AC475&gt;0,OR('Debt strategy'!$D$13&gt;'Debt strategy'!$D$9,AND('Debt strategy'!$D$13='Debt strategy'!$D$9,4&lt;0))),1,0)))</x:f>
        <x:v>99</x:v>
      </x:c>
      <x:c r="G475" s="6" t="n">
        <x:f>IF('Debt strategy'!$C$16&gt;0,0,MIN(C475+D475-E475,MAX(0,'Debt strategy'!$C$5-SUM(E475,K475,Q475,W475,AC475)-SUM(IF(L475&lt;F475,I475+J475-K475,0),IF(R475&lt;F475,O475+P475-Q475,0),IF(X475&lt;F475,U475+V475-W475,0),IF(AD475&lt;F475,AA475+AB475-AC475,0)))))</x:f>
        <x:v>0</x:v>
      </x:c>
      <x:c r="H475" s="6" t="n">
        <x:f>ROUND(MAX(0,C475+D475-E475-G475),2)</x:f>
        <x:v>0</x:v>
      </x:c>
      <x:c r="I475" s="6" t="n">
        <x:f>N474</x:f>
        <x:v>0</x:v>
      </x:c>
      <x:c r="J475" s="6" t="n">
        <x:f>ROUND(I475*'Debt strategy'!$D$10/12,2)</x:f>
        <x:v>0</x:v>
      </x:c>
      <x:c r="K475" s="6" t="n">
        <x:f>MIN(I475+J475,'Debt strategy'!$E$10)</x:f>
        <x:v>0</x:v>
      </x:c>
      <x:c r="L475" s="27" t="n">
        <x:f>IF(I475+J475-K475&lt;=0,99,1+SUM(IF(AND(C475+D475-E475&gt;0,OR('Debt strategy'!$D$9&gt;'Debt strategy'!$D$10,AND('Debt strategy'!$D$9='Debt strategy'!$D$10,0&lt;1))),1,0),IF(AND(O475+P475-Q475&gt;0,OR('Debt strategy'!$D$11&gt;'Debt strategy'!$D$10,AND('Debt strategy'!$D$11='Debt strategy'!$D$10,2&lt;1))),1,0),IF(AND(U475+V475-W475&gt;0,OR('Debt strategy'!$D$12&gt;'Debt strategy'!$D$10,AND('Debt strategy'!$D$12='Debt strategy'!$D$10,3&lt;1))),1,0),IF(AND(AA475+AB475-AC475&gt;0,OR('Debt strategy'!$D$13&gt;'Debt strategy'!$D$10,AND('Debt strategy'!$D$13='Debt strategy'!$D$10,4&lt;1))),1,0)))</x:f>
        <x:v>99</x:v>
      </x:c>
      <x:c r="M475" s="6" t="n">
        <x:f>IF('Debt strategy'!$C$16&gt;0,0,MIN(I475+J475-K475,MAX(0,'Debt strategy'!$C$5-SUM(E475,K475,Q475,W475,AC475)-SUM(IF(F475&lt;L475,C475+D475-E475,0),IF(R475&lt;L475,O475+P475-Q475,0),IF(X475&lt;L475,U475+V475-W475,0),IF(AD475&lt;L475,AA475+AB475-AC475,0)))))</x:f>
        <x:v>0</x:v>
      </x:c>
      <x:c r="N475" s="6" t="n">
        <x:f>ROUND(MAX(0,I475+J475-K475-M475),2)</x:f>
        <x:v>0</x:v>
      </x:c>
      <x:c r="O475" s="6" t="n">
        <x:f>T474</x:f>
        <x:v>0</x:v>
      </x:c>
      <x:c r="P475" s="6" t="n">
        <x:f>ROUND(O475*'Debt strategy'!$D$11/12,2)</x:f>
        <x:v>0</x:v>
      </x:c>
      <x:c r="Q475" s="6" t="n">
        <x:f>MIN(O475+P475,'Debt strategy'!$E$11)</x:f>
        <x:v>0</x:v>
      </x:c>
      <x:c r="R475" s="27" t="n">
        <x:f>IF(O475+P475-Q475&lt;=0,99,1+SUM(IF(AND(C475+D475-E475&gt;0,OR('Debt strategy'!$D$9&gt;'Debt strategy'!$D$11,AND('Debt strategy'!$D$9='Debt strategy'!$D$11,0&lt;2))),1,0),IF(AND(I475+J475-K475&gt;0,OR('Debt strategy'!$D$10&gt;'Debt strategy'!$D$11,AND('Debt strategy'!$D$10='Debt strategy'!$D$11,1&lt;2))),1,0),IF(AND(U475+V475-W475&gt;0,OR('Debt strategy'!$D$12&gt;'Debt strategy'!$D$11,AND('Debt strategy'!$D$12='Debt strategy'!$D$11,3&lt;2))),1,0),IF(AND(AA475+AB475-AC475&gt;0,OR('Debt strategy'!$D$13&gt;'Debt strategy'!$D$11,AND('Debt strategy'!$D$13='Debt strategy'!$D$11,4&lt;2))),1,0)))</x:f>
        <x:v>99</x:v>
      </x:c>
      <x:c r="S475" s="6" t="n">
        <x:f>IF('Debt strategy'!$C$16&gt;0,0,MIN(O475+P475-Q475,MAX(0,'Debt strategy'!$C$5-SUM(E475,K475,Q475,W475,AC475)-SUM(IF(F475&lt;R475,C475+D475-E475,0),IF(L475&lt;R475,I475+J475-K475,0),IF(X475&lt;R475,U475+V475-W475,0),IF(AD475&lt;R475,AA475+AB475-AC475,0)))))</x:f>
        <x:v>0</x:v>
      </x:c>
      <x:c r="T475" s="6" t="n">
        <x:f>ROUND(MAX(0,O475+P475-Q475-S475),2)</x:f>
        <x:v>0</x:v>
      </x:c>
      <x:c r="U475" s="6" t="n">
        <x:f>Z474</x:f>
        <x:v>0</x:v>
      </x:c>
      <x:c r="V475" s="6" t="n">
        <x:f>ROUND(U475*'Debt strategy'!$D$12/12,2)</x:f>
        <x:v>0</x:v>
      </x:c>
      <x:c r="W475" s="6" t="n">
        <x:f>MIN(U475+V475,'Debt strategy'!$E$12)</x:f>
        <x:v>0</x:v>
      </x:c>
      <x:c r="X475" s="27" t="n">
        <x:f>IF(U475+V475-W475&lt;=0,99,1+SUM(IF(AND(C475+D475-E475&gt;0,OR('Debt strategy'!$D$9&gt;'Debt strategy'!$D$12,AND('Debt strategy'!$D$9='Debt strategy'!$D$12,0&lt;3))),1,0),IF(AND(I475+J475-K475&gt;0,OR('Debt strategy'!$D$10&gt;'Debt strategy'!$D$12,AND('Debt strategy'!$D$10='Debt strategy'!$D$12,1&lt;3))),1,0),IF(AND(O475+P475-Q475&gt;0,OR('Debt strategy'!$D$11&gt;'Debt strategy'!$D$12,AND('Debt strategy'!$D$11='Debt strategy'!$D$12,2&lt;3))),1,0),IF(AND(AA475+AB475-AC475&gt;0,OR('Debt strategy'!$D$13&gt;'Debt strategy'!$D$12,AND('Debt strategy'!$D$13='Debt strategy'!$D$12,4&lt;3))),1,0)))</x:f>
        <x:v>99</x:v>
      </x:c>
      <x:c r="Y475" s="6" t="n">
        <x:f>IF('Debt strategy'!$C$16&gt;0,0,MIN(U475+V475-W475,MAX(0,'Debt strategy'!$C$5-SUM(E475,K475,Q475,W475,AC475)-SUM(IF(F475&lt;X475,C475+D475-E475,0),IF(L475&lt;X475,I475+J475-K475,0),IF(R475&lt;X475,O475+P475-Q475,0),IF(AD475&lt;X475,AA475+AB475-AC475,0)))))</x:f>
        <x:v>0</x:v>
      </x:c>
      <x:c r="Z475" s="6" t="n">
        <x:f>ROUND(MAX(0,U475+V475-W475-Y475),2)</x:f>
        <x:v>0</x:v>
      </x:c>
      <x:c r="AA475" s="6" t="n">
        <x:f>AF474</x:f>
        <x:v>0</x:v>
      </x:c>
      <x:c r="AB475" s="6" t="n">
        <x:f>ROUND(AA475*'Debt strategy'!$D$13/12,2)</x:f>
        <x:v>0</x:v>
      </x:c>
      <x:c r="AC475" s="6" t="n">
        <x:f>MIN(AA475+AB475,'Debt strategy'!$E$13)</x:f>
        <x:v>0</x:v>
      </x:c>
      <x:c r="AD475" s="27" t="n">
        <x:f>IF(AA475+AB475-AC475&lt;=0,99,1+SUM(IF(AND(C475+D475-E475&gt;0,OR('Debt strategy'!$D$9&gt;'Debt strategy'!$D$13,AND('Debt strategy'!$D$9='Debt strategy'!$D$13,0&lt;4))),1,0),IF(AND(I475+J475-K475&gt;0,OR('Debt strategy'!$D$10&gt;'Debt strategy'!$D$13,AND('Debt strategy'!$D$10='Debt strategy'!$D$13,1&lt;4))),1,0),IF(AND(O475+P475-Q475&gt;0,OR('Debt strategy'!$D$11&gt;'Debt strategy'!$D$13,AND('Debt strategy'!$D$11='Debt strategy'!$D$13,2&lt;4))),1,0),IF(AND(U475+V475-W475&gt;0,OR('Debt strategy'!$D$12&gt;'Debt strategy'!$D$13,AND('Debt strategy'!$D$12='Debt strategy'!$D$13,3&lt;4))),1,0)))</x:f>
        <x:v>99</x:v>
      </x:c>
      <x:c r="AE475" s="6" t="n">
        <x:f>IF('Debt strategy'!$C$16&gt;0,0,MIN(AA475+AB475-AC475,MAX(0,'Debt strategy'!$C$5-SUM(E475,K475,Q475,W475,AC475)-SUM(IF(F475&lt;AD475,C475+D475-E475,0),IF(L475&lt;AD475,I475+J475-K475,0),IF(R475&lt;AD475,O475+P475-Q475,0),IF(X475&lt;AD475,U475+V475-W475,0)))))</x:f>
        <x:v>0</x:v>
      </x:c>
      <x:c r="AF475" s="6" t="n">
        <x:f>ROUND(MAX(0,AA475+AB475-AC475-AE475),2)</x:f>
        <x:v>0</x:v>
      </x:c>
      <x:c r="AG475" s="6" t="n">
        <x:f>SUM(H475,N475,T475,Z475,AF475)</x:f>
        <x:v>0</x:v>
      </x:c>
      <x:c r="AH475" s="6" t="n">
        <x:f>SUM(D475,J475,P475,V475,AB475)+AH474</x:f>
        <x:v>1220.8400000000001</x:v>
      </x:c>
      <x:c r="AI475" s="2"/>
    </x:row>
    <x:row r="476" ht="23" customHeight="1">
      <x:c r="B476" s="2" t="n">
        <x:f>468</x:f>
        <x:v>468</x:v>
      </x:c>
      <x:c r="C476" s="6" t="n">
        <x:f>H475</x:f>
        <x:v>0</x:v>
      </x:c>
      <x:c r="D476" s="6" t="n">
        <x:f>ROUND(C476*'Debt strategy'!$D$9/12,2)</x:f>
        <x:v>0</x:v>
      </x:c>
      <x:c r="E476" s="6" t="n">
        <x:f>MIN(C476+D476,'Debt strategy'!$E$9)</x:f>
        <x:v>0</x:v>
      </x:c>
      <x:c r="F476" s="27" t="n">
        <x:f>IF(C476+D476-E476&lt;=0,99,1+SUM(IF(AND(I476+J476-K476&gt;0,OR('Debt strategy'!$D$10&gt;'Debt strategy'!$D$9,AND('Debt strategy'!$D$10='Debt strategy'!$D$9,1&lt;0))),1,0),IF(AND(O476+P476-Q476&gt;0,OR('Debt strategy'!$D$11&gt;'Debt strategy'!$D$9,AND('Debt strategy'!$D$11='Debt strategy'!$D$9,2&lt;0))),1,0),IF(AND(U476+V476-W476&gt;0,OR('Debt strategy'!$D$12&gt;'Debt strategy'!$D$9,AND('Debt strategy'!$D$12='Debt strategy'!$D$9,3&lt;0))),1,0),IF(AND(AA476+AB476-AC476&gt;0,OR('Debt strategy'!$D$13&gt;'Debt strategy'!$D$9,AND('Debt strategy'!$D$13='Debt strategy'!$D$9,4&lt;0))),1,0)))</x:f>
        <x:v>99</x:v>
      </x:c>
      <x:c r="G476" s="6" t="n">
        <x:f>IF('Debt strategy'!$C$16&gt;0,0,MIN(C476+D476-E476,MAX(0,'Debt strategy'!$C$5-SUM(E476,K476,Q476,W476,AC476)-SUM(IF(L476&lt;F476,I476+J476-K476,0),IF(R476&lt;F476,O476+P476-Q476,0),IF(X476&lt;F476,U476+V476-W476,0),IF(AD476&lt;F476,AA476+AB476-AC476,0)))))</x:f>
        <x:v>0</x:v>
      </x:c>
      <x:c r="H476" s="6" t="n">
        <x:f>ROUND(MAX(0,C476+D476-E476-G476),2)</x:f>
        <x:v>0</x:v>
      </x:c>
      <x:c r="I476" s="6" t="n">
        <x:f>N475</x:f>
        <x:v>0</x:v>
      </x:c>
      <x:c r="J476" s="6" t="n">
        <x:f>ROUND(I476*'Debt strategy'!$D$10/12,2)</x:f>
        <x:v>0</x:v>
      </x:c>
      <x:c r="K476" s="6" t="n">
        <x:f>MIN(I476+J476,'Debt strategy'!$E$10)</x:f>
        <x:v>0</x:v>
      </x:c>
      <x:c r="L476" s="27" t="n">
        <x:f>IF(I476+J476-K476&lt;=0,99,1+SUM(IF(AND(C476+D476-E476&gt;0,OR('Debt strategy'!$D$9&gt;'Debt strategy'!$D$10,AND('Debt strategy'!$D$9='Debt strategy'!$D$10,0&lt;1))),1,0),IF(AND(O476+P476-Q476&gt;0,OR('Debt strategy'!$D$11&gt;'Debt strategy'!$D$10,AND('Debt strategy'!$D$11='Debt strategy'!$D$10,2&lt;1))),1,0),IF(AND(U476+V476-W476&gt;0,OR('Debt strategy'!$D$12&gt;'Debt strategy'!$D$10,AND('Debt strategy'!$D$12='Debt strategy'!$D$10,3&lt;1))),1,0),IF(AND(AA476+AB476-AC476&gt;0,OR('Debt strategy'!$D$13&gt;'Debt strategy'!$D$10,AND('Debt strategy'!$D$13='Debt strategy'!$D$10,4&lt;1))),1,0)))</x:f>
        <x:v>99</x:v>
      </x:c>
      <x:c r="M476" s="6" t="n">
        <x:f>IF('Debt strategy'!$C$16&gt;0,0,MIN(I476+J476-K476,MAX(0,'Debt strategy'!$C$5-SUM(E476,K476,Q476,W476,AC476)-SUM(IF(F476&lt;L476,C476+D476-E476,0),IF(R476&lt;L476,O476+P476-Q476,0),IF(X476&lt;L476,U476+V476-W476,0),IF(AD476&lt;L476,AA476+AB476-AC476,0)))))</x:f>
        <x:v>0</x:v>
      </x:c>
      <x:c r="N476" s="6" t="n">
        <x:f>ROUND(MAX(0,I476+J476-K476-M476),2)</x:f>
        <x:v>0</x:v>
      </x:c>
      <x:c r="O476" s="6" t="n">
        <x:f>T475</x:f>
        <x:v>0</x:v>
      </x:c>
      <x:c r="P476" s="6" t="n">
        <x:f>ROUND(O476*'Debt strategy'!$D$11/12,2)</x:f>
        <x:v>0</x:v>
      </x:c>
      <x:c r="Q476" s="6" t="n">
        <x:f>MIN(O476+P476,'Debt strategy'!$E$11)</x:f>
        <x:v>0</x:v>
      </x:c>
      <x:c r="R476" s="27" t="n">
        <x:f>IF(O476+P476-Q476&lt;=0,99,1+SUM(IF(AND(C476+D476-E476&gt;0,OR('Debt strategy'!$D$9&gt;'Debt strategy'!$D$11,AND('Debt strategy'!$D$9='Debt strategy'!$D$11,0&lt;2))),1,0),IF(AND(I476+J476-K476&gt;0,OR('Debt strategy'!$D$10&gt;'Debt strategy'!$D$11,AND('Debt strategy'!$D$10='Debt strategy'!$D$11,1&lt;2))),1,0),IF(AND(U476+V476-W476&gt;0,OR('Debt strategy'!$D$12&gt;'Debt strategy'!$D$11,AND('Debt strategy'!$D$12='Debt strategy'!$D$11,3&lt;2))),1,0),IF(AND(AA476+AB476-AC476&gt;0,OR('Debt strategy'!$D$13&gt;'Debt strategy'!$D$11,AND('Debt strategy'!$D$13='Debt strategy'!$D$11,4&lt;2))),1,0)))</x:f>
        <x:v>99</x:v>
      </x:c>
      <x:c r="S476" s="6" t="n">
        <x:f>IF('Debt strategy'!$C$16&gt;0,0,MIN(O476+P476-Q476,MAX(0,'Debt strategy'!$C$5-SUM(E476,K476,Q476,W476,AC476)-SUM(IF(F476&lt;R476,C476+D476-E476,0),IF(L476&lt;R476,I476+J476-K476,0),IF(X476&lt;R476,U476+V476-W476,0),IF(AD476&lt;R476,AA476+AB476-AC476,0)))))</x:f>
        <x:v>0</x:v>
      </x:c>
      <x:c r="T476" s="6" t="n">
        <x:f>ROUND(MAX(0,O476+P476-Q476-S476),2)</x:f>
        <x:v>0</x:v>
      </x:c>
      <x:c r="U476" s="6" t="n">
        <x:f>Z475</x:f>
        <x:v>0</x:v>
      </x:c>
      <x:c r="V476" s="6" t="n">
        <x:f>ROUND(U476*'Debt strategy'!$D$12/12,2)</x:f>
        <x:v>0</x:v>
      </x:c>
      <x:c r="W476" s="6" t="n">
        <x:f>MIN(U476+V476,'Debt strategy'!$E$12)</x:f>
        <x:v>0</x:v>
      </x:c>
      <x:c r="X476" s="27" t="n">
        <x:f>IF(U476+V476-W476&lt;=0,99,1+SUM(IF(AND(C476+D476-E476&gt;0,OR('Debt strategy'!$D$9&gt;'Debt strategy'!$D$12,AND('Debt strategy'!$D$9='Debt strategy'!$D$12,0&lt;3))),1,0),IF(AND(I476+J476-K476&gt;0,OR('Debt strategy'!$D$10&gt;'Debt strategy'!$D$12,AND('Debt strategy'!$D$10='Debt strategy'!$D$12,1&lt;3))),1,0),IF(AND(O476+P476-Q476&gt;0,OR('Debt strategy'!$D$11&gt;'Debt strategy'!$D$12,AND('Debt strategy'!$D$11='Debt strategy'!$D$12,2&lt;3))),1,0),IF(AND(AA476+AB476-AC476&gt;0,OR('Debt strategy'!$D$13&gt;'Debt strategy'!$D$12,AND('Debt strategy'!$D$13='Debt strategy'!$D$12,4&lt;3))),1,0)))</x:f>
        <x:v>99</x:v>
      </x:c>
      <x:c r="Y476" s="6" t="n">
        <x:f>IF('Debt strategy'!$C$16&gt;0,0,MIN(U476+V476-W476,MAX(0,'Debt strategy'!$C$5-SUM(E476,K476,Q476,W476,AC476)-SUM(IF(F476&lt;X476,C476+D476-E476,0),IF(L476&lt;X476,I476+J476-K476,0),IF(R476&lt;X476,O476+P476-Q476,0),IF(AD476&lt;X476,AA476+AB476-AC476,0)))))</x:f>
        <x:v>0</x:v>
      </x:c>
      <x:c r="Z476" s="6" t="n">
        <x:f>ROUND(MAX(0,U476+V476-W476-Y476),2)</x:f>
        <x:v>0</x:v>
      </x:c>
      <x:c r="AA476" s="6" t="n">
        <x:f>AF475</x:f>
        <x:v>0</x:v>
      </x:c>
      <x:c r="AB476" s="6" t="n">
        <x:f>ROUND(AA476*'Debt strategy'!$D$13/12,2)</x:f>
        <x:v>0</x:v>
      </x:c>
      <x:c r="AC476" s="6" t="n">
        <x:f>MIN(AA476+AB476,'Debt strategy'!$E$13)</x:f>
        <x:v>0</x:v>
      </x:c>
      <x:c r="AD476" s="27" t="n">
        <x:f>IF(AA476+AB476-AC476&lt;=0,99,1+SUM(IF(AND(C476+D476-E476&gt;0,OR('Debt strategy'!$D$9&gt;'Debt strategy'!$D$13,AND('Debt strategy'!$D$9='Debt strategy'!$D$13,0&lt;4))),1,0),IF(AND(I476+J476-K476&gt;0,OR('Debt strategy'!$D$10&gt;'Debt strategy'!$D$13,AND('Debt strategy'!$D$10='Debt strategy'!$D$13,1&lt;4))),1,0),IF(AND(O476+P476-Q476&gt;0,OR('Debt strategy'!$D$11&gt;'Debt strategy'!$D$13,AND('Debt strategy'!$D$11='Debt strategy'!$D$13,2&lt;4))),1,0),IF(AND(U476+V476-W476&gt;0,OR('Debt strategy'!$D$12&gt;'Debt strategy'!$D$13,AND('Debt strategy'!$D$12='Debt strategy'!$D$13,3&lt;4))),1,0)))</x:f>
        <x:v>99</x:v>
      </x:c>
      <x:c r="AE476" s="6" t="n">
        <x:f>IF('Debt strategy'!$C$16&gt;0,0,MIN(AA476+AB476-AC476,MAX(0,'Debt strategy'!$C$5-SUM(E476,K476,Q476,W476,AC476)-SUM(IF(F476&lt;AD476,C476+D476-E476,0),IF(L476&lt;AD476,I476+J476-K476,0),IF(R476&lt;AD476,O476+P476-Q476,0),IF(X476&lt;AD476,U476+V476-W476,0)))))</x:f>
        <x:v>0</x:v>
      </x:c>
      <x:c r="AF476" s="6" t="n">
        <x:f>ROUND(MAX(0,AA476+AB476-AC476-AE476),2)</x:f>
        <x:v>0</x:v>
      </x:c>
      <x:c r="AG476" s="6" t="n">
        <x:f>SUM(H476,N476,T476,Z476,AF476)</x:f>
        <x:v>0</x:v>
      </x:c>
      <x:c r="AH476" s="6" t="n">
        <x:f>SUM(D476,J476,P476,V476,AB476)+AH475</x:f>
        <x:v>1220.8400000000001</x:v>
      </x:c>
      <x:c r="AI476" s="2"/>
    </x:row>
    <x:row r="477" ht="23" customHeight="1">
      <x:c r="B477" s="2" t="n">
        <x:f>469</x:f>
        <x:v>469</x:v>
      </x:c>
      <x:c r="C477" s="6" t="n">
        <x:f>H476</x:f>
        <x:v>0</x:v>
      </x:c>
      <x:c r="D477" s="6" t="n">
        <x:f>ROUND(C477*'Debt strategy'!$D$9/12,2)</x:f>
        <x:v>0</x:v>
      </x:c>
      <x:c r="E477" s="6" t="n">
        <x:f>MIN(C477+D477,'Debt strategy'!$E$9)</x:f>
        <x:v>0</x:v>
      </x:c>
      <x:c r="F477" s="27" t="n">
        <x:f>IF(C477+D477-E477&lt;=0,99,1+SUM(IF(AND(I477+J477-K477&gt;0,OR('Debt strategy'!$D$10&gt;'Debt strategy'!$D$9,AND('Debt strategy'!$D$10='Debt strategy'!$D$9,1&lt;0))),1,0),IF(AND(O477+P477-Q477&gt;0,OR('Debt strategy'!$D$11&gt;'Debt strategy'!$D$9,AND('Debt strategy'!$D$11='Debt strategy'!$D$9,2&lt;0))),1,0),IF(AND(U477+V477-W477&gt;0,OR('Debt strategy'!$D$12&gt;'Debt strategy'!$D$9,AND('Debt strategy'!$D$12='Debt strategy'!$D$9,3&lt;0))),1,0),IF(AND(AA477+AB477-AC477&gt;0,OR('Debt strategy'!$D$13&gt;'Debt strategy'!$D$9,AND('Debt strategy'!$D$13='Debt strategy'!$D$9,4&lt;0))),1,0)))</x:f>
        <x:v>99</x:v>
      </x:c>
      <x:c r="G477" s="6" t="n">
        <x:f>IF('Debt strategy'!$C$16&gt;0,0,MIN(C477+D477-E477,MAX(0,'Debt strategy'!$C$5-SUM(E477,K477,Q477,W477,AC477)-SUM(IF(L477&lt;F477,I477+J477-K477,0),IF(R477&lt;F477,O477+P477-Q477,0),IF(X477&lt;F477,U477+V477-W477,0),IF(AD477&lt;F477,AA477+AB477-AC477,0)))))</x:f>
        <x:v>0</x:v>
      </x:c>
      <x:c r="H477" s="6" t="n">
        <x:f>ROUND(MAX(0,C477+D477-E477-G477),2)</x:f>
        <x:v>0</x:v>
      </x:c>
      <x:c r="I477" s="6" t="n">
        <x:f>N476</x:f>
        <x:v>0</x:v>
      </x:c>
      <x:c r="J477" s="6" t="n">
        <x:f>ROUND(I477*'Debt strategy'!$D$10/12,2)</x:f>
        <x:v>0</x:v>
      </x:c>
      <x:c r="K477" s="6" t="n">
        <x:f>MIN(I477+J477,'Debt strategy'!$E$10)</x:f>
        <x:v>0</x:v>
      </x:c>
      <x:c r="L477" s="27" t="n">
        <x:f>IF(I477+J477-K477&lt;=0,99,1+SUM(IF(AND(C477+D477-E477&gt;0,OR('Debt strategy'!$D$9&gt;'Debt strategy'!$D$10,AND('Debt strategy'!$D$9='Debt strategy'!$D$10,0&lt;1))),1,0),IF(AND(O477+P477-Q477&gt;0,OR('Debt strategy'!$D$11&gt;'Debt strategy'!$D$10,AND('Debt strategy'!$D$11='Debt strategy'!$D$10,2&lt;1))),1,0),IF(AND(U477+V477-W477&gt;0,OR('Debt strategy'!$D$12&gt;'Debt strategy'!$D$10,AND('Debt strategy'!$D$12='Debt strategy'!$D$10,3&lt;1))),1,0),IF(AND(AA477+AB477-AC477&gt;0,OR('Debt strategy'!$D$13&gt;'Debt strategy'!$D$10,AND('Debt strategy'!$D$13='Debt strategy'!$D$10,4&lt;1))),1,0)))</x:f>
        <x:v>99</x:v>
      </x:c>
      <x:c r="M477" s="6" t="n">
        <x:f>IF('Debt strategy'!$C$16&gt;0,0,MIN(I477+J477-K477,MAX(0,'Debt strategy'!$C$5-SUM(E477,K477,Q477,W477,AC477)-SUM(IF(F477&lt;L477,C477+D477-E477,0),IF(R477&lt;L477,O477+P477-Q477,0),IF(X477&lt;L477,U477+V477-W477,0),IF(AD477&lt;L477,AA477+AB477-AC477,0)))))</x:f>
        <x:v>0</x:v>
      </x:c>
      <x:c r="N477" s="6" t="n">
        <x:f>ROUND(MAX(0,I477+J477-K477-M477),2)</x:f>
        <x:v>0</x:v>
      </x:c>
      <x:c r="O477" s="6" t="n">
        <x:f>T476</x:f>
        <x:v>0</x:v>
      </x:c>
      <x:c r="P477" s="6" t="n">
        <x:f>ROUND(O477*'Debt strategy'!$D$11/12,2)</x:f>
        <x:v>0</x:v>
      </x:c>
      <x:c r="Q477" s="6" t="n">
        <x:f>MIN(O477+P477,'Debt strategy'!$E$11)</x:f>
        <x:v>0</x:v>
      </x:c>
      <x:c r="R477" s="27" t="n">
        <x:f>IF(O477+P477-Q477&lt;=0,99,1+SUM(IF(AND(C477+D477-E477&gt;0,OR('Debt strategy'!$D$9&gt;'Debt strategy'!$D$11,AND('Debt strategy'!$D$9='Debt strategy'!$D$11,0&lt;2))),1,0),IF(AND(I477+J477-K477&gt;0,OR('Debt strategy'!$D$10&gt;'Debt strategy'!$D$11,AND('Debt strategy'!$D$10='Debt strategy'!$D$11,1&lt;2))),1,0),IF(AND(U477+V477-W477&gt;0,OR('Debt strategy'!$D$12&gt;'Debt strategy'!$D$11,AND('Debt strategy'!$D$12='Debt strategy'!$D$11,3&lt;2))),1,0),IF(AND(AA477+AB477-AC477&gt;0,OR('Debt strategy'!$D$13&gt;'Debt strategy'!$D$11,AND('Debt strategy'!$D$13='Debt strategy'!$D$11,4&lt;2))),1,0)))</x:f>
        <x:v>99</x:v>
      </x:c>
      <x:c r="S477" s="6" t="n">
        <x:f>IF('Debt strategy'!$C$16&gt;0,0,MIN(O477+P477-Q477,MAX(0,'Debt strategy'!$C$5-SUM(E477,K477,Q477,W477,AC477)-SUM(IF(F477&lt;R477,C477+D477-E477,0),IF(L477&lt;R477,I477+J477-K477,0),IF(X477&lt;R477,U477+V477-W477,0),IF(AD477&lt;R477,AA477+AB477-AC477,0)))))</x:f>
        <x:v>0</x:v>
      </x:c>
      <x:c r="T477" s="6" t="n">
        <x:f>ROUND(MAX(0,O477+P477-Q477-S477),2)</x:f>
        <x:v>0</x:v>
      </x:c>
      <x:c r="U477" s="6" t="n">
        <x:f>Z476</x:f>
        <x:v>0</x:v>
      </x:c>
      <x:c r="V477" s="6" t="n">
        <x:f>ROUND(U477*'Debt strategy'!$D$12/12,2)</x:f>
        <x:v>0</x:v>
      </x:c>
      <x:c r="W477" s="6" t="n">
        <x:f>MIN(U477+V477,'Debt strategy'!$E$12)</x:f>
        <x:v>0</x:v>
      </x:c>
      <x:c r="X477" s="27" t="n">
        <x:f>IF(U477+V477-W477&lt;=0,99,1+SUM(IF(AND(C477+D477-E477&gt;0,OR('Debt strategy'!$D$9&gt;'Debt strategy'!$D$12,AND('Debt strategy'!$D$9='Debt strategy'!$D$12,0&lt;3))),1,0),IF(AND(I477+J477-K477&gt;0,OR('Debt strategy'!$D$10&gt;'Debt strategy'!$D$12,AND('Debt strategy'!$D$10='Debt strategy'!$D$12,1&lt;3))),1,0),IF(AND(O477+P477-Q477&gt;0,OR('Debt strategy'!$D$11&gt;'Debt strategy'!$D$12,AND('Debt strategy'!$D$11='Debt strategy'!$D$12,2&lt;3))),1,0),IF(AND(AA477+AB477-AC477&gt;0,OR('Debt strategy'!$D$13&gt;'Debt strategy'!$D$12,AND('Debt strategy'!$D$13='Debt strategy'!$D$12,4&lt;3))),1,0)))</x:f>
        <x:v>99</x:v>
      </x:c>
      <x:c r="Y477" s="6" t="n">
        <x:f>IF('Debt strategy'!$C$16&gt;0,0,MIN(U477+V477-W477,MAX(0,'Debt strategy'!$C$5-SUM(E477,K477,Q477,W477,AC477)-SUM(IF(F477&lt;X477,C477+D477-E477,0),IF(L477&lt;X477,I477+J477-K477,0),IF(R477&lt;X477,O477+P477-Q477,0),IF(AD477&lt;X477,AA477+AB477-AC477,0)))))</x:f>
        <x:v>0</x:v>
      </x:c>
      <x:c r="Z477" s="6" t="n">
        <x:f>ROUND(MAX(0,U477+V477-W477-Y477),2)</x:f>
        <x:v>0</x:v>
      </x:c>
      <x:c r="AA477" s="6" t="n">
        <x:f>AF476</x:f>
        <x:v>0</x:v>
      </x:c>
      <x:c r="AB477" s="6" t="n">
        <x:f>ROUND(AA477*'Debt strategy'!$D$13/12,2)</x:f>
        <x:v>0</x:v>
      </x:c>
      <x:c r="AC477" s="6" t="n">
        <x:f>MIN(AA477+AB477,'Debt strategy'!$E$13)</x:f>
        <x:v>0</x:v>
      </x:c>
      <x:c r="AD477" s="27" t="n">
        <x:f>IF(AA477+AB477-AC477&lt;=0,99,1+SUM(IF(AND(C477+D477-E477&gt;0,OR('Debt strategy'!$D$9&gt;'Debt strategy'!$D$13,AND('Debt strategy'!$D$9='Debt strategy'!$D$13,0&lt;4))),1,0),IF(AND(I477+J477-K477&gt;0,OR('Debt strategy'!$D$10&gt;'Debt strategy'!$D$13,AND('Debt strategy'!$D$10='Debt strategy'!$D$13,1&lt;4))),1,0),IF(AND(O477+P477-Q477&gt;0,OR('Debt strategy'!$D$11&gt;'Debt strategy'!$D$13,AND('Debt strategy'!$D$11='Debt strategy'!$D$13,2&lt;4))),1,0),IF(AND(U477+V477-W477&gt;0,OR('Debt strategy'!$D$12&gt;'Debt strategy'!$D$13,AND('Debt strategy'!$D$12='Debt strategy'!$D$13,3&lt;4))),1,0)))</x:f>
        <x:v>99</x:v>
      </x:c>
      <x:c r="AE477" s="6" t="n">
        <x:f>IF('Debt strategy'!$C$16&gt;0,0,MIN(AA477+AB477-AC477,MAX(0,'Debt strategy'!$C$5-SUM(E477,K477,Q477,W477,AC477)-SUM(IF(F477&lt;AD477,C477+D477-E477,0),IF(L477&lt;AD477,I477+J477-K477,0),IF(R477&lt;AD477,O477+P477-Q477,0),IF(X477&lt;AD477,U477+V477-W477,0)))))</x:f>
        <x:v>0</x:v>
      </x:c>
      <x:c r="AF477" s="6" t="n">
        <x:f>ROUND(MAX(0,AA477+AB477-AC477-AE477),2)</x:f>
        <x:v>0</x:v>
      </x:c>
      <x:c r="AG477" s="6" t="n">
        <x:f>SUM(H477,N477,T477,Z477,AF477)</x:f>
        <x:v>0</x:v>
      </x:c>
      <x:c r="AH477" s="6" t="n">
        <x:f>SUM(D477,J477,P477,V477,AB477)+AH476</x:f>
        <x:v>1220.8400000000001</x:v>
      </x:c>
      <x:c r="AI477" s="2"/>
    </x:row>
    <x:row r="478" ht="23" customHeight="1">
      <x:c r="B478" s="2" t="n">
        <x:f>470</x:f>
        <x:v>470</x:v>
      </x:c>
      <x:c r="C478" s="6" t="n">
        <x:f>H477</x:f>
        <x:v>0</x:v>
      </x:c>
      <x:c r="D478" s="6" t="n">
        <x:f>ROUND(C478*'Debt strategy'!$D$9/12,2)</x:f>
        <x:v>0</x:v>
      </x:c>
      <x:c r="E478" s="6" t="n">
        <x:f>MIN(C478+D478,'Debt strategy'!$E$9)</x:f>
        <x:v>0</x:v>
      </x:c>
      <x:c r="F478" s="27" t="n">
        <x:f>IF(C478+D478-E478&lt;=0,99,1+SUM(IF(AND(I478+J478-K478&gt;0,OR('Debt strategy'!$D$10&gt;'Debt strategy'!$D$9,AND('Debt strategy'!$D$10='Debt strategy'!$D$9,1&lt;0))),1,0),IF(AND(O478+P478-Q478&gt;0,OR('Debt strategy'!$D$11&gt;'Debt strategy'!$D$9,AND('Debt strategy'!$D$11='Debt strategy'!$D$9,2&lt;0))),1,0),IF(AND(U478+V478-W478&gt;0,OR('Debt strategy'!$D$12&gt;'Debt strategy'!$D$9,AND('Debt strategy'!$D$12='Debt strategy'!$D$9,3&lt;0))),1,0),IF(AND(AA478+AB478-AC478&gt;0,OR('Debt strategy'!$D$13&gt;'Debt strategy'!$D$9,AND('Debt strategy'!$D$13='Debt strategy'!$D$9,4&lt;0))),1,0)))</x:f>
        <x:v>99</x:v>
      </x:c>
      <x:c r="G478" s="6" t="n">
        <x:f>IF('Debt strategy'!$C$16&gt;0,0,MIN(C478+D478-E478,MAX(0,'Debt strategy'!$C$5-SUM(E478,K478,Q478,W478,AC478)-SUM(IF(L478&lt;F478,I478+J478-K478,0),IF(R478&lt;F478,O478+P478-Q478,0),IF(X478&lt;F478,U478+V478-W478,0),IF(AD478&lt;F478,AA478+AB478-AC478,0)))))</x:f>
        <x:v>0</x:v>
      </x:c>
      <x:c r="H478" s="6" t="n">
        <x:f>ROUND(MAX(0,C478+D478-E478-G478),2)</x:f>
        <x:v>0</x:v>
      </x:c>
      <x:c r="I478" s="6" t="n">
        <x:f>N477</x:f>
        <x:v>0</x:v>
      </x:c>
      <x:c r="J478" s="6" t="n">
        <x:f>ROUND(I478*'Debt strategy'!$D$10/12,2)</x:f>
        <x:v>0</x:v>
      </x:c>
      <x:c r="K478" s="6" t="n">
        <x:f>MIN(I478+J478,'Debt strategy'!$E$10)</x:f>
        <x:v>0</x:v>
      </x:c>
      <x:c r="L478" s="27" t="n">
        <x:f>IF(I478+J478-K478&lt;=0,99,1+SUM(IF(AND(C478+D478-E478&gt;0,OR('Debt strategy'!$D$9&gt;'Debt strategy'!$D$10,AND('Debt strategy'!$D$9='Debt strategy'!$D$10,0&lt;1))),1,0),IF(AND(O478+P478-Q478&gt;0,OR('Debt strategy'!$D$11&gt;'Debt strategy'!$D$10,AND('Debt strategy'!$D$11='Debt strategy'!$D$10,2&lt;1))),1,0),IF(AND(U478+V478-W478&gt;0,OR('Debt strategy'!$D$12&gt;'Debt strategy'!$D$10,AND('Debt strategy'!$D$12='Debt strategy'!$D$10,3&lt;1))),1,0),IF(AND(AA478+AB478-AC478&gt;0,OR('Debt strategy'!$D$13&gt;'Debt strategy'!$D$10,AND('Debt strategy'!$D$13='Debt strategy'!$D$10,4&lt;1))),1,0)))</x:f>
        <x:v>99</x:v>
      </x:c>
      <x:c r="M478" s="6" t="n">
        <x:f>IF('Debt strategy'!$C$16&gt;0,0,MIN(I478+J478-K478,MAX(0,'Debt strategy'!$C$5-SUM(E478,K478,Q478,W478,AC478)-SUM(IF(F478&lt;L478,C478+D478-E478,0),IF(R478&lt;L478,O478+P478-Q478,0),IF(X478&lt;L478,U478+V478-W478,0),IF(AD478&lt;L478,AA478+AB478-AC478,0)))))</x:f>
        <x:v>0</x:v>
      </x:c>
      <x:c r="N478" s="6" t="n">
        <x:f>ROUND(MAX(0,I478+J478-K478-M478),2)</x:f>
        <x:v>0</x:v>
      </x:c>
      <x:c r="O478" s="6" t="n">
        <x:f>T477</x:f>
        <x:v>0</x:v>
      </x:c>
      <x:c r="P478" s="6" t="n">
        <x:f>ROUND(O478*'Debt strategy'!$D$11/12,2)</x:f>
        <x:v>0</x:v>
      </x:c>
      <x:c r="Q478" s="6" t="n">
        <x:f>MIN(O478+P478,'Debt strategy'!$E$11)</x:f>
        <x:v>0</x:v>
      </x:c>
      <x:c r="R478" s="27" t="n">
        <x:f>IF(O478+P478-Q478&lt;=0,99,1+SUM(IF(AND(C478+D478-E478&gt;0,OR('Debt strategy'!$D$9&gt;'Debt strategy'!$D$11,AND('Debt strategy'!$D$9='Debt strategy'!$D$11,0&lt;2))),1,0),IF(AND(I478+J478-K478&gt;0,OR('Debt strategy'!$D$10&gt;'Debt strategy'!$D$11,AND('Debt strategy'!$D$10='Debt strategy'!$D$11,1&lt;2))),1,0),IF(AND(U478+V478-W478&gt;0,OR('Debt strategy'!$D$12&gt;'Debt strategy'!$D$11,AND('Debt strategy'!$D$12='Debt strategy'!$D$11,3&lt;2))),1,0),IF(AND(AA478+AB478-AC478&gt;0,OR('Debt strategy'!$D$13&gt;'Debt strategy'!$D$11,AND('Debt strategy'!$D$13='Debt strategy'!$D$11,4&lt;2))),1,0)))</x:f>
        <x:v>99</x:v>
      </x:c>
      <x:c r="S478" s="6" t="n">
        <x:f>IF('Debt strategy'!$C$16&gt;0,0,MIN(O478+P478-Q478,MAX(0,'Debt strategy'!$C$5-SUM(E478,K478,Q478,W478,AC478)-SUM(IF(F478&lt;R478,C478+D478-E478,0),IF(L478&lt;R478,I478+J478-K478,0),IF(X478&lt;R478,U478+V478-W478,0),IF(AD478&lt;R478,AA478+AB478-AC478,0)))))</x:f>
        <x:v>0</x:v>
      </x:c>
      <x:c r="T478" s="6" t="n">
        <x:f>ROUND(MAX(0,O478+P478-Q478-S478),2)</x:f>
        <x:v>0</x:v>
      </x:c>
      <x:c r="U478" s="6" t="n">
        <x:f>Z477</x:f>
        <x:v>0</x:v>
      </x:c>
      <x:c r="V478" s="6" t="n">
        <x:f>ROUND(U478*'Debt strategy'!$D$12/12,2)</x:f>
        <x:v>0</x:v>
      </x:c>
      <x:c r="W478" s="6" t="n">
        <x:f>MIN(U478+V478,'Debt strategy'!$E$12)</x:f>
        <x:v>0</x:v>
      </x:c>
      <x:c r="X478" s="27" t="n">
        <x:f>IF(U478+V478-W478&lt;=0,99,1+SUM(IF(AND(C478+D478-E478&gt;0,OR('Debt strategy'!$D$9&gt;'Debt strategy'!$D$12,AND('Debt strategy'!$D$9='Debt strategy'!$D$12,0&lt;3))),1,0),IF(AND(I478+J478-K478&gt;0,OR('Debt strategy'!$D$10&gt;'Debt strategy'!$D$12,AND('Debt strategy'!$D$10='Debt strategy'!$D$12,1&lt;3))),1,0),IF(AND(O478+P478-Q478&gt;0,OR('Debt strategy'!$D$11&gt;'Debt strategy'!$D$12,AND('Debt strategy'!$D$11='Debt strategy'!$D$12,2&lt;3))),1,0),IF(AND(AA478+AB478-AC478&gt;0,OR('Debt strategy'!$D$13&gt;'Debt strategy'!$D$12,AND('Debt strategy'!$D$13='Debt strategy'!$D$12,4&lt;3))),1,0)))</x:f>
        <x:v>99</x:v>
      </x:c>
      <x:c r="Y478" s="6" t="n">
        <x:f>IF('Debt strategy'!$C$16&gt;0,0,MIN(U478+V478-W478,MAX(0,'Debt strategy'!$C$5-SUM(E478,K478,Q478,W478,AC478)-SUM(IF(F478&lt;X478,C478+D478-E478,0),IF(L478&lt;X478,I478+J478-K478,0),IF(R478&lt;X478,O478+P478-Q478,0),IF(AD478&lt;X478,AA478+AB478-AC478,0)))))</x:f>
        <x:v>0</x:v>
      </x:c>
      <x:c r="Z478" s="6" t="n">
        <x:f>ROUND(MAX(0,U478+V478-W478-Y478),2)</x:f>
        <x:v>0</x:v>
      </x:c>
      <x:c r="AA478" s="6" t="n">
        <x:f>AF477</x:f>
        <x:v>0</x:v>
      </x:c>
      <x:c r="AB478" s="6" t="n">
        <x:f>ROUND(AA478*'Debt strategy'!$D$13/12,2)</x:f>
        <x:v>0</x:v>
      </x:c>
      <x:c r="AC478" s="6" t="n">
        <x:f>MIN(AA478+AB478,'Debt strategy'!$E$13)</x:f>
        <x:v>0</x:v>
      </x:c>
      <x:c r="AD478" s="27" t="n">
        <x:f>IF(AA478+AB478-AC478&lt;=0,99,1+SUM(IF(AND(C478+D478-E478&gt;0,OR('Debt strategy'!$D$9&gt;'Debt strategy'!$D$13,AND('Debt strategy'!$D$9='Debt strategy'!$D$13,0&lt;4))),1,0),IF(AND(I478+J478-K478&gt;0,OR('Debt strategy'!$D$10&gt;'Debt strategy'!$D$13,AND('Debt strategy'!$D$10='Debt strategy'!$D$13,1&lt;4))),1,0),IF(AND(O478+P478-Q478&gt;0,OR('Debt strategy'!$D$11&gt;'Debt strategy'!$D$13,AND('Debt strategy'!$D$11='Debt strategy'!$D$13,2&lt;4))),1,0),IF(AND(U478+V478-W478&gt;0,OR('Debt strategy'!$D$12&gt;'Debt strategy'!$D$13,AND('Debt strategy'!$D$12='Debt strategy'!$D$13,3&lt;4))),1,0)))</x:f>
        <x:v>99</x:v>
      </x:c>
      <x:c r="AE478" s="6" t="n">
        <x:f>IF('Debt strategy'!$C$16&gt;0,0,MIN(AA478+AB478-AC478,MAX(0,'Debt strategy'!$C$5-SUM(E478,K478,Q478,W478,AC478)-SUM(IF(F478&lt;AD478,C478+D478-E478,0),IF(L478&lt;AD478,I478+J478-K478,0),IF(R478&lt;AD478,O478+P478-Q478,0),IF(X478&lt;AD478,U478+V478-W478,0)))))</x:f>
        <x:v>0</x:v>
      </x:c>
      <x:c r="AF478" s="6" t="n">
        <x:f>ROUND(MAX(0,AA478+AB478-AC478-AE478),2)</x:f>
        <x:v>0</x:v>
      </x:c>
      <x:c r="AG478" s="6" t="n">
        <x:f>SUM(H478,N478,T478,Z478,AF478)</x:f>
        <x:v>0</x:v>
      </x:c>
      <x:c r="AH478" s="6" t="n">
        <x:f>SUM(D478,J478,P478,V478,AB478)+AH477</x:f>
        <x:v>1220.8400000000001</x:v>
      </x:c>
      <x:c r="AI478" s="2"/>
    </x:row>
    <x:row r="479" ht="23" customHeight="1">
      <x:c r="B479" s="2" t="n">
        <x:f>471</x:f>
        <x:v>471</x:v>
      </x:c>
      <x:c r="C479" s="6" t="n">
        <x:f>H478</x:f>
        <x:v>0</x:v>
      </x:c>
      <x:c r="D479" s="6" t="n">
        <x:f>ROUND(C479*'Debt strategy'!$D$9/12,2)</x:f>
        <x:v>0</x:v>
      </x:c>
      <x:c r="E479" s="6" t="n">
        <x:f>MIN(C479+D479,'Debt strategy'!$E$9)</x:f>
        <x:v>0</x:v>
      </x:c>
      <x:c r="F479" s="27" t="n">
        <x:f>IF(C479+D479-E479&lt;=0,99,1+SUM(IF(AND(I479+J479-K479&gt;0,OR('Debt strategy'!$D$10&gt;'Debt strategy'!$D$9,AND('Debt strategy'!$D$10='Debt strategy'!$D$9,1&lt;0))),1,0),IF(AND(O479+P479-Q479&gt;0,OR('Debt strategy'!$D$11&gt;'Debt strategy'!$D$9,AND('Debt strategy'!$D$11='Debt strategy'!$D$9,2&lt;0))),1,0),IF(AND(U479+V479-W479&gt;0,OR('Debt strategy'!$D$12&gt;'Debt strategy'!$D$9,AND('Debt strategy'!$D$12='Debt strategy'!$D$9,3&lt;0))),1,0),IF(AND(AA479+AB479-AC479&gt;0,OR('Debt strategy'!$D$13&gt;'Debt strategy'!$D$9,AND('Debt strategy'!$D$13='Debt strategy'!$D$9,4&lt;0))),1,0)))</x:f>
        <x:v>99</x:v>
      </x:c>
      <x:c r="G479" s="6" t="n">
        <x:f>IF('Debt strategy'!$C$16&gt;0,0,MIN(C479+D479-E479,MAX(0,'Debt strategy'!$C$5-SUM(E479,K479,Q479,W479,AC479)-SUM(IF(L479&lt;F479,I479+J479-K479,0),IF(R479&lt;F479,O479+P479-Q479,0),IF(X479&lt;F479,U479+V479-W479,0),IF(AD479&lt;F479,AA479+AB479-AC479,0)))))</x:f>
        <x:v>0</x:v>
      </x:c>
      <x:c r="H479" s="6" t="n">
        <x:f>ROUND(MAX(0,C479+D479-E479-G479),2)</x:f>
        <x:v>0</x:v>
      </x:c>
      <x:c r="I479" s="6" t="n">
        <x:f>N478</x:f>
        <x:v>0</x:v>
      </x:c>
      <x:c r="J479" s="6" t="n">
        <x:f>ROUND(I479*'Debt strategy'!$D$10/12,2)</x:f>
        <x:v>0</x:v>
      </x:c>
      <x:c r="K479" s="6" t="n">
        <x:f>MIN(I479+J479,'Debt strategy'!$E$10)</x:f>
        <x:v>0</x:v>
      </x:c>
      <x:c r="L479" s="27" t="n">
        <x:f>IF(I479+J479-K479&lt;=0,99,1+SUM(IF(AND(C479+D479-E479&gt;0,OR('Debt strategy'!$D$9&gt;'Debt strategy'!$D$10,AND('Debt strategy'!$D$9='Debt strategy'!$D$10,0&lt;1))),1,0),IF(AND(O479+P479-Q479&gt;0,OR('Debt strategy'!$D$11&gt;'Debt strategy'!$D$10,AND('Debt strategy'!$D$11='Debt strategy'!$D$10,2&lt;1))),1,0),IF(AND(U479+V479-W479&gt;0,OR('Debt strategy'!$D$12&gt;'Debt strategy'!$D$10,AND('Debt strategy'!$D$12='Debt strategy'!$D$10,3&lt;1))),1,0),IF(AND(AA479+AB479-AC479&gt;0,OR('Debt strategy'!$D$13&gt;'Debt strategy'!$D$10,AND('Debt strategy'!$D$13='Debt strategy'!$D$10,4&lt;1))),1,0)))</x:f>
        <x:v>99</x:v>
      </x:c>
      <x:c r="M479" s="6" t="n">
        <x:f>IF('Debt strategy'!$C$16&gt;0,0,MIN(I479+J479-K479,MAX(0,'Debt strategy'!$C$5-SUM(E479,K479,Q479,W479,AC479)-SUM(IF(F479&lt;L479,C479+D479-E479,0),IF(R479&lt;L479,O479+P479-Q479,0),IF(X479&lt;L479,U479+V479-W479,0),IF(AD479&lt;L479,AA479+AB479-AC479,0)))))</x:f>
        <x:v>0</x:v>
      </x:c>
      <x:c r="N479" s="6" t="n">
        <x:f>ROUND(MAX(0,I479+J479-K479-M479),2)</x:f>
        <x:v>0</x:v>
      </x:c>
      <x:c r="O479" s="6" t="n">
        <x:f>T478</x:f>
        <x:v>0</x:v>
      </x:c>
      <x:c r="P479" s="6" t="n">
        <x:f>ROUND(O479*'Debt strategy'!$D$11/12,2)</x:f>
        <x:v>0</x:v>
      </x:c>
      <x:c r="Q479" s="6" t="n">
        <x:f>MIN(O479+P479,'Debt strategy'!$E$11)</x:f>
        <x:v>0</x:v>
      </x:c>
      <x:c r="R479" s="27" t="n">
        <x:f>IF(O479+P479-Q479&lt;=0,99,1+SUM(IF(AND(C479+D479-E479&gt;0,OR('Debt strategy'!$D$9&gt;'Debt strategy'!$D$11,AND('Debt strategy'!$D$9='Debt strategy'!$D$11,0&lt;2))),1,0),IF(AND(I479+J479-K479&gt;0,OR('Debt strategy'!$D$10&gt;'Debt strategy'!$D$11,AND('Debt strategy'!$D$10='Debt strategy'!$D$11,1&lt;2))),1,0),IF(AND(U479+V479-W479&gt;0,OR('Debt strategy'!$D$12&gt;'Debt strategy'!$D$11,AND('Debt strategy'!$D$12='Debt strategy'!$D$11,3&lt;2))),1,0),IF(AND(AA479+AB479-AC479&gt;0,OR('Debt strategy'!$D$13&gt;'Debt strategy'!$D$11,AND('Debt strategy'!$D$13='Debt strategy'!$D$11,4&lt;2))),1,0)))</x:f>
        <x:v>99</x:v>
      </x:c>
      <x:c r="S479" s="6" t="n">
        <x:f>IF('Debt strategy'!$C$16&gt;0,0,MIN(O479+P479-Q479,MAX(0,'Debt strategy'!$C$5-SUM(E479,K479,Q479,W479,AC479)-SUM(IF(F479&lt;R479,C479+D479-E479,0),IF(L479&lt;R479,I479+J479-K479,0),IF(X479&lt;R479,U479+V479-W479,0),IF(AD479&lt;R479,AA479+AB479-AC479,0)))))</x:f>
        <x:v>0</x:v>
      </x:c>
      <x:c r="T479" s="6" t="n">
        <x:f>ROUND(MAX(0,O479+P479-Q479-S479),2)</x:f>
        <x:v>0</x:v>
      </x:c>
      <x:c r="U479" s="6" t="n">
        <x:f>Z478</x:f>
        <x:v>0</x:v>
      </x:c>
      <x:c r="V479" s="6" t="n">
        <x:f>ROUND(U479*'Debt strategy'!$D$12/12,2)</x:f>
        <x:v>0</x:v>
      </x:c>
      <x:c r="W479" s="6" t="n">
        <x:f>MIN(U479+V479,'Debt strategy'!$E$12)</x:f>
        <x:v>0</x:v>
      </x:c>
      <x:c r="X479" s="27" t="n">
        <x:f>IF(U479+V479-W479&lt;=0,99,1+SUM(IF(AND(C479+D479-E479&gt;0,OR('Debt strategy'!$D$9&gt;'Debt strategy'!$D$12,AND('Debt strategy'!$D$9='Debt strategy'!$D$12,0&lt;3))),1,0),IF(AND(I479+J479-K479&gt;0,OR('Debt strategy'!$D$10&gt;'Debt strategy'!$D$12,AND('Debt strategy'!$D$10='Debt strategy'!$D$12,1&lt;3))),1,0),IF(AND(O479+P479-Q479&gt;0,OR('Debt strategy'!$D$11&gt;'Debt strategy'!$D$12,AND('Debt strategy'!$D$11='Debt strategy'!$D$12,2&lt;3))),1,0),IF(AND(AA479+AB479-AC479&gt;0,OR('Debt strategy'!$D$13&gt;'Debt strategy'!$D$12,AND('Debt strategy'!$D$13='Debt strategy'!$D$12,4&lt;3))),1,0)))</x:f>
        <x:v>99</x:v>
      </x:c>
      <x:c r="Y479" s="6" t="n">
        <x:f>IF('Debt strategy'!$C$16&gt;0,0,MIN(U479+V479-W479,MAX(0,'Debt strategy'!$C$5-SUM(E479,K479,Q479,W479,AC479)-SUM(IF(F479&lt;X479,C479+D479-E479,0),IF(L479&lt;X479,I479+J479-K479,0),IF(R479&lt;X479,O479+P479-Q479,0),IF(AD479&lt;X479,AA479+AB479-AC479,0)))))</x:f>
        <x:v>0</x:v>
      </x:c>
      <x:c r="Z479" s="6" t="n">
        <x:f>ROUND(MAX(0,U479+V479-W479-Y479),2)</x:f>
        <x:v>0</x:v>
      </x:c>
      <x:c r="AA479" s="6" t="n">
        <x:f>AF478</x:f>
        <x:v>0</x:v>
      </x:c>
      <x:c r="AB479" s="6" t="n">
        <x:f>ROUND(AA479*'Debt strategy'!$D$13/12,2)</x:f>
        <x:v>0</x:v>
      </x:c>
      <x:c r="AC479" s="6" t="n">
        <x:f>MIN(AA479+AB479,'Debt strategy'!$E$13)</x:f>
        <x:v>0</x:v>
      </x:c>
      <x:c r="AD479" s="27" t="n">
        <x:f>IF(AA479+AB479-AC479&lt;=0,99,1+SUM(IF(AND(C479+D479-E479&gt;0,OR('Debt strategy'!$D$9&gt;'Debt strategy'!$D$13,AND('Debt strategy'!$D$9='Debt strategy'!$D$13,0&lt;4))),1,0),IF(AND(I479+J479-K479&gt;0,OR('Debt strategy'!$D$10&gt;'Debt strategy'!$D$13,AND('Debt strategy'!$D$10='Debt strategy'!$D$13,1&lt;4))),1,0),IF(AND(O479+P479-Q479&gt;0,OR('Debt strategy'!$D$11&gt;'Debt strategy'!$D$13,AND('Debt strategy'!$D$11='Debt strategy'!$D$13,2&lt;4))),1,0),IF(AND(U479+V479-W479&gt;0,OR('Debt strategy'!$D$12&gt;'Debt strategy'!$D$13,AND('Debt strategy'!$D$12='Debt strategy'!$D$13,3&lt;4))),1,0)))</x:f>
        <x:v>99</x:v>
      </x:c>
      <x:c r="AE479" s="6" t="n">
        <x:f>IF('Debt strategy'!$C$16&gt;0,0,MIN(AA479+AB479-AC479,MAX(0,'Debt strategy'!$C$5-SUM(E479,K479,Q479,W479,AC479)-SUM(IF(F479&lt;AD479,C479+D479-E479,0),IF(L479&lt;AD479,I479+J479-K479,0),IF(R479&lt;AD479,O479+P479-Q479,0),IF(X479&lt;AD479,U479+V479-W479,0)))))</x:f>
        <x:v>0</x:v>
      </x:c>
      <x:c r="AF479" s="6" t="n">
        <x:f>ROUND(MAX(0,AA479+AB479-AC479-AE479),2)</x:f>
        <x:v>0</x:v>
      </x:c>
      <x:c r="AG479" s="6" t="n">
        <x:f>SUM(H479,N479,T479,Z479,AF479)</x:f>
        <x:v>0</x:v>
      </x:c>
      <x:c r="AH479" s="6" t="n">
        <x:f>SUM(D479,J479,P479,V479,AB479)+AH478</x:f>
        <x:v>1220.8400000000001</x:v>
      </x:c>
      <x:c r="AI479" s="2"/>
    </x:row>
    <x:row r="480" ht="23" customHeight="1">
      <x:c r="B480" s="2" t="n">
        <x:f>472</x:f>
        <x:v>472</x:v>
      </x:c>
      <x:c r="C480" s="6" t="n">
        <x:f>H479</x:f>
        <x:v>0</x:v>
      </x:c>
      <x:c r="D480" s="6" t="n">
        <x:f>ROUND(C480*'Debt strategy'!$D$9/12,2)</x:f>
        <x:v>0</x:v>
      </x:c>
      <x:c r="E480" s="6" t="n">
        <x:f>MIN(C480+D480,'Debt strategy'!$E$9)</x:f>
        <x:v>0</x:v>
      </x:c>
      <x:c r="F480" s="27" t="n">
        <x:f>IF(C480+D480-E480&lt;=0,99,1+SUM(IF(AND(I480+J480-K480&gt;0,OR('Debt strategy'!$D$10&gt;'Debt strategy'!$D$9,AND('Debt strategy'!$D$10='Debt strategy'!$D$9,1&lt;0))),1,0),IF(AND(O480+P480-Q480&gt;0,OR('Debt strategy'!$D$11&gt;'Debt strategy'!$D$9,AND('Debt strategy'!$D$11='Debt strategy'!$D$9,2&lt;0))),1,0),IF(AND(U480+V480-W480&gt;0,OR('Debt strategy'!$D$12&gt;'Debt strategy'!$D$9,AND('Debt strategy'!$D$12='Debt strategy'!$D$9,3&lt;0))),1,0),IF(AND(AA480+AB480-AC480&gt;0,OR('Debt strategy'!$D$13&gt;'Debt strategy'!$D$9,AND('Debt strategy'!$D$13='Debt strategy'!$D$9,4&lt;0))),1,0)))</x:f>
        <x:v>99</x:v>
      </x:c>
      <x:c r="G480" s="6" t="n">
        <x:f>IF('Debt strategy'!$C$16&gt;0,0,MIN(C480+D480-E480,MAX(0,'Debt strategy'!$C$5-SUM(E480,K480,Q480,W480,AC480)-SUM(IF(L480&lt;F480,I480+J480-K480,0),IF(R480&lt;F480,O480+P480-Q480,0),IF(X480&lt;F480,U480+V480-W480,0),IF(AD480&lt;F480,AA480+AB480-AC480,0)))))</x:f>
        <x:v>0</x:v>
      </x:c>
      <x:c r="H480" s="6" t="n">
        <x:f>ROUND(MAX(0,C480+D480-E480-G480),2)</x:f>
        <x:v>0</x:v>
      </x:c>
      <x:c r="I480" s="6" t="n">
        <x:f>N479</x:f>
        <x:v>0</x:v>
      </x:c>
      <x:c r="J480" s="6" t="n">
        <x:f>ROUND(I480*'Debt strategy'!$D$10/12,2)</x:f>
        <x:v>0</x:v>
      </x:c>
      <x:c r="K480" s="6" t="n">
        <x:f>MIN(I480+J480,'Debt strategy'!$E$10)</x:f>
        <x:v>0</x:v>
      </x:c>
      <x:c r="L480" s="27" t="n">
        <x:f>IF(I480+J480-K480&lt;=0,99,1+SUM(IF(AND(C480+D480-E480&gt;0,OR('Debt strategy'!$D$9&gt;'Debt strategy'!$D$10,AND('Debt strategy'!$D$9='Debt strategy'!$D$10,0&lt;1))),1,0),IF(AND(O480+P480-Q480&gt;0,OR('Debt strategy'!$D$11&gt;'Debt strategy'!$D$10,AND('Debt strategy'!$D$11='Debt strategy'!$D$10,2&lt;1))),1,0),IF(AND(U480+V480-W480&gt;0,OR('Debt strategy'!$D$12&gt;'Debt strategy'!$D$10,AND('Debt strategy'!$D$12='Debt strategy'!$D$10,3&lt;1))),1,0),IF(AND(AA480+AB480-AC480&gt;0,OR('Debt strategy'!$D$13&gt;'Debt strategy'!$D$10,AND('Debt strategy'!$D$13='Debt strategy'!$D$10,4&lt;1))),1,0)))</x:f>
        <x:v>99</x:v>
      </x:c>
      <x:c r="M480" s="6" t="n">
        <x:f>IF('Debt strategy'!$C$16&gt;0,0,MIN(I480+J480-K480,MAX(0,'Debt strategy'!$C$5-SUM(E480,K480,Q480,W480,AC480)-SUM(IF(F480&lt;L480,C480+D480-E480,0),IF(R480&lt;L480,O480+P480-Q480,0),IF(X480&lt;L480,U480+V480-W480,0),IF(AD480&lt;L480,AA480+AB480-AC480,0)))))</x:f>
        <x:v>0</x:v>
      </x:c>
      <x:c r="N480" s="6" t="n">
        <x:f>ROUND(MAX(0,I480+J480-K480-M480),2)</x:f>
        <x:v>0</x:v>
      </x:c>
      <x:c r="O480" s="6" t="n">
        <x:f>T479</x:f>
        <x:v>0</x:v>
      </x:c>
      <x:c r="P480" s="6" t="n">
        <x:f>ROUND(O480*'Debt strategy'!$D$11/12,2)</x:f>
        <x:v>0</x:v>
      </x:c>
      <x:c r="Q480" s="6" t="n">
        <x:f>MIN(O480+P480,'Debt strategy'!$E$11)</x:f>
        <x:v>0</x:v>
      </x:c>
      <x:c r="R480" s="27" t="n">
        <x:f>IF(O480+P480-Q480&lt;=0,99,1+SUM(IF(AND(C480+D480-E480&gt;0,OR('Debt strategy'!$D$9&gt;'Debt strategy'!$D$11,AND('Debt strategy'!$D$9='Debt strategy'!$D$11,0&lt;2))),1,0),IF(AND(I480+J480-K480&gt;0,OR('Debt strategy'!$D$10&gt;'Debt strategy'!$D$11,AND('Debt strategy'!$D$10='Debt strategy'!$D$11,1&lt;2))),1,0),IF(AND(U480+V480-W480&gt;0,OR('Debt strategy'!$D$12&gt;'Debt strategy'!$D$11,AND('Debt strategy'!$D$12='Debt strategy'!$D$11,3&lt;2))),1,0),IF(AND(AA480+AB480-AC480&gt;0,OR('Debt strategy'!$D$13&gt;'Debt strategy'!$D$11,AND('Debt strategy'!$D$13='Debt strategy'!$D$11,4&lt;2))),1,0)))</x:f>
        <x:v>99</x:v>
      </x:c>
      <x:c r="S480" s="6" t="n">
        <x:f>IF('Debt strategy'!$C$16&gt;0,0,MIN(O480+P480-Q480,MAX(0,'Debt strategy'!$C$5-SUM(E480,K480,Q480,W480,AC480)-SUM(IF(F480&lt;R480,C480+D480-E480,0),IF(L480&lt;R480,I480+J480-K480,0),IF(X480&lt;R480,U480+V480-W480,0),IF(AD480&lt;R480,AA480+AB480-AC480,0)))))</x:f>
        <x:v>0</x:v>
      </x:c>
      <x:c r="T480" s="6" t="n">
        <x:f>ROUND(MAX(0,O480+P480-Q480-S480),2)</x:f>
        <x:v>0</x:v>
      </x:c>
      <x:c r="U480" s="6" t="n">
        <x:f>Z479</x:f>
        <x:v>0</x:v>
      </x:c>
      <x:c r="V480" s="6" t="n">
        <x:f>ROUND(U480*'Debt strategy'!$D$12/12,2)</x:f>
        <x:v>0</x:v>
      </x:c>
      <x:c r="W480" s="6" t="n">
        <x:f>MIN(U480+V480,'Debt strategy'!$E$12)</x:f>
        <x:v>0</x:v>
      </x:c>
      <x:c r="X480" s="27" t="n">
        <x:f>IF(U480+V480-W480&lt;=0,99,1+SUM(IF(AND(C480+D480-E480&gt;0,OR('Debt strategy'!$D$9&gt;'Debt strategy'!$D$12,AND('Debt strategy'!$D$9='Debt strategy'!$D$12,0&lt;3))),1,0),IF(AND(I480+J480-K480&gt;0,OR('Debt strategy'!$D$10&gt;'Debt strategy'!$D$12,AND('Debt strategy'!$D$10='Debt strategy'!$D$12,1&lt;3))),1,0),IF(AND(O480+P480-Q480&gt;0,OR('Debt strategy'!$D$11&gt;'Debt strategy'!$D$12,AND('Debt strategy'!$D$11='Debt strategy'!$D$12,2&lt;3))),1,0),IF(AND(AA480+AB480-AC480&gt;0,OR('Debt strategy'!$D$13&gt;'Debt strategy'!$D$12,AND('Debt strategy'!$D$13='Debt strategy'!$D$12,4&lt;3))),1,0)))</x:f>
        <x:v>99</x:v>
      </x:c>
      <x:c r="Y480" s="6" t="n">
        <x:f>IF('Debt strategy'!$C$16&gt;0,0,MIN(U480+V480-W480,MAX(0,'Debt strategy'!$C$5-SUM(E480,K480,Q480,W480,AC480)-SUM(IF(F480&lt;X480,C480+D480-E480,0),IF(L480&lt;X480,I480+J480-K480,0),IF(R480&lt;X480,O480+P480-Q480,0),IF(AD480&lt;X480,AA480+AB480-AC480,0)))))</x:f>
        <x:v>0</x:v>
      </x:c>
      <x:c r="Z480" s="6" t="n">
        <x:f>ROUND(MAX(0,U480+V480-W480-Y480),2)</x:f>
        <x:v>0</x:v>
      </x:c>
      <x:c r="AA480" s="6" t="n">
        <x:f>AF479</x:f>
        <x:v>0</x:v>
      </x:c>
      <x:c r="AB480" s="6" t="n">
        <x:f>ROUND(AA480*'Debt strategy'!$D$13/12,2)</x:f>
        <x:v>0</x:v>
      </x:c>
      <x:c r="AC480" s="6" t="n">
        <x:f>MIN(AA480+AB480,'Debt strategy'!$E$13)</x:f>
        <x:v>0</x:v>
      </x:c>
      <x:c r="AD480" s="27" t="n">
        <x:f>IF(AA480+AB480-AC480&lt;=0,99,1+SUM(IF(AND(C480+D480-E480&gt;0,OR('Debt strategy'!$D$9&gt;'Debt strategy'!$D$13,AND('Debt strategy'!$D$9='Debt strategy'!$D$13,0&lt;4))),1,0),IF(AND(I480+J480-K480&gt;0,OR('Debt strategy'!$D$10&gt;'Debt strategy'!$D$13,AND('Debt strategy'!$D$10='Debt strategy'!$D$13,1&lt;4))),1,0),IF(AND(O480+P480-Q480&gt;0,OR('Debt strategy'!$D$11&gt;'Debt strategy'!$D$13,AND('Debt strategy'!$D$11='Debt strategy'!$D$13,2&lt;4))),1,0),IF(AND(U480+V480-W480&gt;0,OR('Debt strategy'!$D$12&gt;'Debt strategy'!$D$13,AND('Debt strategy'!$D$12='Debt strategy'!$D$13,3&lt;4))),1,0)))</x:f>
        <x:v>99</x:v>
      </x:c>
      <x:c r="AE480" s="6" t="n">
        <x:f>IF('Debt strategy'!$C$16&gt;0,0,MIN(AA480+AB480-AC480,MAX(0,'Debt strategy'!$C$5-SUM(E480,K480,Q480,W480,AC480)-SUM(IF(F480&lt;AD480,C480+D480-E480,0),IF(L480&lt;AD480,I480+J480-K480,0),IF(R480&lt;AD480,O480+P480-Q480,0),IF(X480&lt;AD480,U480+V480-W480,0)))))</x:f>
        <x:v>0</x:v>
      </x:c>
      <x:c r="AF480" s="6" t="n">
        <x:f>ROUND(MAX(0,AA480+AB480-AC480-AE480),2)</x:f>
        <x:v>0</x:v>
      </x:c>
      <x:c r="AG480" s="6" t="n">
        <x:f>SUM(H480,N480,T480,Z480,AF480)</x:f>
        <x:v>0</x:v>
      </x:c>
      <x:c r="AH480" s="6" t="n">
        <x:f>SUM(D480,J480,P480,V480,AB480)+AH479</x:f>
        <x:v>1220.8400000000001</x:v>
      </x:c>
      <x:c r="AI480" s="2"/>
    </x:row>
    <x:row r="481" ht="23" customHeight="1">
      <x:c r="B481" s="2" t="n">
        <x:f>473</x:f>
        <x:v>473</x:v>
      </x:c>
      <x:c r="C481" s="6" t="n">
        <x:f>H480</x:f>
        <x:v>0</x:v>
      </x:c>
      <x:c r="D481" s="6" t="n">
        <x:f>ROUND(C481*'Debt strategy'!$D$9/12,2)</x:f>
        <x:v>0</x:v>
      </x:c>
      <x:c r="E481" s="6" t="n">
        <x:f>MIN(C481+D481,'Debt strategy'!$E$9)</x:f>
        <x:v>0</x:v>
      </x:c>
      <x:c r="F481" s="27" t="n">
        <x:f>IF(C481+D481-E481&lt;=0,99,1+SUM(IF(AND(I481+J481-K481&gt;0,OR('Debt strategy'!$D$10&gt;'Debt strategy'!$D$9,AND('Debt strategy'!$D$10='Debt strategy'!$D$9,1&lt;0))),1,0),IF(AND(O481+P481-Q481&gt;0,OR('Debt strategy'!$D$11&gt;'Debt strategy'!$D$9,AND('Debt strategy'!$D$11='Debt strategy'!$D$9,2&lt;0))),1,0),IF(AND(U481+V481-W481&gt;0,OR('Debt strategy'!$D$12&gt;'Debt strategy'!$D$9,AND('Debt strategy'!$D$12='Debt strategy'!$D$9,3&lt;0))),1,0),IF(AND(AA481+AB481-AC481&gt;0,OR('Debt strategy'!$D$13&gt;'Debt strategy'!$D$9,AND('Debt strategy'!$D$13='Debt strategy'!$D$9,4&lt;0))),1,0)))</x:f>
        <x:v>99</x:v>
      </x:c>
      <x:c r="G481" s="6" t="n">
        <x:f>IF('Debt strategy'!$C$16&gt;0,0,MIN(C481+D481-E481,MAX(0,'Debt strategy'!$C$5-SUM(E481,K481,Q481,W481,AC481)-SUM(IF(L481&lt;F481,I481+J481-K481,0),IF(R481&lt;F481,O481+P481-Q481,0),IF(X481&lt;F481,U481+V481-W481,0),IF(AD481&lt;F481,AA481+AB481-AC481,0)))))</x:f>
        <x:v>0</x:v>
      </x:c>
      <x:c r="H481" s="6" t="n">
        <x:f>ROUND(MAX(0,C481+D481-E481-G481),2)</x:f>
        <x:v>0</x:v>
      </x:c>
      <x:c r="I481" s="6" t="n">
        <x:f>N480</x:f>
        <x:v>0</x:v>
      </x:c>
      <x:c r="J481" s="6" t="n">
        <x:f>ROUND(I481*'Debt strategy'!$D$10/12,2)</x:f>
        <x:v>0</x:v>
      </x:c>
      <x:c r="K481" s="6" t="n">
        <x:f>MIN(I481+J481,'Debt strategy'!$E$10)</x:f>
        <x:v>0</x:v>
      </x:c>
      <x:c r="L481" s="27" t="n">
        <x:f>IF(I481+J481-K481&lt;=0,99,1+SUM(IF(AND(C481+D481-E481&gt;0,OR('Debt strategy'!$D$9&gt;'Debt strategy'!$D$10,AND('Debt strategy'!$D$9='Debt strategy'!$D$10,0&lt;1))),1,0),IF(AND(O481+P481-Q481&gt;0,OR('Debt strategy'!$D$11&gt;'Debt strategy'!$D$10,AND('Debt strategy'!$D$11='Debt strategy'!$D$10,2&lt;1))),1,0),IF(AND(U481+V481-W481&gt;0,OR('Debt strategy'!$D$12&gt;'Debt strategy'!$D$10,AND('Debt strategy'!$D$12='Debt strategy'!$D$10,3&lt;1))),1,0),IF(AND(AA481+AB481-AC481&gt;0,OR('Debt strategy'!$D$13&gt;'Debt strategy'!$D$10,AND('Debt strategy'!$D$13='Debt strategy'!$D$10,4&lt;1))),1,0)))</x:f>
        <x:v>99</x:v>
      </x:c>
      <x:c r="M481" s="6" t="n">
        <x:f>IF('Debt strategy'!$C$16&gt;0,0,MIN(I481+J481-K481,MAX(0,'Debt strategy'!$C$5-SUM(E481,K481,Q481,W481,AC481)-SUM(IF(F481&lt;L481,C481+D481-E481,0),IF(R481&lt;L481,O481+P481-Q481,0),IF(X481&lt;L481,U481+V481-W481,0),IF(AD481&lt;L481,AA481+AB481-AC481,0)))))</x:f>
        <x:v>0</x:v>
      </x:c>
      <x:c r="N481" s="6" t="n">
        <x:f>ROUND(MAX(0,I481+J481-K481-M481),2)</x:f>
        <x:v>0</x:v>
      </x:c>
      <x:c r="O481" s="6" t="n">
        <x:f>T480</x:f>
        <x:v>0</x:v>
      </x:c>
      <x:c r="P481" s="6" t="n">
        <x:f>ROUND(O481*'Debt strategy'!$D$11/12,2)</x:f>
        <x:v>0</x:v>
      </x:c>
      <x:c r="Q481" s="6" t="n">
        <x:f>MIN(O481+P481,'Debt strategy'!$E$11)</x:f>
        <x:v>0</x:v>
      </x:c>
      <x:c r="R481" s="27" t="n">
        <x:f>IF(O481+P481-Q481&lt;=0,99,1+SUM(IF(AND(C481+D481-E481&gt;0,OR('Debt strategy'!$D$9&gt;'Debt strategy'!$D$11,AND('Debt strategy'!$D$9='Debt strategy'!$D$11,0&lt;2))),1,0),IF(AND(I481+J481-K481&gt;0,OR('Debt strategy'!$D$10&gt;'Debt strategy'!$D$11,AND('Debt strategy'!$D$10='Debt strategy'!$D$11,1&lt;2))),1,0),IF(AND(U481+V481-W481&gt;0,OR('Debt strategy'!$D$12&gt;'Debt strategy'!$D$11,AND('Debt strategy'!$D$12='Debt strategy'!$D$11,3&lt;2))),1,0),IF(AND(AA481+AB481-AC481&gt;0,OR('Debt strategy'!$D$13&gt;'Debt strategy'!$D$11,AND('Debt strategy'!$D$13='Debt strategy'!$D$11,4&lt;2))),1,0)))</x:f>
        <x:v>99</x:v>
      </x:c>
      <x:c r="S481" s="6" t="n">
        <x:f>IF('Debt strategy'!$C$16&gt;0,0,MIN(O481+P481-Q481,MAX(0,'Debt strategy'!$C$5-SUM(E481,K481,Q481,W481,AC481)-SUM(IF(F481&lt;R481,C481+D481-E481,0),IF(L481&lt;R481,I481+J481-K481,0),IF(X481&lt;R481,U481+V481-W481,0),IF(AD481&lt;R481,AA481+AB481-AC481,0)))))</x:f>
        <x:v>0</x:v>
      </x:c>
      <x:c r="T481" s="6" t="n">
        <x:f>ROUND(MAX(0,O481+P481-Q481-S481),2)</x:f>
        <x:v>0</x:v>
      </x:c>
      <x:c r="U481" s="6" t="n">
        <x:f>Z480</x:f>
        <x:v>0</x:v>
      </x:c>
      <x:c r="V481" s="6" t="n">
        <x:f>ROUND(U481*'Debt strategy'!$D$12/12,2)</x:f>
        <x:v>0</x:v>
      </x:c>
      <x:c r="W481" s="6" t="n">
        <x:f>MIN(U481+V481,'Debt strategy'!$E$12)</x:f>
        <x:v>0</x:v>
      </x:c>
      <x:c r="X481" s="27" t="n">
        <x:f>IF(U481+V481-W481&lt;=0,99,1+SUM(IF(AND(C481+D481-E481&gt;0,OR('Debt strategy'!$D$9&gt;'Debt strategy'!$D$12,AND('Debt strategy'!$D$9='Debt strategy'!$D$12,0&lt;3))),1,0),IF(AND(I481+J481-K481&gt;0,OR('Debt strategy'!$D$10&gt;'Debt strategy'!$D$12,AND('Debt strategy'!$D$10='Debt strategy'!$D$12,1&lt;3))),1,0),IF(AND(O481+P481-Q481&gt;0,OR('Debt strategy'!$D$11&gt;'Debt strategy'!$D$12,AND('Debt strategy'!$D$11='Debt strategy'!$D$12,2&lt;3))),1,0),IF(AND(AA481+AB481-AC481&gt;0,OR('Debt strategy'!$D$13&gt;'Debt strategy'!$D$12,AND('Debt strategy'!$D$13='Debt strategy'!$D$12,4&lt;3))),1,0)))</x:f>
        <x:v>99</x:v>
      </x:c>
      <x:c r="Y481" s="6" t="n">
        <x:f>IF('Debt strategy'!$C$16&gt;0,0,MIN(U481+V481-W481,MAX(0,'Debt strategy'!$C$5-SUM(E481,K481,Q481,W481,AC481)-SUM(IF(F481&lt;X481,C481+D481-E481,0),IF(L481&lt;X481,I481+J481-K481,0),IF(R481&lt;X481,O481+P481-Q481,0),IF(AD481&lt;X481,AA481+AB481-AC481,0)))))</x:f>
        <x:v>0</x:v>
      </x:c>
      <x:c r="Z481" s="6" t="n">
        <x:f>ROUND(MAX(0,U481+V481-W481-Y481),2)</x:f>
        <x:v>0</x:v>
      </x:c>
      <x:c r="AA481" s="6" t="n">
        <x:f>AF480</x:f>
        <x:v>0</x:v>
      </x:c>
      <x:c r="AB481" s="6" t="n">
        <x:f>ROUND(AA481*'Debt strategy'!$D$13/12,2)</x:f>
        <x:v>0</x:v>
      </x:c>
      <x:c r="AC481" s="6" t="n">
        <x:f>MIN(AA481+AB481,'Debt strategy'!$E$13)</x:f>
        <x:v>0</x:v>
      </x:c>
      <x:c r="AD481" s="27" t="n">
        <x:f>IF(AA481+AB481-AC481&lt;=0,99,1+SUM(IF(AND(C481+D481-E481&gt;0,OR('Debt strategy'!$D$9&gt;'Debt strategy'!$D$13,AND('Debt strategy'!$D$9='Debt strategy'!$D$13,0&lt;4))),1,0),IF(AND(I481+J481-K481&gt;0,OR('Debt strategy'!$D$10&gt;'Debt strategy'!$D$13,AND('Debt strategy'!$D$10='Debt strategy'!$D$13,1&lt;4))),1,0),IF(AND(O481+P481-Q481&gt;0,OR('Debt strategy'!$D$11&gt;'Debt strategy'!$D$13,AND('Debt strategy'!$D$11='Debt strategy'!$D$13,2&lt;4))),1,0),IF(AND(U481+V481-W481&gt;0,OR('Debt strategy'!$D$12&gt;'Debt strategy'!$D$13,AND('Debt strategy'!$D$12='Debt strategy'!$D$13,3&lt;4))),1,0)))</x:f>
        <x:v>99</x:v>
      </x:c>
      <x:c r="AE481" s="6" t="n">
        <x:f>IF('Debt strategy'!$C$16&gt;0,0,MIN(AA481+AB481-AC481,MAX(0,'Debt strategy'!$C$5-SUM(E481,K481,Q481,W481,AC481)-SUM(IF(F481&lt;AD481,C481+D481-E481,0),IF(L481&lt;AD481,I481+J481-K481,0),IF(R481&lt;AD481,O481+P481-Q481,0),IF(X481&lt;AD481,U481+V481-W481,0)))))</x:f>
        <x:v>0</x:v>
      </x:c>
      <x:c r="AF481" s="6" t="n">
        <x:f>ROUND(MAX(0,AA481+AB481-AC481-AE481),2)</x:f>
        <x:v>0</x:v>
      </x:c>
      <x:c r="AG481" s="6" t="n">
        <x:f>SUM(H481,N481,T481,Z481,AF481)</x:f>
        <x:v>0</x:v>
      </x:c>
      <x:c r="AH481" s="6" t="n">
        <x:f>SUM(D481,J481,P481,V481,AB481)+AH480</x:f>
        <x:v>1220.8400000000001</x:v>
      </x:c>
      <x:c r="AI481" s="2"/>
    </x:row>
    <x:row r="482" ht="23" customHeight="1">
      <x:c r="B482" s="2" t="n">
        <x:f>474</x:f>
        <x:v>474</x:v>
      </x:c>
      <x:c r="C482" s="6" t="n">
        <x:f>H481</x:f>
        <x:v>0</x:v>
      </x:c>
      <x:c r="D482" s="6" t="n">
        <x:f>ROUND(C482*'Debt strategy'!$D$9/12,2)</x:f>
        <x:v>0</x:v>
      </x:c>
      <x:c r="E482" s="6" t="n">
        <x:f>MIN(C482+D482,'Debt strategy'!$E$9)</x:f>
        <x:v>0</x:v>
      </x:c>
      <x:c r="F482" s="27" t="n">
        <x:f>IF(C482+D482-E482&lt;=0,99,1+SUM(IF(AND(I482+J482-K482&gt;0,OR('Debt strategy'!$D$10&gt;'Debt strategy'!$D$9,AND('Debt strategy'!$D$10='Debt strategy'!$D$9,1&lt;0))),1,0),IF(AND(O482+P482-Q482&gt;0,OR('Debt strategy'!$D$11&gt;'Debt strategy'!$D$9,AND('Debt strategy'!$D$11='Debt strategy'!$D$9,2&lt;0))),1,0),IF(AND(U482+V482-W482&gt;0,OR('Debt strategy'!$D$12&gt;'Debt strategy'!$D$9,AND('Debt strategy'!$D$12='Debt strategy'!$D$9,3&lt;0))),1,0),IF(AND(AA482+AB482-AC482&gt;0,OR('Debt strategy'!$D$13&gt;'Debt strategy'!$D$9,AND('Debt strategy'!$D$13='Debt strategy'!$D$9,4&lt;0))),1,0)))</x:f>
        <x:v>99</x:v>
      </x:c>
      <x:c r="G482" s="6" t="n">
        <x:f>IF('Debt strategy'!$C$16&gt;0,0,MIN(C482+D482-E482,MAX(0,'Debt strategy'!$C$5-SUM(E482,K482,Q482,W482,AC482)-SUM(IF(L482&lt;F482,I482+J482-K482,0),IF(R482&lt;F482,O482+P482-Q482,0),IF(X482&lt;F482,U482+V482-W482,0),IF(AD482&lt;F482,AA482+AB482-AC482,0)))))</x:f>
        <x:v>0</x:v>
      </x:c>
      <x:c r="H482" s="6" t="n">
        <x:f>ROUND(MAX(0,C482+D482-E482-G482),2)</x:f>
        <x:v>0</x:v>
      </x:c>
      <x:c r="I482" s="6" t="n">
        <x:f>N481</x:f>
        <x:v>0</x:v>
      </x:c>
      <x:c r="J482" s="6" t="n">
        <x:f>ROUND(I482*'Debt strategy'!$D$10/12,2)</x:f>
        <x:v>0</x:v>
      </x:c>
      <x:c r="K482" s="6" t="n">
        <x:f>MIN(I482+J482,'Debt strategy'!$E$10)</x:f>
        <x:v>0</x:v>
      </x:c>
      <x:c r="L482" s="27" t="n">
        <x:f>IF(I482+J482-K482&lt;=0,99,1+SUM(IF(AND(C482+D482-E482&gt;0,OR('Debt strategy'!$D$9&gt;'Debt strategy'!$D$10,AND('Debt strategy'!$D$9='Debt strategy'!$D$10,0&lt;1))),1,0),IF(AND(O482+P482-Q482&gt;0,OR('Debt strategy'!$D$11&gt;'Debt strategy'!$D$10,AND('Debt strategy'!$D$11='Debt strategy'!$D$10,2&lt;1))),1,0),IF(AND(U482+V482-W482&gt;0,OR('Debt strategy'!$D$12&gt;'Debt strategy'!$D$10,AND('Debt strategy'!$D$12='Debt strategy'!$D$10,3&lt;1))),1,0),IF(AND(AA482+AB482-AC482&gt;0,OR('Debt strategy'!$D$13&gt;'Debt strategy'!$D$10,AND('Debt strategy'!$D$13='Debt strategy'!$D$10,4&lt;1))),1,0)))</x:f>
        <x:v>99</x:v>
      </x:c>
      <x:c r="M482" s="6" t="n">
        <x:f>IF('Debt strategy'!$C$16&gt;0,0,MIN(I482+J482-K482,MAX(0,'Debt strategy'!$C$5-SUM(E482,K482,Q482,W482,AC482)-SUM(IF(F482&lt;L482,C482+D482-E482,0),IF(R482&lt;L482,O482+P482-Q482,0),IF(X482&lt;L482,U482+V482-W482,0),IF(AD482&lt;L482,AA482+AB482-AC482,0)))))</x:f>
        <x:v>0</x:v>
      </x:c>
      <x:c r="N482" s="6" t="n">
        <x:f>ROUND(MAX(0,I482+J482-K482-M482),2)</x:f>
        <x:v>0</x:v>
      </x:c>
      <x:c r="O482" s="6" t="n">
        <x:f>T481</x:f>
        <x:v>0</x:v>
      </x:c>
      <x:c r="P482" s="6" t="n">
        <x:f>ROUND(O482*'Debt strategy'!$D$11/12,2)</x:f>
        <x:v>0</x:v>
      </x:c>
      <x:c r="Q482" s="6" t="n">
        <x:f>MIN(O482+P482,'Debt strategy'!$E$11)</x:f>
        <x:v>0</x:v>
      </x:c>
      <x:c r="R482" s="27" t="n">
        <x:f>IF(O482+P482-Q482&lt;=0,99,1+SUM(IF(AND(C482+D482-E482&gt;0,OR('Debt strategy'!$D$9&gt;'Debt strategy'!$D$11,AND('Debt strategy'!$D$9='Debt strategy'!$D$11,0&lt;2))),1,0),IF(AND(I482+J482-K482&gt;0,OR('Debt strategy'!$D$10&gt;'Debt strategy'!$D$11,AND('Debt strategy'!$D$10='Debt strategy'!$D$11,1&lt;2))),1,0),IF(AND(U482+V482-W482&gt;0,OR('Debt strategy'!$D$12&gt;'Debt strategy'!$D$11,AND('Debt strategy'!$D$12='Debt strategy'!$D$11,3&lt;2))),1,0),IF(AND(AA482+AB482-AC482&gt;0,OR('Debt strategy'!$D$13&gt;'Debt strategy'!$D$11,AND('Debt strategy'!$D$13='Debt strategy'!$D$11,4&lt;2))),1,0)))</x:f>
        <x:v>99</x:v>
      </x:c>
      <x:c r="S482" s="6" t="n">
        <x:f>IF('Debt strategy'!$C$16&gt;0,0,MIN(O482+P482-Q482,MAX(0,'Debt strategy'!$C$5-SUM(E482,K482,Q482,W482,AC482)-SUM(IF(F482&lt;R482,C482+D482-E482,0),IF(L482&lt;R482,I482+J482-K482,0),IF(X482&lt;R482,U482+V482-W482,0),IF(AD482&lt;R482,AA482+AB482-AC482,0)))))</x:f>
        <x:v>0</x:v>
      </x:c>
      <x:c r="T482" s="6" t="n">
        <x:f>ROUND(MAX(0,O482+P482-Q482-S482),2)</x:f>
        <x:v>0</x:v>
      </x:c>
      <x:c r="U482" s="6" t="n">
        <x:f>Z481</x:f>
        <x:v>0</x:v>
      </x:c>
      <x:c r="V482" s="6" t="n">
        <x:f>ROUND(U482*'Debt strategy'!$D$12/12,2)</x:f>
        <x:v>0</x:v>
      </x:c>
      <x:c r="W482" s="6" t="n">
        <x:f>MIN(U482+V482,'Debt strategy'!$E$12)</x:f>
        <x:v>0</x:v>
      </x:c>
      <x:c r="X482" s="27" t="n">
        <x:f>IF(U482+V482-W482&lt;=0,99,1+SUM(IF(AND(C482+D482-E482&gt;0,OR('Debt strategy'!$D$9&gt;'Debt strategy'!$D$12,AND('Debt strategy'!$D$9='Debt strategy'!$D$12,0&lt;3))),1,0),IF(AND(I482+J482-K482&gt;0,OR('Debt strategy'!$D$10&gt;'Debt strategy'!$D$12,AND('Debt strategy'!$D$10='Debt strategy'!$D$12,1&lt;3))),1,0),IF(AND(O482+P482-Q482&gt;0,OR('Debt strategy'!$D$11&gt;'Debt strategy'!$D$12,AND('Debt strategy'!$D$11='Debt strategy'!$D$12,2&lt;3))),1,0),IF(AND(AA482+AB482-AC482&gt;0,OR('Debt strategy'!$D$13&gt;'Debt strategy'!$D$12,AND('Debt strategy'!$D$13='Debt strategy'!$D$12,4&lt;3))),1,0)))</x:f>
        <x:v>99</x:v>
      </x:c>
      <x:c r="Y482" s="6" t="n">
        <x:f>IF('Debt strategy'!$C$16&gt;0,0,MIN(U482+V482-W482,MAX(0,'Debt strategy'!$C$5-SUM(E482,K482,Q482,W482,AC482)-SUM(IF(F482&lt;X482,C482+D482-E482,0),IF(L482&lt;X482,I482+J482-K482,0),IF(R482&lt;X482,O482+P482-Q482,0),IF(AD482&lt;X482,AA482+AB482-AC482,0)))))</x:f>
        <x:v>0</x:v>
      </x:c>
      <x:c r="Z482" s="6" t="n">
        <x:f>ROUND(MAX(0,U482+V482-W482-Y482),2)</x:f>
        <x:v>0</x:v>
      </x:c>
      <x:c r="AA482" s="6" t="n">
        <x:f>AF481</x:f>
        <x:v>0</x:v>
      </x:c>
      <x:c r="AB482" s="6" t="n">
        <x:f>ROUND(AA482*'Debt strategy'!$D$13/12,2)</x:f>
        <x:v>0</x:v>
      </x:c>
      <x:c r="AC482" s="6" t="n">
        <x:f>MIN(AA482+AB482,'Debt strategy'!$E$13)</x:f>
        <x:v>0</x:v>
      </x:c>
      <x:c r="AD482" s="27" t="n">
        <x:f>IF(AA482+AB482-AC482&lt;=0,99,1+SUM(IF(AND(C482+D482-E482&gt;0,OR('Debt strategy'!$D$9&gt;'Debt strategy'!$D$13,AND('Debt strategy'!$D$9='Debt strategy'!$D$13,0&lt;4))),1,0),IF(AND(I482+J482-K482&gt;0,OR('Debt strategy'!$D$10&gt;'Debt strategy'!$D$13,AND('Debt strategy'!$D$10='Debt strategy'!$D$13,1&lt;4))),1,0),IF(AND(O482+P482-Q482&gt;0,OR('Debt strategy'!$D$11&gt;'Debt strategy'!$D$13,AND('Debt strategy'!$D$11='Debt strategy'!$D$13,2&lt;4))),1,0),IF(AND(U482+V482-W482&gt;0,OR('Debt strategy'!$D$12&gt;'Debt strategy'!$D$13,AND('Debt strategy'!$D$12='Debt strategy'!$D$13,3&lt;4))),1,0)))</x:f>
        <x:v>99</x:v>
      </x:c>
      <x:c r="AE482" s="6" t="n">
        <x:f>IF('Debt strategy'!$C$16&gt;0,0,MIN(AA482+AB482-AC482,MAX(0,'Debt strategy'!$C$5-SUM(E482,K482,Q482,W482,AC482)-SUM(IF(F482&lt;AD482,C482+D482-E482,0),IF(L482&lt;AD482,I482+J482-K482,0),IF(R482&lt;AD482,O482+P482-Q482,0),IF(X482&lt;AD482,U482+V482-W482,0)))))</x:f>
        <x:v>0</x:v>
      </x:c>
      <x:c r="AF482" s="6" t="n">
        <x:f>ROUND(MAX(0,AA482+AB482-AC482-AE482),2)</x:f>
        <x:v>0</x:v>
      </x:c>
      <x:c r="AG482" s="6" t="n">
        <x:f>SUM(H482,N482,T482,Z482,AF482)</x:f>
        <x:v>0</x:v>
      </x:c>
      <x:c r="AH482" s="6" t="n">
        <x:f>SUM(D482,J482,P482,V482,AB482)+AH481</x:f>
        <x:v>1220.8400000000001</x:v>
      </x:c>
      <x:c r="AI482" s="2"/>
    </x:row>
    <x:row r="483" ht="23" customHeight="1">
      <x:c r="B483" s="2" t="n">
        <x:f>475</x:f>
        <x:v>475</x:v>
      </x:c>
      <x:c r="C483" s="6" t="n">
        <x:f>H482</x:f>
        <x:v>0</x:v>
      </x:c>
      <x:c r="D483" s="6" t="n">
        <x:f>ROUND(C483*'Debt strategy'!$D$9/12,2)</x:f>
        <x:v>0</x:v>
      </x:c>
      <x:c r="E483" s="6" t="n">
        <x:f>MIN(C483+D483,'Debt strategy'!$E$9)</x:f>
        <x:v>0</x:v>
      </x:c>
      <x:c r="F483" s="27" t="n">
        <x:f>IF(C483+D483-E483&lt;=0,99,1+SUM(IF(AND(I483+J483-K483&gt;0,OR('Debt strategy'!$D$10&gt;'Debt strategy'!$D$9,AND('Debt strategy'!$D$10='Debt strategy'!$D$9,1&lt;0))),1,0),IF(AND(O483+P483-Q483&gt;0,OR('Debt strategy'!$D$11&gt;'Debt strategy'!$D$9,AND('Debt strategy'!$D$11='Debt strategy'!$D$9,2&lt;0))),1,0),IF(AND(U483+V483-W483&gt;0,OR('Debt strategy'!$D$12&gt;'Debt strategy'!$D$9,AND('Debt strategy'!$D$12='Debt strategy'!$D$9,3&lt;0))),1,0),IF(AND(AA483+AB483-AC483&gt;0,OR('Debt strategy'!$D$13&gt;'Debt strategy'!$D$9,AND('Debt strategy'!$D$13='Debt strategy'!$D$9,4&lt;0))),1,0)))</x:f>
        <x:v>99</x:v>
      </x:c>
      <x:c r="G483" s="6" t="n">
        <x:f>IF('Debt strategy'!$C$16&gt;0,0,MIN(C483+D483-E483,MAX(0,'Debt strategy'!$C$5-SUM(E483,K483,Q483,W483,AC483)-SUM(IF(L483&lt;F483,I483+J483-K483,0),IF(R483&lt;F483,O483+P483-Q483,0),IF(X483&lt;F483,U483+V483-W483,0),IF(AD483&lt;F483,AA483+AB483-AC483,0)))))</x:f>
        <x:v>0</x:v>
      </x:c>
      <x:c r="H483" s="6" t="n">
        <x:f>ROUND(MAX(0,C483+D483-E483-G483),2)</x:f>
        <x:v>0</x:v>
      </x:c>
      <x:c r="I483" s="6" t="n">
        <x:f>N482</x:f>
        <x:v>0</x:v>
      </x:c>
      <x:c r="J483" s="6" t="n">
        <x:f>ROUND(I483*'Debt strategy'!$D$10/12,2)</x:f>
        <x:v>0</x:v>
      </x:c>
      <x:c r="K483" s="6" t="n">
        <x:f>MIN(I483+J483,'Debt strategy'!$E$10)</x:f>
        <x:v>0</x:v>
      </x:c>
      <x:c r="L483" s="27" t="n">
        <x:f>IF(I483+J483-K483&lt;=0,99,1+SUM(IF(AND(C483+D483-E483&gt;0,OR('Debt strategy'!$D$9&gt;'Debt strategy'!$D$10,AND('Debt strategy'!$D$9='Debt strategy'!$D$10,0&lt;1))),1,0),IF(AND(O483+P483-Q483&gt;0,OR('Debt strategy'!$D$11&gt;'Debt strategy'!$D$10,AND('Debt strategy'!$D$11='Debt strategy'!$D$10,2&lt;1))),1,0),IF(AND(U483+V483-W483&gt;0,OR('Debt strategy'!$D$12&gt;'Debt strategy'!$D$10,AND('Debt strategy'!$D$12='Debt strategy'!$D$10,3&lt;1))),1,0),IF(AND(AA483+AB483-AC483&gt;0,OR('Debt strategy'!$D$13&gt;'Debt strategy'!$D$10,AND('Debt strategy'!$D$13='Debt strategy'!$D$10,4&lt;1))),1,0)))</x:f>
        <x:v>99</x:v>
      </x:c>
      <x:c r="M483" s="6" t="n">
        <x:f>IF('Debt strategy'!$C$16&gt;0,0,MIN(I483+J483-K483,MAX(0,'Debt strategy'!$C$5-SUM(E483,K483,Q483,W483,AC483)-SUM(IF(F483&lt;L483,C483+D483-E483,0),IF(R483&lt;L483,O483+P483-Q483,0),IF(X483&lt;L483,U483+V483-W483,0),IF(AD483&lt;L483,AA483+AB483-AC483,0)))))</x:f>
        <x:v>0</x:v>
      </x:c>
      <x:c r="N483" s="6" t="n">
        <x:f>ROUND(MAX(0,I483+J483-K483-M483),2)</x:f>
        <x:v>0</x:v>
      </x:c>
      <x:c r="O483" s="6" t="n">
        <x:f>T482</x:f>
        <x:v>0</x:v>
      </x:c>
      <x:c r="P483" s="6" t="n">
        <x:f>ROUND(O483*'Debt strategy'!$D$11/12,2)</x:f>
        <x:v>0</x:v>
      </x:c>
      <x:c r="Q483" s="6" t="n">
        <x:f>MIN(O483+P483,'Debt strategy'!$E$11)</x:f>
        <x:v>0</x:v>
      </x:c>
      <x:c r="R483" s="27" t="n">
        <x:f>IF(O483+P483-Q483&lt;=0,99,1+SUM(IF(AND(C483+D483-E483&gt;0,OR('Debt strategy'!$D$9&gt;'Debt strategy'!$D$11,AND('Debt strategy'!$D$9='Debt strategy'!$D$11,0&lt;2))),1,0),IF(AND(I483+J483-K483&gt;0,OR('Debt strategy'!$D$10&gt;'Debt strategy'!$D$11,AND('Debt strategy'!$D$10='Debt strategy'!$D$11,1&lt;2))),1,0),IF(AND(U483+V483-W483&gt;0,OR('Debt strategy'!$D$12&gt;'Debt strategy'!$D$11,AND('Debt strategy'!$D$12='Debt strategy'!$D$11,3&lt;2))),1,0),IF(AND(AA483+AB483-AC483&gt;0,OR('Debt strategy'!$D$13&gt;'Debt strategy'!$D$11,AND('Debt strategy'!$D$13='Debt strategy'!$D$11,4&lt;2))),1,0)))</x:f>
        <x:v>99</x:v>
      </x:c>
      <x:c r="S483" s="6" t="n">
        <x:f>IF('Debt strategy'!$C$16&gt;0,0,MIN(O483+P483-Q483,MAX(0,'Debt strategy'!$C$5-SUM(E483,K483,Q483,W483,AC483)-SUM(IF(F483&lt;R483,C483+D483-E483,0),IF(L483&lt;R483,I483+J483-K483,0),IF(X483&lt;R483,U483+V483-W483,0),IF(AD483&lt;R483,AA483+AB483-AC483,0)))))</x:f>
        <x:v>0</x:v>
      </x:c>
      <x:c r="T483" s="6" t="n">
        <x:f>ROUND(MAX(0,O483+P483-Q483-S483),2)</x:f>
        <x:v>0</x:v>
      </x:c>
      <x:c r="U483" s="6" t="n">
        <x:f>Z482</x:f>
        <x:v>0</x:v>
      </x:c>
      <x:c r="V483" s="6" t="n">
        <x:f>ROUND(U483*'Debt strategy'!$D$12/12,2)</x:f>
        <x:v>0</x:v>
      </x:c>
      <x:c r="W483" s="6" t="n">
        <x:f>MIN(U483+V483,'Debt strategy'!$E$12)</x:f>
        <x:v>0</x:v>
      </x:c>
      <x:c r="X483" s="27" t="n">
        <x:f>IF(U483+V483-W483&lt;=0,99,1+SUM(IF(AND(C483+D483-E483&gt;0,OR('Debt strategy'!$D$9&gt;'Debt strategy'!$D$12,AND('Debt strategy'!$D$9='Debt strategy'!$D$12,0&lt;3))),1,0),IF(AND(I483+J483-K483&gt;0,OR('Debt strategy'!$D$10&gt;'Debt strategy'!$D$12,AND('Debt strategy'!$D$10='Debt strategy'!$D$12,1&lt;3))),1,0),IF(AND(O483+P483-Q483&gt;0,OR('Debt strategy'!$D$11&gt;'Debt strategy'!$D$12,AND('Debt strategy'!$D$11='Debt strategy'!$D$12,2&lt;3))),1,0),IF(AND(AA483+AB483-AC483&gt;0,OR('Debt strategy'!$D$13&gt;'Debt strategy'!$D$12,AND('Debt strategy'!$D$13='Debt strategy'!$D$12,4&lt;3))),1,0)))</x:f>
        <x:v>99</x:v>
      </x:c>
      <x:c r="Y483" s="6" t="n">
        <x:f>IF('Debt strategy'!$C$16&gt;0,0,MIN(U483+V483-W483,MAX(0,'Debt strategy'!$C$5-SUM(E483,K483,Q483,W483,AC483)-SUM(IF(F483&lt;X483,C483+D483-E483,0),IF(L483&lt;X483,I483+J483-K483,0),IF(R483&lt;X483,O483+P483-Q483,0),IF(AD483&lt;X483,AA483+AB483-AC483,0)))))</x:f>
        <x:v>0</x:v>
      </x:c>
      <x:c r="Z483" s="6" t="n">
        <x:f>ROUND(MAX(0,U483+V483-W483-Y483),2)</x:f>
        <x:v>0</x:v>
      </x:c>
      <x:c r="AA483" s="6" t="n">
        <x:f>AF482</x:f>
        <x:v>0</x:v>
      </x:c>
      <x:c r="AB483" s="6" t="n">
        <x:f>ROUND(AA483*'Debt strategy'!$D$13/12,2)</x:f>
        <x:v>0</x:v>
      </x:c>
      <x:c r="AC483" s="6" t="n">
        <x:f>MIN(AA483+AB483,'Debt strategy'!$E$13)</x:f>
        <x:v>0</x:v>
      </x:c>
      <x:c r="AD483" s="27" t="n">
        <x:f>IF(AA483+AB483-AC483&lt;=0,99,1+SUM(IF(AND(C483+D483-E483&gt;0,OR('Debt strategy'!$D$9&gt;'Debt strategy'!$D$13,AND('Debt strategy'!$D$9='Debt strategy'!$D$13,0&lt;4))),1,0),IF(AND(I483+J483-K483&gt;0,OR('Debt strategy'!$D$10&gt;'Debt strategy'!$D$13,AND('Debt strategy'!$D$10='Debt strategy'!$D$13,1&lt;4))),1,0),IF(AND(O483+P483-Q483&gt;0,OR('Debt strategy'!$D$11&gt;'Debt strategy'!$D$13,AND('Debt strategy'!$D$11='Debt strategy'!$D$13,2&lt;4))),1,0),IF(AND(U483+V483-W483&gt;0,OR('Debt strategy'!$D$12&gt;'Debt strategy'!$D$13,AND('Debt strategy'!$D$12='Debt strategy'!$D$13,3&lt;4))),1,0)))</x:f>
        <x:v>99</x:v>
      </x:c>
      <x:c r="AE483" s="6" t="n">
        <x:f>IF('Debt strategy'!$C$16&gt;0,0,MIN(AA483+AB483-AC483,MAX(0,'Debt strategy'!$C$5-SUM(E483,K483,Q483,W483,AC483)-SUM(IF(F483&lt;AD483,C483+D483-E483,0),IF(L483&lt;AD483,I483+J483-K483,0),IF(R483&lt;AD483,O483+P483-Q483,0),IF(X483&lt;AD483,U483+V483-W483,0)))))</x:f>
        <x:v>0</x:v>
      </x:c>
      <x:c r="AF483" s="6" t="n">
        <x:f>ROUND(MAX(0,AA483+AB483-AC483-AE483),2)</x:f>
        <x:v>0</x:v>
      </x:c>
      <x:c r="AG483" s="6" t="n">
        <x:f>SUM(H483,N483,T483,Z483,AF483)</x:f>
        <x:v>0</x:v>
      </x:c>
      <x:c r="AH483" s="6" t="n">
        <x:f>SUM(D483,J483,P483,V483,AB483)+AH482</x:f>
        <x:v>1220.8400000000001</x:v>
      </x:c>
      <x:c r="AI483" s="2"/>
    </x:row>
    <x:row r="484" ht="23" customHeight="1">
      <x:c r="B484" s="2" t="n">
        <x:f>476</x:f>
        <x:v>476</x:v>
      </x:c>
      <x:c r="C484" s="6" t="n">
        <x:f>H483</x:f>
        <x:v>0</x:v>
      </x:c>
      <x:c r="D484" s="6" t="n">
        <x:f>ROUND(C484*'Debt strategy'!$D$9/12,2)</x:f>
        <x:v>0</x:v>
      </x:c>
      <x:c r="E484" s="6" t="n">
        <x:f>MIN(C484+D484,'Debt strategy'!$E$9)</x:f>
        <x:v>0</x:v>
      </x:c>
      <x:c r="F484" s="27" t="n">
        <x:f>IF(C484+D484-E484&lt;=0,99,1+SUM(IF(AND(I484+J484-K484&gt;0,OR('Debt strategy'!$D$10&gt;'Debt strategy'!$D$9,AND('Debt strategy'!$D$10='Debt strategy'!$D$9,1&lt;0))),1,0),IF(AND(O484+P484-Q484&gt;0,OR('Debt strategy'!$D$11&gt;'Debt strategy'!$D$9,AND('Debt strategy'!$D$11='Debt strategy'!$D$9,2&lt;0))),1,0),IF(AND(U484+V484-W484&gt;0,OR('Debt strategy'!$D$12&gt;'Debt strategy'!$D$9,AND('Debt strategy'!$D$12='Debt strategy'!$D$9,3&lt;0))),1,0),IF(AND(AA484+AB484-AC484&gt;0,OR('Debt strategy'!$D$13&gt;'Debt strategy'!$D$9,AND('Debt strategy'!$D$13='Debt strategy'!$D$9,4&lt;0))),1,0)))</x:f>
        <x:v>99</x:v>
      </x:c>
      <x:c r="G484" s="6" t="n">
        <x:f>IF('Debt strategy'!$C$16&gt;0,0,MIN(C484+D484-E484,MAX(0,'Debt strategy'!$C$5-SUM(E484,K484,Q484,W484,AC484)-SUM(IF(L484&lt;F484,I484+J484-K484,0),IF(R484&lt;F484,O484+P484-Q484,0),IF(X484&lt;F484,U484+V484-W484,0),IF(AD484&lt;F484,AA484+AB484-AC484,0)))))</x:f>
        <x:v>0</x:v>
      </x:c>
      <x:c r="H484" s="6" t="n">
        <x:f>ROUND(MAX(0,C484+D484-E484-G484),2)</x:f>
        <x:v>0</x:v>
      </x:c>
      <x:c r="I484" s="6" t="n">
        <x:f>N483</x:f>
        <x:v>0</x:v>
      </x:c>
      <x:c r="J484" s="6" t="n">
        <x:f>ROUND(I484*'Debt strategy'!$D$10/12,2)</x:f>
        <x:v>0</x:v>
      </x:c>
      <x:c r="K484" s="6" t="n">
        <x:f>MIN(I484+J484,'Debt strategy'!$E$10)</x:f>
        <x:v>0</x:v>
      </x:c>
      <x:c r="L484" s="27" t="n">
        <x:f>IF(I484+J484-K484&lt;=0,99,1+SUM(IF(AND(C484+D484-E484&gt;0,OR('Debt strategy'!$D$9&gt;'Debt strategy'!$D$10,AND('Debt strategy'!$D$9='Debt strategy'!$D$10,0&lt;1))),1,0),IF(AND(O484+P484-Q484&gt;0,OR('Debt strategy'!$D$11&gt;'Debt strategy'!$D$10,AND('Debt strategy'!$D$11='Debt strategy'!$D$10,2&lt;1))),1,0),IF(AND(U484+V484-W484&gt;0,OR('Debt strategy'!$D$12&gt;'Debt strategy'!$D$10,AND('Debt strategy'!$D$12='Debt strategy'!$D$10,3&lt;1))),1,0),IF(AND(AA484+AB484-AC484&gt;0,OR('Debt strategy'!$D$13&gt;'Debt strategy'!$D$10,AND('Debt strategy'!$D$13='Debt strategy'!$D$10,4&lt;1))),1,0)))</x:f>
        <x:v>99</x:v>
      </x:c>
      <x:c r="M484" s="6" t="n">
        <x:f>IF('Debt strategy'!$C$16&gt;0,0,MIN(I484+J484-K484,MAX(0,'Debt strategy'!$C$5-SUM(E484,K484,Q484,W484,AC484)-SUM(IF(F484&lt;L484,C484+D484-E484,0),IF(R484&lt;L484,O484+P484-Q484,0),IF(X484&lt;L484,U484+V484-W484,0),IF(AD484&lt;L484,AA484+AB484-AC484,0)))))</x:f>
        <x:v>0</x:v>
      </x:c>
      <x:c r="N484" s="6" t="n">
        <x:f>ROUND(MAX(0,I484+J484-K484-M484),2)</x:f>
        <x:v>0</x:v>
      </x:c>
      <x:c r="O484" s="6" t="n">
        <x:f>T483</x:f>
        <x:v>0</x:v>
      </x:c>
      <x:c r="P484" s="6" t="n">
        <x:f>ROUND(O484*'Debt strategy'!$D$11/12,2)</x:f>
        <x:v>0</x:v>
      </x:c>
      <x:c r="Q484" s="6" t="n">
        <x:f>MIN(O484+P484,'Debt strategy'!$E$11)</x:f>
        <x:v>0</x:v>
      </x:c>
      <x:c r="R484" s="27" t="n">
        <x:f>IF(O484+P484-Q484&lt;=0,99,1+SUM(IF(AND(C484+D484-E484&gt;0,OR('Debt strategy'!$D$9&gt;'Debt strategy'!$D$11,AND('Debt strategy'!$D$9='Debt strategy'!$D$11,0&lt;2))),1,0),IF(AND(I484+J484-K484&gt;0,OR('Debt strategy'!$D$10&gt;'Debt strategy'!$D$11,AND('Debt strategy'!$D$10='Debt strategy'!$D$11,1&lt;2))),1,0),IF(AND(U484+V484-W484&gt;0,OR('Debt strategy'!$D$12&gt;'Debt strategy'!$D$11,AND('Debt strategy'!$D$12='Debt strategy'!$D$11,3&lt;2))),1,0),IF(AND(AA484+AB484-AC484&gt;0,OR('Debt strategy'!$D$13&gt;'Debt strategy'!$D$11,AND('Debt strategy'!$D$13='Debt strategy'!$D$11,4&lt;2))),1,0)))</x:f>
        <x:v>99</x:v>
      </x:c>
      <x:c r="S484" s="6" t="n">
        <x:f>IF('Debt strategy'!$C$16&gt;0,0,MIN(O484+P484-Q484,MAX(0,'Debt strategy'!$C$5-SUM(E484,K484,Q484,W484,AC484)-SUM(IF(F484&lt;R484,C484+D484-E484,0),IF(L484&lt;R484,I484+J484-K484,0),IF(X484&lt;R484,U484+V484-W484,0),IF(AD484&lt;R484,AA484+AB484-AC484,0)))))</x:f>
        <x:v>0</x:v>
      </x:c>
      <x:c r="T484" s="6" t="n">
        <x:f>ROUND(MAX(0,O484+P484-Q484-S484),2)</x:f>
        <x:v>0</x:v>
      </x:c>
      <x:c r="U484" s="6" t="n">
        <x:f>Z483</x:f>
        <x:v>0</x:v>
      </x:c>
      <x:c r="V484" s="6" t="n">
        <x:f>ROUND(U484*'Debt strategy'!$D$12/12,2)</x:f>
        <x:v>0</x:v>
      </x:c>
      <x:c r="W484" s="6" t="n">
        <x:f>MIN(U484+V484,'Debt strategy'!$E$12)</x:f>
        <x:v>0</x:v>
      </x:c>
      <x:c r="X484" s="27" t="n">
        <x:f>IF(U484+V484-W484&lt;=0,99,1+SUM(IF(AND(C484+D484-E484&gt;0,OR('Debt strategy'!$D$9&gt;'Debt strategy'!$D$12,AND('Debt strategy'!$D$9='Debt strategy'!$D$12,0&lt;3))),1,0),IF(AND(I484+J484-K484&gt;0,OR('Debt strategy'!$D$10&gt;'Debt strategy'!$D$12,AND('Debt strategy'!$D$10='Debt strategy'!$D$12,1&lt;3))),1,0),IF(AND(O484+P484-Q484&gt;0,OR('Debt strategy'!$D$11&gt;'Debt strategy'!$D$12,AND('Debt strategy'!$D$11='Debt strategy'!$D$12,2&lt;3))),1,0),IF(AND(AA484+AB484-AC484&gt;0,OR('Debt strategy'!$D$13&gt;'Debt strategy'!$D$12,AND('Debt strategy'!$D$13='Debt strategy'!$D$12,4&lt;3))),1,0)))</x:f>
        <x:v>99</x:v>
      </x:c>
      <x:c r="Y484" s="6" t="n">
        <x:f>IF('Debt strategy'!$C$16&gt;0,0,MIN(U484+V484-W484,MAX(0,'Debt strategy'!$C$5-SUM(E484,K484,Q484,W484,AC484)-SUM(IF(F484&lt;X484,C484+D484-E484,0),IF(L484&lt;X484,I484+J484-K484,0),IF(R484&lt;X484,O484+P484-Q484,0),IF(AD484&lt;X484,AA484+AB484-AC484,0)))))</x:f>
        <x:v>0</x:v>
      </x:c>
      <x:c r="Z484" s="6" t="n">
        <x:f>ROUND(MAX(0,U484+V484-W484-Y484),2)</x:f>
        <x:v>0</x:v>
      </x:c>
      <x:c r="AA484" s="6" t="n">
        <x:f>AF483</x:f>
        <x:v>0</x:v>
      </x:c>
      <x:c r="AB484" s="6" t="n">
        <x:f>ROUND(AA484*'Debt strategy'!$D$13/12,2)</x:f>
        <x:v>0</x:v>
      </x:c>
      <x:c r="AC484" s="6" t="n">
        <x:f>MIN(AA484+AB484,'Debt strategy'!$E$13)</x:f>
        <x:v>0</x:v>
      </x:c>
      <x:c r="AD484" s="27" t="n">
        <x:f>IF(AA484+AB484-AC484&lt;=0,99,1+SUM(IF(AND(C484+D484-E484&gt;0,OR('Debt strategy'!$D$9&gt;'Debt strategy'!$D$13,AND('Debt strategy'!$D$9='Debt strategy'!$D$13,0&lt;4))),1,0),IF(AND(I484+J484-K484&gt;0,OR('Debt strategy'!$D$10&gt;'Debt strategy'!$D$13,AND('Debt strategy'!$D$10='Debt strategy'!$D$13,1&lt;4))),1,0),IF(AND(O484+P484-Q484&gt;0,OR('Debt strategy'!$D$11&gt;'Debt strategy'!$D$13,AND('Debt strategy'!$D$11='Debt strategy'!$D$13,2&lt;4))),1,0),IF(AND(U484+V484-W484&gt;0,OR('Debt strategy'!$D$12&gt;'Debt strategy'!$D$13,AND('Debt strategy'!$D$12='Debt strategy'!$D$13,3&lt;4))),1,0)))</x:f>
        <x:v>99</x:v>
      </x:c>
      <x:c r="AE484" s="6" t="n">
        <x:f>IF('Debt strategy'!$C$16&gt;0,0,MIN(AA484+AB484-AC484,MAX(0,'Debt strategy'!$C$5-SUM(E484,K484,Q484,W484,AC484)-SUM(IF(F484&lt;AD484,C484+D484-E484,0),IF(L484&lt;AD484,I484+J484-K484,0),IF(R484&lt;AD484,O484+P484-Q484,0),IF(X484&lt;AD484,U484+V484-W484,0)))))</x:f>
        <x:v>0</x:v>
      </x:c>
      <x:c r="AF484" s="6" t="n">
        <x:f>ROUND(MAX(0,AA484+AB484-AC484-AE484),2)</x:f>
        <x:v>0</x:v>
      </x:c>
      <x:c r="AG484" s="6" t="n">
        <x:f>SUM(H484,N484,T484,Z484,AF484)</x:f>
        <x:v>0</x:v>
      </x:c>
      <x:c r="AH484" s="6" t="n">
        <x:f>SUM(D484,J484,P484,V484,AB484)+AH483</x:f>
        <x:v>1220.8400000000001</x:v>
      </x:c>
      <x:c r="AI484" s="2"/>
    </x:row>
    <x:row r="485" ht="23" customHeight="1">
      <x:c r="B485" s="2" t="n">
        <x:f>477</x:f>
        <x:v>477</x:v>
      </x:c>
      <x:c r="C485" s="6" t="n">
        <x:f>H484</x:f>
        <x:v>0</x:v>
      </x:c>
      <x:c r="D485" s="6" t="n">
        <x:f>ROUND(C485*'Debt strategy'!$D$9/12,2)</x:f>
        <x:v>0</x:v>
      </x:c>
      <x:c r="E485" s="6" t="n">
        <x:f>MIN(C485+D485,'Debt strategy'!$E$9)</x:f>
        <x:v>0</x:v>
      </x:c>
      <x:c r="F485" s="27" t="n">
        <x:f>IF(C485+D485-E485&lt;=0,99,1+SUM(IF(AND(I485+J485-K485&gt;0,OR('Debt strategy'!$D$10&gt;'Debt strategy'!$D$9,AND('Debt strategy'!$D$10='Debt strategy'!$D$9,1&lt;0))),1,0),IF(AND(O485+P485-Q485&gt;0,OR('Debt strategy'!$D$11&gt;'Debt strategy'!$D$9,AND('Debt strategy'!$D$11='Debt strategy'!$D$9,2&lt;0))),1,0),IF(AND(U485+V485-W485&gt;0,OR('Debt strategy'!$D$12&gt;'Debt strategy'!$D$9,AND('Debt strategy'!$D$12='Debt strategy'!$D$9,3&lt;0))),1,0),IF(AND(AA485+AB485-AC485&gt;0,OR('Debt strategy'!$D$13&gt;'Debt strategy'!$D$9,AND('Debt strategy'!$D$13='Debt strategy'!$D$9,4&lt;0))),1,0)))</x:f>
        <x:v>99</x:v>
      </x:c>
      <x:c r="G485" s="6" t="n">
        <x:f>IF('Debt strategy'!$C$16&gt;0,0,MIN(C485+D485-E485,MAX(0,'Debt strategy'!$C$5-SUM(E485,K485,Q485,W485,AC485)-SUM(IF(L485&lt;F485,I485+J485-K485,0),IF(R485&lt;F485,O485+P485-Q485,0),IF(X485&lt;F485,U485+V485-W485,0),IF(AD485&lt;F485,AA485+AB485-AC485,0)))))</x:f>
        <x:v>0</x:v>
      </x:c>
      <x:c r="H485" s="6" t="n">
        <x:f>ROUND(MAX(0,C485+D485-E485-G485),2)</x:f>
        <x:v>0</x:v>
      </x:c>
      <x:c r="I485" s="6" t="n">
        <x:f>N484</x:f>
        <x:v>0</x:v>
      </x:c>
      <x:c r="J485" s="6" t="n">
        <x:f>ROUND(I485*'Debt strategy'!$D$10/12,2)</x:f>
        <x:v>0</x:v>
      </x:c>
      <x:c r="K485" s="6" t="n">
        <x:f>MIN(I485+J485,'Debt strategy'!$E$10)</x:f>
        <x:v>0</x:v>
      </x:c>
      <x:c r="L485" s="27" t="n">
        <x:f>IF(I485+J485-K485&lt;=0,99,1+SUM(IF(AND(C485+D485-E485&gt;0,OR('Debt strategy'!$D$9&gt;'Debt strategy'!$D$10,AND('Debt strategy'!$D$9='Debt strategy'!$D$10,0&lt;1))),1,0),IF(AND(O485+P485-Q485&gt;0,OR('Debt strategy'!$D$11&gt;'Debt strategy'!$D$10,AND('Debt strategy'!$D$11='Debt strategy'!$D$10,2&lt;1))),1,0),IF(AND(U485+V485-W485&gt;0,OR('Debt strategy'!$D$12&gt;'Debt strategy'!$D$10,AND('Debt strategy'!$D$12='Debt strategy'!$D$10,3&lt;1))),1,0),IF(AND(AA485+AB485-AC485&gt;0,OR('Debt strategy'!$D$13&gt;'Debt strategy'!$D$10,AND('Debt strategy'!$D$13='Debt strategy'!$D$10,4&lt;1))),1,0)))</x:f>
        <x:v>99</x:v>
      </x:c>
      <x:c r="M485" s="6" t="n">
        <x:f>IF('Debt strategy'!$C$16&gt;0,0,MIN(I485+J485-K485,MAX(0,'Debt strategy'!$C$5-SUM(E485,K485,Q485,W485,AC485)-SUM(IF(F485&lt;L485,C485+D485-E485,0),IF(R485&lt;L485,O485+P485-Q485,0),IF(X485&lt;L485,U485+V485-W485,0),IF(AD485&lt;L485,AA485+AB485-AC485,0)))))</x:f>
        <x:v>0</x:v>
      </x:c>
      <x:c r="N485" s="6" t="n">
        <x:f>ROUND(MAX(0,I485+J485-K485-M485),2)</x:f>
        <x:v>0</x:v>
      </x:c>
      <x:c r="O485" s="6" t="n">
        <x:f>T484</x:f>
        <x:v>0</x:v>
      </x:c>
      <x:c r="P485" s="6" t="n">
        <x:f>ROUND(O485*'Debt strategy'!$D$11/12,2)</x:f>
        <x:v>0</x:v>
      </x:c>
      <x:c r="Q485" s="6" t="n">
        <x:f>MIN(O485+P485,'Debt strategy'!$E$11)</x:f>
        <x:v>0</x:v>
      </x:c>
      <x:c r="R485" s="27" t="n">
        <x:f>IF(O485+P485-Q485&lt;=0,99,1+SUM(IF(AND(C485+D485-E485&gt;0,OR('Debt strategy'!$D$9&gt;'Debt strategy'!$D$11,AND('Debt strategy'!$D$9='Debt strategy'!$D$11,0&lt;2))),1,0),IF(AND(I485+J485-K485&gt;0,OR('Debt strategy'!$D$10&gt;'Debt strategy'!$D$11,AND('Debt strategy'!$D$10='Debt strategy'!$D$11,1&lt;2))),1,0),IF(AND(U485+V485-W485&gt;0,OR('Debt strategy'!$D$12&gt;'Debt strategy'!$D$11,AND('Debt strategy'!$D$12='Debt strategy'!$D$11,3&lt;2))),1,0),IF(AND(AA485+AB485-AC485&gt;0,OR('Debt strategy'!$D$13&gt;'Debt strategy'!$D$11,AND('Debt strategy'!$D$13='Debt strategy'!$D$11,4&lt;2))),1,0)))</x:f>
        <x:v>99</x:v>
      </x:c>
      <x:c r="S485" s="6" t="n">
        <x:f>IF('Debt strategy'!$C$16&gt;0,0,MIN(O485+P485-Q485,MAX(0,'Debt strategy'!$C$5-SUM(E485,K485,Q485,W485,AC485)-SUM(IF(F485&lt;R485,C485+D485-E485,0),IF(L485&lt;R485,I485+J485-K485,0),IF(X485&lt;R485,U485+V485-W485,0),IF(AD485&lt;R485,AA485+AB485-AC485,0)))))</x:f>
        <x:v>0</x:v>
      </x:c>
      <x:c r="T485" s="6" t="n">
        <x:f>ROUND(MAX(0,O485+P485-Q485-S485),2)</x:f>
        <x:v>0</x:v>
      </x:c>
      <x:c r="U485" s="6" t="n">
        <x:f>Z484</x:f>
        <x:v>0</x:v>
      </x:c>
      <x:c r="V485" s="6" t="n">
        <x:f>ROUND(U485*'Debt strategy'!$D$12/12,2)</x:f>
        <x:v>0</x:v>
      </x:c>
      <x:c r="W485" s="6" t="n">
        <x:f>MIN(U485+V485,'Debt strategy'!$E$12)</x:f>
        <x:v>0</x:v>
      </x:c>
      <x:c r="X485" s="27" t="n">
        <x:f>IF(U485+V485-W485&lt;=0,99,1+SUM(IF(AND(C485+D485-E485&gt;0,OR('Debt strategy'!$D$9&gt;'Debt strategy'!$D$12,AND('Debt strategy'!$D$9='Debt strategy'!$D$12,0&lt;3))),1,0),IF(AND(I485+J485-K485&gt;0,OR('Debt strategy'!$D$10&gt;'Debt strategy'!$D$12,AND('Debt strategy'!$D$10='Debt strategy'!$D$12,1&lt;3))),1,0),IF(AND(O485+P485-Q485&gt;0,OR('Debt strategy'!$D$11&gt;'Debt strategy'!$D$12,AND('Debt strategy'!$D$11='Debt strategy'!$D$12,2&lt;3))),1,0),IF(AND(AA485+AB485-AC485&gt;0,OR('Debt strategy'!$D$13&gt;'Debt strategy'!$D$12,AND('Debt strategy'!$D$13='Debt strategy'!$D$12,4&lt;3))),1,0)))</x:f>
        <x:v>99</x:v>
      </x:c>
      <x:c r="Y485" s="6" t="n">
        <x:f>IF('Debt strategy'!$C$16&gt;0,0,MIN(U485+V485-W485,MAX(0,'Debt strategy'!$C$5-SUM(E485,K485,Q485,W485,AC485)-SUM(IF(F485&lt;X485,C485+D485-E485,0),IF(L485&lt;X485,I485+J485-K485,0),IF(R485&lt;X485,O485+P485-Q485,0),IF(AD485&lt;X485,AA485+AB485-AC485,0)))))</x:f>
        <x:v>0</x:v>
      </x:c>
      <x:c r="Z485" s="6" t="n">
        <x:f>ROUND(MAX(0,U485+V485-W485-Y485),2)</x:f>
        <x:v>0</x:v>
      </x:c>
      <x:c r="AA485" s="6" t="n">
        <x:f>AF484</x:f>
        <x:v>0</x:v>
      </x:c>
      <x:c r="AB485" s="6" t="n">
        <x:f>ROUND(AA485*'Debt strategy'!$D$13/12,2)</x:f>
        <x:v>0</x:v>
      </x:c>
      <x:c r="AC485" s="6" t="n">
        <x:f>MIN(AA485+AB485,'Debt strategy'!$E$13)</x:f>
        <x:v>0</x:v>
      </x:c>
      <x:c r="AD485" s="27" t="n">
        <x:f>IF(AA485+AB485-AC485&lt;=0,99,1+SUM(IF(AND(C485+D485-E485&gt;0,OR('Debt strategy'!$D$9&gt;'Debt strategy'!$D$13,AND('Debt strategy'!$D$9='Debt strategy'!$D$13,0&lt;4))),1,0),IF(AND(I485+J485-K485&gt;0,OR('Debt strategy'!$D$10&gt;'Debt strategy'!$D$13,AND('Debt strategy'!$D$10='Debt strategy'!$D$13,1&lt;4))),1,0),IF(AND(O485+P485-Q485&gt;0,OR('Debt strategy'!$D$11&gt;'Debt strategy'!$D$13,AND('Debt strategy'!$D$11='Debt strategy'!$D$13,2&lt;4))),1,0),IF(AND(U485+V485-W485&gt;0,OR('Debt strategy'!$D$12&gt;'Debt strategy'!$D$13,AND('Debt strategy'!$D$12='Debt strategy'!$D$13,3&lt;4))),1,0)))</x:f>
        <x:v>99</x:v>
      </x:c>
      <x:c r="AE485" s="6" t="n">
        <x:f>IF('Debt strategy'!$C$16&gt;0,0,MIN(AA485+AB485-AC485,MAX(0,'Debt strategy'!$C$5-SUM(E485,K485,Q485,W485,AC485)-SUM(IF(F485&lt;AD485,C485+D485-E485,0),IF(L485&lt;AD485,I485+J485-K485,0),IF(R485&lt;AD485,O485+P485-Q485,0),IF(X485&lt;AD485,U485+V485-W485,0)))))</x:f>
        <x:v>0</x:v>
      </x:c>
      <x:c r="AF485" s="6" t="n">
        <x:f>ROUND(MAX(0,AA485+AB485-AC485-AE485),2)</x:f>
        <x:v>0</x:v>
      </x:c>
      <x:c r="AG485" s="6" t="n">
        <x:f>SUM(H485,N485,T485,Z485,AF485)</x:f>
        <x:v>0</x:v>
      </x:c>
      <x:c r="AH485" s="6" t="n">
        <x:f>SUM(D485,J485,P485,V485,AB485)+AH484</x:f>
        <x:v>1220.8400000000001</x:v>
      </x:c>
      <x:c r="AI485" s="2"/>
    </x:row>
    <x:row r="486" ht="23" customHeight="1">
      <x:c r="B486" s="2" t="n">
        <x:f>478</x:f>
        <x:v>478</x:v>
      </x:c>
      <x:c r="C486" s="6" t="n">
        <x:f>H485</x:f>
        <x:v>0</x:v>
      </x:c>
      <x:c r="D486" s="6" t="n">
        <x:f>ROUND(C486*'Debt strategy'!$D$9/12,2)</x:f>
        <x:v>0</x:v>
      </x:c>
      <x:c r="E486" s="6" t="n">
        <x:f>MIN(C486+D486,'Debt strategy'!$E$9)</x:f>
        <x:v>0</x:v>
      </x:c>
      <x:c r="F486" s="27" t="n">
        <x:f>IF(C486+D486-E486&lt;=0,99,1+SUM(IF(AND(I486+J486-K486&gt;0,OR('Debt strategy'!$D$10&gt;'Debt strategy'!$D$9,AND('Debt strategy'!$D$10='Debt strategy'!$D$9,1&lt;0))),1,0),IF(AND(O486+P486-Q486&gt;0,OR('Debt strategy'!$D$11&gt;'Debt strategy'!$D$9,AND('Debt strategy'!$D$11='Debt strategy'!$D$9,2&lt;0))),1,0),IF(AND(U486+V486-W486&gt;0,OR('Debt strategy'!$D$12&gt;'Debt strategy'!$D$9,AND('Debt strategy'!$D$12='Debt strategy'!$D$9,3&lt;0))),1,0),IF(AND(AA486+AB486-AC486&gt;0,OR('Debt strategy'!$D$13&gt;'Debt strategy'!$D$9,AND('Debt strategy'!$D$13='Debt strategy'!$D$9,4&lt;0))),1,0)))</x:f>
        <x:v>99</x:v>
      </x:c>
      <x:c r="G486" s="6" t="n">
        <x:f>IF('Debt strategy'!$C$16&gt;0,0,MIN(C486+D486-E486,MAX(0,'Debt strategy'!$C$5-SUM(E486,K486,Q486,W486,AC486)-SUM(IF(L486&lt;F486,I486+J486-K486,0),IF(R486&lt;F486,O486+P486-Q486,0),IF(X486&lt;F486,U486+V486-W486,0),IF(AD486&lt;F486,AA486+AB486-AC486,0)))))</x:f>
        <x:v>0</x:v>
      </x:c>
      <x:c r="H486" s="6" t="n">
        <x:f>ROUND(MAX(0,C486+D486-E486-G486),2)</x:f>
        <x:v>0</x:v>
      </x:c>
      <x:c r="I486" s="6" t="n">
        <x:f>N485</x:f>
        <x:v>0</x:v>
      </x:c>
      <x:c r="J486" s="6" t="n">
        <x:f>ROUND(I486*'Debt strategy'!$D$10/12,2)</x:f>
        <x:v>0</x:v>
      </x:c>
      <x:c r="K486" s="6" t="n">
        <x:f>MIN(I486+J486,'Debt strategy'!$E$10)</x:f>
        <x:v>0</x:v>
      </x:c>
      <x:c r="L486" s="27" t="n">
        <x:f>IF(I486+J486-K486&lt;=0,99,1+SUM(IF(AND(C486+D486-E486&gt;0,OR('Debt strategy'!$D$9&gt;'Debt strategy'!$D$10,AND('Debt strategy'!$D$9='Debt strategy'!$D$10,0&lt;1))),1,0),IF(AND(O486+P486-Q486&gt;0,OR('Debt strategy'!$D$11&gt;'Debt strategy'!$D$10,AND('Debt strategy'!$D$11='Debt strategy'!$D$10,2&lt;1))),1,0),IF(AND(U486+V486-W486&gt;0,OR('Debt strategy'!$D$12&gt;'Debt strategy'!$D$10,AND('Debt strategy'!$D$12='Debt strategy'!$D$10,3&lt;1))),1,0),IF(AND(AA486+AB486-AC486&gt;0,OR('Debt strategy'!$D$13&gt;'Debt strategy'!$D$10,AND('Debt strategy'!$D$13='Debt strategy'!$D$10,4&lt;1))),1,0)))</x:f>
        <x:v>99</x:v>
      </x:c>
      <x:c r="M486" s="6" t="n">
        <x:f>IF('Debt strategy'!$C$16&gt;0,0,MIN(I486+J486-K486,MAX(0,'Debt strategy'!$C$5-SUM(E486,K486,Q486,W486,AC486)-SUM(IF(F486&lt;L486,C486+D486-E486,0),IF(R486&lt;L486,O486+P486-Q486,0),IF(X486&lt;L486,U486+V486-W486,0),IF(AD486&lt;L486,AA486+AB486-AC486,0)))))</x:f>
        <x:v>0</x:v>
      </x:c>
      <x:c r="N486" s="6" t="n">
        <x:f>ROUND(MAX(0,I486+J486-K486-M486),2)</x:f>
        <x:v>0</x:v>
      </x:c>
      <x:c r="O486" s="6" t="n">
        <x:f>T485</x:f>
        <x:v>0</x:v>
      </x:c>
      <x:c r="P486" s="6" t="n">
        <x:f>ROUND(O486*'Debt strategy'!$D$11/12,2)</x:f>
        <x:v>0</x:v>
      </x:c>
      <x:c r="Q486" s="6" t="n">
        <x:f>MIN(O486+P486,'Debt strategy'!$E$11)</x:f>
        <x:v>0</x:v>
      </x:c>
      <x:c r="R486" s="27" t="n">
        <x:f>IF(O486+P486-Q486&lt;=0,99,1+SUM(IF(AND(C486+D486-E486&gt;0,OR('Debt strategy'!$D$9&gt;'Debt strategy'!$D$11,AND('Debt strategy'!$D$9='Debt strategy'!$D$11,0&lt;2))),1,0),IF(AND(I486+J486-K486&gt;0,OR('Debt strategy'!$D$10&gt;'Debt strategy'!$D$11,AND('Debt strategy'!$D$10='Debt strategy'!$D$11,1&lt;2))),1,0),IF(AND(U486+V486-W486&gt;0,OR('Debt strategy'!$D$12&gt;'Debt strategy'!$D$11,AND('Debt strategy'!$D$12='Debt strategy'!$D$11,3&lt;2))),1,0),IF(AND(AA486+AB486-AC486&gt;0,OR('Debt strategy'!$D$13&gt;'Debt strategy'!$D$11,AND('Debt strategy'!$D$13='Debt strategy'!$D$11,4&lt;2))),1,0)))</x:f>
        <x:v>99</x:v>
      </x:c>
      <x:c r="S486" s="6" t="n">
        <x:f>IF('Debt strategy'!$C$16&gt;0,0,MIN(O486+P486-Q486,MAX(0,'Debt strategy'!$C$5-SUM(E486,K486,Q486,W486,AC486)-SUM(IF(F486&lt;R486,C486+D486-E486,0),IF(L486&lt;R486,I486+J486-K486,0),IF(X486&lt;R486,U486+V486-W486,0),IF(AD486&lt;R486,AA486+AB486-AC486,0)))))</x:f>
        <x:v>0</x:v>
      </x:c>
      <x:c r="T486" s="6" t="n">
        <x:f>ROUND(MAX(0,O486+P486-Q486-S486),2)</x:f>
        <x:v>0</x:v>
      </x:c>
      <x:c r="U486" s="6" t="n">
        <x:f>Z485</x:f>
        <x:v>0</x:v>
      </x:c>
      <x:c r="V486" s="6" t="n">
        <x:f>ROUND(U486*'Debt strategy'!$D$12/12,2)</x:f>
        <x:v>0</x:v>
      </x:c>
      <x:c r="W486" s="6" t="n">
        <x:f>MIN(U486+V486,'Debt strategy'!$E$12)</x:f>
        <x:v>0</x:v>
      </x:c>
      <x:c r="X486" s="27" t="n">
        <x:f>IF(U486+V486-W486&lt;=0,99,1+SUM(IF(AND(C486+D486-E486&gt;0,OR('Debt strategy'!$D$9&gt;'Debt strategy'!$D$12,AND('Debt strategy'!$D$9='Debt strategy'!$D$12,0&lt;3))),1,0),IF(AND(I486+J486-K486&gt;0,OR('Debt strategy'!$D$10&gt;'Debt strategy'!$D$12,AND('Debt strategy'!$D$10='Debt strategy'!$D$12,1&lt;3))),1,0),IF(AND(O486+P486-Q486&gt;0,OR('Debt strategy'!$D$11&gt;'Debt strategy'!$D$12,AND('Debt strategy'!$D$11='Debt strategy'!$D$12,2&lt;3))),1,0),IF(AND(AA486+AB486-AC486&gt;0,OR('Debt strategy'!$D$13&gt;'Debt strategy'!$D$12,AND('Debt strategy'!$D$13='Debt strategy'!$D$12,4&lt;3))),1,0)))</x:f>
        <x:v>99</x:v>
      </x:c>
      <x:c r="Y486" s="6" t="n">
        <x:f>IF('Debt strategy'!$C$16&gt;0,0,MIN(U486+V486-W486,MAX(0,'Debt strategy'!$C$5-SUM(E486,K486,Q486,W486,AC486)-SUM(IF(F486&lt;X486,C486+D486-E486,0),IF(L486&lt;X486,I486+J486-K486,0),IF(R486&lt;X486,O486+P486-Q486,0),IF(AD486&lt;X486,AA486+AB486-AC486,0)))))</x:f>
        <x:v>0</x:v>
      </x:c>
      <x:c r="Z486" s="6" t="n">
        <x:f>ROUND(MAX(0,U486+V486-W486-Y486),2)</x:f>
        <x:v>0</x:v>
      </x:c>
      <x:c r="AA486" s="6" t="n">
        <x:f>AF485</x:f>
        <x:v>0</x:v>
      </x:c>
      <x:c r="AB486" s="6" t="n">
        <x:f>ROUND(AA486*'Debt strategy'!$D$13/12,2)</x:f>
        <x:v>0</x:v>
      </x:c>
      <x:c r="AC486" s="6" t="n">
        <x:f>MIN(AA486+AB486,'Debt strategy'!$E$13)</x:f>
        <x:v>0</x:v>
      </x:c>
      <x:c r="AD486" s="27" t="n">
        <x:f>IF(AA486+AB486-AC486&lt;=0,99,1+SUM(IF(AND(C486+D486-E486&gt;0,OR('Debt strategy'!$D$9&gt;'Debt strategy'!$D$13,AND('Debt strategy'!$D$9='Debt strategy'!$D$13,0&lt;4))),1,0),IF(AND(I486+J486-K486&gt;0,OR('Debt strategy'!$D$10&gt;'Debt strategy'!$D$13,AND('Debt strategy'!$D$10='Debt strategy'!$D$13,1&lt;4))),1,0),IF(AND(O486+P486-Q486&gt;0,OR('Debt strategy'!$D$11&gt;'Debt strategy'!$D$13,AND('Debt strategy'!$D$11='Debt strategy'!$D$13,2&lt;4))),1,0),IF(AND(U486+V486-W486&gt;0,OR('Debt strategy'!$D$12&gt;'Debt strategy'!$D$13,AND('Debt strategy'!$D$12='Debt strategy'!$D$13,3&lt;4))),1,0)))</x:f>
        <x:v>99</x:v>
      </x:c>
      <x:c r="AE486" s="6" t="n">
        <x:f>IF('Debt strategy'!$C$16&gt;0,0,MIN(AA486+AB486-AC486,MAX(0,'Debt strategy'!$C$5-SUM(E486,K486,Q486,W486,AC486)-SUM(IF(F486&lt;AD486,C486+D486-E486,0),IF(L486&lt;AD486,I486+J486-K486,0),IF(R486&lt;AD486,O486+P486-Q486,0),IF(X486&lt;AD486,U486+V486-W486,0)))))</x:f>
        <x:v>0</x:v>
      </x:c>
      <x:c r="AF486" s="6" t="n">
        <x:f>ROUND(MAX(0,AA486+AB486-AC486-AE486),2)</x:f>
        <x:v>0</x:v>
      </x:c>
      <x:c r="AG486" s="6" t="n">
        <x:f>SUM(H486,N486,T486,Z486,AF486)</x:f>
        <x:v>0</x:v>
      </x:c>
      <x:c r="AH486" s="6" t="n">
        <x:f>SUM(D486,J486,P486,V486,AB486)+AH485</x:f>
        <x:v>1220.8400000000001</x:v>
      </x:c>
      <x:c r="AI486" s="2"/>
    </x:row>
    <x:row r="487" ht="23" customHeight="1">
      <x:c r="B487" s="2" t="n">
        <x:f>479</x:f>
        <x:v>479</x:v>
      </x:c>
      <x:c r="C487" s="6" t="n">
        <x:f>H486</x:f>
        <x:v>0</x:v>
      </x:c>
      <x:c r="D487" s="6" t="n">
        <x:f>ROUND(C487*'Debt strategy'!$D$9/12,2)</x:f>
        <x:v>0</x:v>
      </x:c>
      <x:c r="E487" s="6" t="n">
        <x:f>MIN(C487+D487,'Debt strategy'!$E$9)</x:f>
        <x:v>0</x:v>
      </x:c>
      <x:c r="F487" s="27" t="n">
        <x:f>IF(C487+D487-E487&lt;=0,99,1+SUM(IF(AND(I487+J487-K487&gt;0,OR('Debt strategy'!$D$10&gt;'Debt strategy'!$D$9,AND('Debt strategy'!$D$10='Debt strategy'!$D$9,1&lt;0))),1,0),IF(AND(O487+P487-Q487&gt;0,OR('Debt strategy'!$D$11&gt;'Debt strategy'!$D$9,AND('Debt strategy'!$D$11='Debt strategy'!$D$9,2&lt;0))),1,0),IF(AND(U487+V487-W487&gt;0,OR('Debt strategy'!$D$12&gt;'Debt strategy'!$D$9,AND('Debt strategy'!$D$12='Debt strategy'!$D$9,3&lt;0))),1,0),IF(AND(AA487+AB487-AC487&gt;0,OR('Debt strategy'!$D$13&gt;'Debt strategy'!$D$9,AND('Debt strategy'!$D$13='Debt strategy'!$D$9,4&lt;0))),1,0)))</x:f>
        <x:v>99</x:v>
      </x:c>
      <x:c r="G487" s="6" t="n">
        <x:f>IF('Debt strategy'!$C$16&gt;0,0,MIN(C487+D487-E487,MAX(0,'Debt strategy'!$C$5-SUM(E487,K487,Q487,W487,AC487)-SUM(IF(L487&lt;F487,I487+J487-K487,0),IF(R487&lt;F487,O487+P487-Q487,0),IF(X487&lt;F487,U487+V487-W487,0),IF(AD487&lt;F487,AA487+AB487-AC487,0)))))</x:f>
        <x:v>0</x:v>
      </x:c>
      <x:c r="H487" s="6" t="n">
        <x:f>ROUND(MAX(0,C487+D487-E487-G487),2)</x:f>
        <x:v>0</x:v>
      </x:c>
      <x:c r="I487" s="6" t="n">
        <x:f>N486</x:f>
        <x:v>0</x:v>
      </x:c>
      <x:c r="J487" s="6" t="n">
        <x:f>ROUND(I487*'Debt strategy'!$D$10/12,2)</x:f>
        <x:v>0</x:v>
      </x:c>
      <x:c r="K487" s="6" t="n">
        <x:f>MIN(I487+J487,'Debt strategy'!$E$10)</x:f>
        <x:v>0</x:v>
      </x:c>
      <x:c r="L487" s="27" t="n">
        <x:f>IF(I487+J487-K487&lt;=0,99,1+SUM(IF(AND(C487+D487-E487&gt;0,OR('Debt strategy'!$D$9&gt;'Debt strategy'!$D$10,AND('Debt strategy'!$D$9='Debt strategy'!$D$10,0&lt;1))),1,0),IF(AND(O487+P487-Q487&gt;0,OR('Debt strategy'!$D$11&gt;'Debt strategy'!$D$10,AND('Debt strategy'!$D$11='Debt strategy'!$D$10,2&lt;1))),1,0),IF(AND(U487+V487-W487&gt;0,OR('Debt strategy'!$D$12&gt;'Debt strategy'!$D$10,AND('Debt strategy'!$D$12='Debt strategy'!$D$10,3&lt;1))),1,0),IF(AND(AA487+AB487-AC487&gt;0,OR('Debt strategy'!$D$13&gt;'Debt strategy'!$D$10,AND('Debt strategy'!$D$13='Debt strategy'!$D$10,4&lt;1))),1,0)))</x:f>
        <x:v>99</x:v>
      </x:c>
      <x:c r="M487" s="6" t="n">
        <x:f>IF('Debt strategy'!$C$16&gt;0,0,MIN(I487+J487-K487,MAX(0,'Debt strategy'!$C$5-SUM(E487,K487,Q487,W487,AC487)-SUM(IF(F487&lt;L487,C487+D487-E487,0),IF(R487&lt;L487,O487+P487-Q487,0),IF(X487&lt;L487,U487+V487-W487,0),IF(AD487&lt;L487,AA487+AB487-AC487,0)))))</x:f>
        <x:v>0</x:v>
      </x:c>
      <x:c r="N487" s="6" t="n">
        <x:f>ROUND(MAX(0,I487+J487-K487-M487),2)</x:f>
        <x:v>0</x:v>
      </x:c>
      <x:c r="O487" s="6" t="n">
        <x:f>T486</x:f>
        <x:v>0</x:v>
      </x:c>
      <x:c r="P487" s="6" t="n">
        <x:f>ROUND(O487*'Debt strategy'!$D$11/12,2)</x:f>
        <x:v>0</x:v>
      </x:c>
      <x:c r="Q487" s="6" t="n">
        <x:f>MIN(O487+P487,'Debt strategy'!$E$11)</x:f>
        <x:v>0</x:v>
      </x:c>
      <x:c r="R487" s="27" t="n">
        <x:f>IF(O487+P487-Q487&lt;=0,99,1+SUM(IF(AND(C487+D487-E487&gt;0,OR('Debt strategy'!$D$9&gt;'Debt strategy'!$D$11,AND('Debt strategy'!$D$9='Debt strategy'!$D$11,0&lt;2))),1,0),IF(AND(I487+J487-K487&gt;0,OR('Debt strategy'!$D$10&gt;'Debt strategy'!$D$11,AND('Debt strategy'!$D$10='Debt strategy'!$D$11,1&lt;2))),1,0),IF(AND(U487+V487-W487&gt;0,OR('Debt strategy'!$D$12&gt;'Debt strategy'!$D$11,AND('Debt strategy'!$D$12='Debt strategy'!$D$11,3&lt;2))),1,0),IF(AND(AA487+AB487-AC487&gt;0,OR('Debt strategy'!$D$13&gt;'Debt strategy'!$D$11,AND('Debt strategy'!$D$13='Debt strategy'!$D$11,4&lt;2))),1,0)))</x:f>
        <x:v>99</x:v>
      </x:c>
      <x:c r="S487" s="6" t="n">
        <x:f>IF('Debt strategy'!$C$16&gt;0,0,MIN(O487+P487-Q487,MAX(0,'Debt strategy'!$C$5-SUM(E487,K487,Q487,W487,AC487)-SUM(IF(F487&lt;R487,C487+D487-E487,0),IF(L487&lt;R487,I487+J487-K487,0),IF(X487&lt;R487,U487+V487-W487,0),IF(AD487&lt;R487,AA487+AB487-AC487,0)))))</x:f>
        <x:v>0</x:v>
      </x:c>
      <x:c r="T487" s="6" t="n">
        <x:f>ROUND(MAX(0,O487+P487-Q487-S487),2)</x:f>
        <x:v>0</x:v>
      </x:c>
      <x:c r="U487" s="6" t="n">
        <x:f>Z486</x:f>
        <x:v>0</x:v>
      </x:c>
      <x:c r="V487" s="6" t="n">
        <x:f>ROUND(U487*'Debt strategy'!$D$12/12,2)</x:f>
        <x:v>0</x:v>
      </x:c>
      <x:c r="W487" s="6" t="n">
        <x:f>MIN(U487+V487,'Debt strategy'!$E$12)</x:f>
        <x:v>0</x:v>
      </x:c>
      <x:c r="X487" s="27" t="n">
        <x:f>IF(U487+V487-W487&lt;=0,99,1+SUM(IF(AND(C487+D487-E487&gt;0,OR('Debt strategy'!$D$9&gt;'Debt strategy'!$D$12,AND('Debt strategy'!$D$9='Debt strategy'!$D$12,0&lt;3))),1,0),IF(AND(I487+J487-K487&gt;0,OR('Debt strategy'!$D$10&gt;'Debt strategy'!$D$12,AND('Debt strategy'!$D$10='Debt strategy'!$D$12,1&lt;3))),1,0),IF(AND(O487+P487-Q487&gt;0,OR('Debt strategy'!$D$11&gt;'Debt strategy'!$D$12,AND('Debt strategy'!$D$11='Debt strategy'!$D$12,2&lt;3))),1,0),IF(AND(AA487+AB487-AC487&gt;0,OR('Debt strategy'!$D$13&gt;'Debt strategy'!$D$12,AND('Debt strategy'!$D$13='Debt strategy'!$D$12,4&lt;3))),1,0)))</x:f>
        <x:v>99</x:v>
      </x:c>
      <x:c r="Y487" s="6" t="n">
        <x:f>IF('Debt strategy'!$C$16&gt;0,0,MIN(U487+V487-W487,MAX(0,'Debt strategy'!$C$5-SUM(E487,K487,Q487,W487,AC487)-SUM(IF(F487&lt;X487,C487+D487-E487,0),IF(L487&lt;X487,I487+J487-K487,0),IF(R487&lt;X487,O487+P487-Q487,0),IF(AD487&lt;X487,AA487+AB487-AC487,0)))))</x:f>
        <x:v>0</x:v>
      </x:c>
      <x:c r="Z487" s="6" t="n">
        <x:f>ROUND(MAX(0,U487+V487-W487-Y487),2)</x:f>
        <x:v>0</x:v>
      </x:c>
      <x:c r="AA487" s="6" t="n">
        <x:f>AF486</x:f>
        <x:v>0</x:v>
      </x:c>
      <x:c r="AB487" s="6" t="n">
        <x:f>ROUND(AA487*'Debt strategy'!$D$13/12,2)</x:f>
        <x:v>0</x:v>
      </x:c>
      <x:c r="AC487" s="6" t="n">
        <x:f>MIN(AA487+AB487,'Debt strategy'!$E$13)</x:f>
        <x:v>0</x:v>
      </x:c>
      <x:c r="AD487" s="27" t="n">
        <x:f>IF(AA487+AB487-AC487&lt;=0,99,1+SUM(IF(AND(C487+D487-E487&gt;0,OR('Debt strategy'!$D$9&gt;'Debt strategy'!$D$13,AND('Debt strategy'!$D$9='Debt strategy'!$D$13,0&lt;4))),1,0),IF(AND(I487+J487-K487&gt;0,OR('Debt strategy'!$D$10&gt;'Debt strategy'!$D$13,AND('Debt strategy'!$D$10='Debt strategy'!$D$13,1&lt;4))),1,0),IF(AND(O487+P487-Q487&gt;0,OR('Debt strategy'!$D$11&gt;'Debt strategy'!$D$13,AND('Debt strategy'!$D$11='Debt strategy'!$D$13,2&lt;4))),1,0),IF(AND(U487+V487-W487&gt;0,OR('Debt strategy'!$D$12&gt;'Debt strategy'!$D$13,AND('Debt strategy'!$D$12='Debt strategy'!$D$13,3&lt;4))),1,0)))</x:f>
        <x:v>99</x:v>
      </x:c>
      <x:c r="AE487" s="6" t="n">
        <x:f>IF('Debt strategy'!$C$16&gt;0,0,MIN(AA487+AB487-AC487,MAX(0,'Debt strategy'!$C$5-SUM(E487,K487,Q487,W487,AC487)-SUM(IF(F487&lt;AD487,C487+D487-E487,0),IF(L487&lt;AD487,I487+J487-K487,0),IF(R487&lt;AD487,O487+P487-Q487,0),IF(X487&lt;AD487,U487+V487-W487,0)))))</x:f>
        <x:v>0</x:v>
      </x:c>
      <x:c r="AF487" s="6" t="n">
        <x:f>ROUND(MAX(0,AA487+AB487-AC487-AE487),2)</x:f>
        <x:v>0</x:v>
      </x:c>
      <x:c r="AG487" s="6" t="n">
        <x:f>SUM(H487,N487,T487,Z487,AF487)</x:f>
        <x:v>0</x:v>
      </x:c>
      <x:c r="AH487" s="6" t="n">
        <x:f>SUM(D487,J487,P487,V487,AB487)+AH486</x:f>
        <x:v>1220.8400000000001</x:v>
      </x:c>
      <x:c r="AI487" s="2"/>
    </x:row>
    <x:row r="488" ht="23" customHeight="1">
      <x:c r="B488" s="2" t="n">
        <x:f>480</x:f>
        <x:v>480</x:v>
      </x:c>
      <x:c r="C488" s="6" t="n">
        <x:f>H487</x:f>
        <x:v>0</x:v>
      </x:c>
      <x:c r="D488" s="6" t="n">
        <x:f>ROUND(C488*'Debt strategy'!$D$9/12,2)</x:f>
        <x:v>0</x:v>
      </x:c>
      <x:c r="E488" s="6" t="n">
        <x:f>MIN(C488+D488,'Debt strategy'!$E$9)</x:f>
        <x:v>0</x:v>
      </x:c>
      <x:c r="F488" s="27" t="n">
        <x:f>IF(C488+D488-E488&lt;=0,99,1+SUM(IF(AND(I488+J488-K488&gt;0,OR('Debt strategy'!$D$10&gt;'Debt strategy'!$D$9,AND('Debt strategy'!$D$10='Debt strategy'!$D$9,1&lt;0))),1,0),IF(AND(O488+P488-Q488&gt;0,OR('Debt strategy'!$D$11&gt;'Debt strategy'!$D$9,AND('Debt strategy'!$D$11='Debt strategy'!$D$9,2&lt;0))),1,0),IF(AND(U488+V488-W488&gt;0,OR('Debt strategy'!$D$12&gt;'Debt strategy'!$D$9,AND('Debt strategy'!$D$12='Debt strategy'!$D$9,3&lt;0))),1,0),IF(AND(AA488+AB488-AC488&gt;0,OR('Debt strategy'!$D$13&gt;'Debt strategy'!$D$9,AND('Debt strategy'!$D$13='Debt strategy'!$D$9,4&lt;0))),1,0)))</x:f>
        <x:v>99</x:v>
      </x:c>
      <x:c r="G488" s="6" t="n">
        <x:f>IF('Debt strategy'!$C$16&gt;0,0,MIN(C488+D488-E488,MAX(0,'Debt strategy'!$C$5-SUM(E488,K488,Q488,W488,AC488)-SUM(IF(L488&lt;F488,I488+J488-K488,0),IF(R488&lt;F488,O488+P488-Q488,0),IF(X488&lt;F488,U488+V488-W488,0),IF(AD488&lt;F488,AA488+AB488-AC488,0)))))</x:f>
        <x:v>0</x:v>
      </x:c>
      <x:c r="H488" s="6" t="n">
        <x:f>ROUND(MAX(0,C488+D488-E488-G488),2)</x:f>
        <x:v>0</x:v>
      </x:c>
      <x:c r="I488" s="6" t="n">
        <x:f>N487</x:f>
        <x:v>0</x:v>
      </x:c>
      <x:c r="J488" s="6" t="n">
        <x:f>ROUND(I488*'Debt strategy'!$D$10/12,2)</x:f>
        <x:v>0</x:v>
      </x:c>
      <x:c r="K488" s="6" t="n">
        <x:f>MIN(I488+J488,'Debt strategy'!$E$10)</x:f>
        <x:v>0</x:v>
      </x:c>
      <x:c r="L488" s="27" t="n">
        <x:f>IF(I488+J488-K488&lt;=0,99,1+SUM(IF(AND(C488+D488-E488&gt;0,OR('Debt strategy'!$D$9&gt;'Debt strategy'!$D$10,AND('Debt strategy'!$D$9='Debt strategy'!$D$10,0&lt;1))),1,0),IF(AND(O488+P488-Q488&gt;0,OR('Debt strategy'!$D$11&gt;'Debt strategy'!$D$10,AND('Debt strategy'!$D$11='Debt strategy'!$D$10,2&lt;1))),1,0),IF(AND(U488+V488-W488&gt;0,OR('Debt strategy'!$D$12&gt;'Debt strategy'!$D$10,AND('Debt strategy'!$D$12='Debt strategy'!$D$10,3&lt;1))),1,0),IF(AND(AA488+AB488-AC488&gt;0,OR('Debt strategy'!$D$13&gt;'Debt strategy'!$D$10,AND('Debt strategy'!$D$13='Debt strategy'!$D$10,4&lt;1))),1,0)))</x:f>
        <x:v>99</x:v>
      </x:c>
      <x:c r="M488" s="6" t="n">
        <x:f>IF('Debt strategy'!$C$16&gt;0,0,MIN(I488+J488-K488,MAX(0,'Debt strategy'!$C$5-SUM(E488,K488,Q488,W488,AC488)-SUM(IF(F488&lt;L488,C488+D488-E488,0),IF(R488&lt;L488,O488+P488-Q488,0),IF(X488&lt;L488,U488+V488-W488,0),IF(AD488&lt;L488,AA488+AB488-AC488,0)))))</x:f>
        <x:v>0</x:v>
      </x:c>
      <x:c r="N488" s="6" t="n">
        <x:f>ROUND(MAX(0,I488+J488-K488-M488),2)</x:f>
        <x:v>0</x:v>
      </x:c>
      <x:c r="O488" s="6" t="n">
        <x:f>T487</x:f>
        <x:v>0</x:v>
      </x:c>
      <x:c r="P488" s="6" t="n">
        <x:f>ROUND(O488*'Debt strategy'!$D$11/12,2)</x:f>
        <x:v>0</x:v>
      </x:c>
      <x:c r="Q488" s="6" t="n">
        <x:f>MIN(O488+P488,'Debt strategy'!$E$11)</x:f>
        <x:v>0</x:v>
      </x:c>
      <x:c r="R488" s="27" t="n">
        <x:f>IF(O488+P488-Q488&lt;=0,99,1+SUM(IF(AND(C488+D488-E488&gt;0,OR('Debt strategy'!$D$9&gt;'Debt strategy'!$D$11,AND('Debt strategy'!$D$9='Debt strategy'!$D$11,0&lt;2))),1,0),IF(AND(I488+J488-K488&gt;0,OR('Debt strategy'!$D$10&gt;'Debt strategy'!$D$11,AND('Debt strategy'!$D$10='Debt strategy'!$D$11,1&lt;2))),1,0),IF(AND(U488+V488-W488&gt;0,OR('Debt strategy'!$D$12&gt;'Debt strategy'!$D$11,AND('Debt strategy'!$D$12='Debt strategy'!$D$11,3&lt;2))),1,0),IF(AND(AA488+AB488-AC488&gt;0,OR('Debt strategy'!$D$13&gt;'Debt strategy'!$D$11,AND('Debt strategy'!$D$13='Debt strategy'!$D$11,4&lt;2))),1,0)))</x:f>
        <x:v>99</x:v>
      </x:c>
      <x:c r="S488" s="6" t="n">
        <x:f>IF('Debt strategy'!$C$16&gt;0,0,MIN(O488+P488-Q488,MAX(0,'Debt strategy'!$C$5-SUM(E488,K488,Q488,W488,AC488)-SUM(IF(F488&lt;R488,C488+D488-E488,0),IF(L488&lt;R488,I488+J488-K488,0),IF(X488&lt;R488,U488+V488-W488,0),IF(AD488&lt;R488,AA488+AB488-AC488,0)))))</x:f>
        <x:v>0</x:v>
      </x:c>
      <x:c r="T488" s="6" t="n">
        <x:f>ROUND(MAX(0,O488+P488-Q488-S488),2)</x:f>
        <x:v>0</x:v>
      </x:c>
      <x:c r="U488" s="6" t="n">
        <x:f>Z487</x:f>
        <x:v>0</x:v>
      </x:c>
      <x:c r="V488" s="6" t="n">
        <x:f>ROUND(U488*'Debt strategy'!$D$12/12,2)</x:f>
        <x:v>0</x:v>
      </x:c>
      <x:c r="W488" s="6" t="n">
        <x:f>MIN(U488+V488,'Debt strategy'!$E$12)</x:f>
        <x:v>0</x:v>
      </x:c>
      <x:c r="X488" s="27" t="n">
        <x:f>IF(U488+V488-W488&lt;=0,99,1+SUM(IF(AND(C488+D488-E488&gt;0,OR('Debt strategy'!$D$9&gt;'Debt strategy'!$D$12,AND('Debt strategy'!$D$9='Debt strategy'!$D$12,0&lt;3))),1,0),IF(AND(I488+J488-K488&gt;0,OR('Debt strategy'!$D$10&gt;'Debt strategy'!$D$12,AND('Debt strategy'!$D$10='Debt strategy'!$D$12,1&lt;3))),1,0),IF(AND(O488+P488-Q488&gt;0,OR('Debt strategy'!$D$11&gt;'Debt strategy'!$D$12,AND('Debt strategy'!$D$11='Debt strategy'!$D$12,2&lt;3))),1,0),IF(AND(AA488+AB488-AC488&gt;0,OR('Debt strategy'!$D$13&gt;'Debt strategy'!$D$12,AND('Debt strategy'!$D$13='Debt strategy'!$D$12,4&lt;3))),1,0)))</x:f>
        <x:v>99</x:v>
      </x:c>
      <x:c r="Y488" s="6" t="n">
        <x:f>IF('Debt strategy'!$C$16&gt;0,0,MIN(U488+V488-W488,MAX(0,'Debt strategy'!$C$5-SUM(E488,K488,Q488,W488,AC488)-SUM(IF(F488&lt;X488,C488+D488-E488,0),IF(L488&lt;X488,I488+J488-K488,0),IF(R488&lt;X488,O488+P488-Q488,0),IF(AD488&lt;X488,AA488+AB488-AC488,0)))))</x:f>
        <x:v>0</x:v>
      </x:c>
      <x:c r="Z488" s="6" t="n">
        <x:f>ROUND(MAX(0,U488+V488-W488-Y488),2)</x:f>
        <x:v>0</x:v>
      </x:c>
      <x:c r="AA488" s="6" t="n">
        <x:f>AF487</x:f>
        <x:v>0</x:v>
      </x:c>
      <x:c r="AB488" s="6" t="n">
        <x:f>ROUND(AA488*'Debt strategy'!$D$13/12,2)</x:f>
        <x:v>0</x:v>
      </x:c>
      <x:c r="AC488" s="6" t="n">
        <x:f>MIN(AA488+AB488,'Debt strategy'!$E$13)</x:f>
        <x:v>0</x:v>
      </x:c>
      <x:c r="AD488" s="27" t="n">
        <x:f>IF(AA488+AB488-AC488&lt;=0,99,1+SUM(IF(AND(C488+D488-E488&gt;0,OR('Debt strategy'!$D$9&gt;'Debt strategy'!$D$13,AND('Debt strategy'!$D$9='Debt strategy'!$D$13,0&lt;4))),1,0),IF(AND(I488+J488-K488&gt;0,OR('Debt strategy'!$D$10&gt;'Debt strategy'!$D$13,AND('Debt strategy'!$D$10='Debt strategy'!$D$13,1&lt;4))),1,0),IF(AND(O488+P488-Q488&gt;0,OR('Debt strategy'!$D$11&gt;'Debt strategy'!$D$13,AND('Debt strategy'!$D$11='Debt strategy'!$D$13,2&lt;4))),1,0),IF(AND(U488+V488-W488&gt;0,OR('Debt strategy'!$D$12&gt;'Debt strategy'!$D$13,AND('Debt strategy'!$D$12='Debt strategy'!$D$13,3&lt;4))),1,0)))</x:f>
        <x:v>99</x:v>
      </x:c>
      <x:c r="AE488" s="6" t="n">
        <x:f>IF('Debt strategy'!$C$16&gt;0,0,MIN(AA488+AB488-AC488,MAX(0,'Debt strategy'!$C$5-SUM(E488,K488,Q488,W488,AC488)-SUM(IF(F488&lt;AD488,C488+D488-E488,0),IF(L488&lt;AD488,I488+J488-K488,0),IF(R488&lt;AD488,O488+P488-Q488,0),IF(X488&lt;AD488,U488+V488-W488,0)))))</x:f>
        <x:v>0</x:v>
      </x:c>
      <x:c r="AF488" s="6" t="n">
        <x:f>ROUND(MAX(0,AA488+AB488-AC488-AE488),2)</x:f>
        <x:v>0</x:v>
      </x:c>
      <x:c r="AG488" s="6" t="n">
        <x:f>SUM(H488,N488,T488,Z488,AF488)</x:f>
        <x:v>0</x:v>
      </x:c>
      <x:c r="AH488" s="6" t="n">
        <x:f>SUM(D488,J488,P488,V488,AB488)+AH487</x:f>
        <x:v>1220.8400000000001</x:v>
      </x:c>
      <x:c r="AI488" s="2"/>
    </x:row>
    <x:row r="489" ht="23" customHeight="1"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  <x:c r="AA489" s="2"/>
      <x:c r="AB489" s="2"/>
      <x:c r="AC489" s="2"/>
      <x:c r="AD489" s="2"/>
      <x:c r="AE489" s="2"/>
      <x:c r="AF489" s="2"/>
      <x:c r="AG489" s="2"/>
      <x:c r="AH489" s="2"/>
      <x:c r="AI489" s="2"/>
    </x:row>
  </x:sheetData>
  <x:sheetProtection sheet="1" objects="1" scenarios="1" selectLockedCells="0" selectUnlockedCells="0"/>
  <x:pageMargins left="0.7" right="0.7" top="0.75" bottom="0.75" header="0.3" footer="0.3"/>
</x:worksheet>
</file>